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CE1C7A3B-8C8A-4C74-BA39-F862B171B5D2}" xr6:coauthVersionLast="47" xr6:coauthVersionMax="47" xr10:uidLastSave="{00000000-0000-0000-0000-000000000000}"/>
  <bookViews>
    <workbookView xWindow="-120" yWindow="-120" windowWidth="29040" windowHeight="15840" xr2:uid="{E5E47C2A-CB7B-4DFD-9733-DC985EEB6B82}"/>
  </bookViews>
  <sheets>
    <sheet name="TOC" sheetId="1" r:id="rId1"/>
    <sheet name="W-Bahnemann-Ch61" sheetId="17" r:id="rId2"/>
    <sheet name="W-Bahnemann-Ch62" sheetId="18" r:id="rId3"/>
    <sheet name="W-Bahnemann-Ch63" sheetId="19" r:id="rId4"/>
    <sheet name="W-Bahnemann-Ch64" sheetId="20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9" l="1"/>
  <c r="O21" i="19"/>
  <c r="S20" i="19"/>
  <c r="M22" i="17"/>
  <c r="R18" i="20"/>
  <c r="R17" i="20"/>
  <c r="R16" i="20"/>
  <c r="R15" i="20"/>
  <c r="R14" i="20"/>
  <c r="R13" i="20"/>
  <c r="R17" i="19"/>
  <c r="R16" i="19"/>
  <c r="R15" i="19"/>
  <c r="R14" i="19"/>
  <c r="R13" i="19"/>
  <c r="R12" i="19"/>
  <c r="O18" i="20"/>
  <c r="N18" i="20"/>
  <c r="M18" i="20"/>
  <c r="O17" i="20"/>
  <c r="Q17" i="20" s="1"/>
  <c r="N17" i="20"/>
  <c r="M17" i="20"/>
  <c r="O16" i="20"/>
  <c r="Q16" i="20" s="1"/>
  <c r="N16" i="20"/>
  <c r="M16" i="20"/>
  <c r="O15" i="20"/>
  <c r="Q15" i="20" s="1"/>
  <c r="N15" i="20"/>
  <c r="M15" i="20"/>
  <c r="O14" i="20"/>
  <c r="Q14" i="20" s="1"/>
  <c r="N14" i="20"/>
  <c r="M14" i="20"/>
  <c r="O13" i="20"/>
  <c r="Q13" i="20" s="1"/>
  <c r="N13" i="20"/>
  <c r="M13" i="20"/>
  <c r="S12" i="20"/>
  <c r="R12" i="20"/>
  <c r="Q12" i="20"/>
  <c r="P12" i="20"/>
  <c r="N12" i="20"/>
  <c r="M12" i="20"/>
  <c r="C27" i="19"/>
  <c r="C26" i="19"/>
  <c r="C25" i="19"/>
  <c r="M24" i="19"/>
  <c r="E21" i="19"/>
  <c r="O17" i="19"/>
  <c r="Q17" i="19" s="1"/>
  <c r="N17" i="19"/>
  <c r="M17" i="19"/>
  <c r="O16" i="19"/>
  <c r="Q16" i="19" s="1"/>
  <c r="N16" i="19"/>
  <c r="M16" i="19"/>
  <c r="O15" i="19"/>
  <c r="Q15" i="19" s="1"/>
  <c r="N15" i="19"/>
  <c r="M15" i="19"/>
  <c r="O14" i="19"/>
  <c r="Q14" i="19" s="1"/>
  <c r="N14" i="19"/>
  <c r="M14" i="19"/>
  <c r="O13" i="19"/>
  <c r="Q13" i="19" s="1"/>
  <c r="N13" i="19"/>
  <c r="P13" i="19" s="1"/>
  <c r="M13" i="19"/>
  <c r="O12" i="19"/>
  <c r="Q12" i="19" s="1"/>
  <c r="N12" i="19"/>
  <c r="M12" i="19"/>
  <c r="S11" i="19"/>
  <c r="R11" i="19"/>
  <c r="Q11" i="19"/>
  <c r="P11" i="19"/>
  <c r="N11" i="19"/>
  <c r="M11" i="19"/>
  <c r="K10" i="18"/>
  <c r="J10" i="18"/>
  <c r="K9" i="18"/>
  <c r="J9" i="18"/>
  <c r="K8" i="18"/>
  <c r="J8" i="18"/>
  <c r="K7" i="18"/>
  <c r="J7" i="18"/>
  <c r="K6" i="18"/>
  <c r="J6" i="18"/>
  <c r="L7" i="18" l="1"/>
  <c r="P12" i="19"/>
  <c r="L8" i="18"/>
  <c r="P15" i="20"/>
  <c r="P13" i="20"/>
  <c r="S16" i="20"/>
  <c r="S13" i="20"/>
  <c r="S14" i="20"/>
  <c r="S15" i="20"/>
  <c r="S17" i="20"/>
  <c r="P17" i="20"/>
  <c r="Q18" i="20"/>
  <c r="P18" i="20"/>
  <c r="P16" i="20"/>
  <c r="P14" i="20"/>
  <c r="S12" i="19"/>
  <c r="S14" i="19"/>
  <c r="S15" i="19"/>
  <c r="S13" i="19"/>
  <c r="P16" i="19"/>
  <c r="S17" i="19"/>
  <c r="P17" i="19"/>
  <c r="P15" i="19"/>
  <c r="P14" i="19"/>
  <c r="S16" i="19"/>
  <c r="L10" i="18"/>
  <c r="L9" i="18"/>
  <c r="L48" i="17"/>
  <c r="M41" i="17"/>
  <c r="L38" i="17"/>
  <c r="C34" i="17"/>
  <c r="L32" i="17"/>
  <c r="C32" i="17"/>
  <c r="C31" i="17"/>
  <c r="L28" i="17"/>
  <c r="C28" i="17"/>
  <c r="C26" i="17"/>
  <c r="M25" i="17"/>
  <c r="C23" i="17"/>
  <c r="D20" i="17"/>
  <c r="M26" i="17" s="1"/>
  <c r="D19" i="17"/>
  <c r="M42" i="17" s="1"/>
  <c r="C19" i="17"/>
  <c r="O17" i="17"/>
  <c r="M17" i="17"/>
  <c r="L14" i="17"/>
  <c r="M13" i="17"/>
  <c r="I15" i="18" l="1"/>
  <c r="M44" i="17"/>
  <c r="M46" i="17" s="1"/>
  <c r="N27" i="17"/>
  <c r="M29" i="17" s="1"/>
  <c r="S18" i="20"/>
  <c r="J23" i="18"/>
  <c r="J28" i="18" s="1"/>
  <c r="J22" i="18"/>
  <c r="K20" i="18"/>
  <c r="M11" i="17"/>
  <c r="M18" i="17"/>
  <c r="N19" i="17" s="1"/>
  <c r="M12" i="17"/>
  <c r="M39" i="17"/>
  <c r="M49" i="17" l="1"/>
  <c r="O22" i="17"/>
  <c r="M15" i="17"/>
  <c r="M14" i="17"/>
  <c r="M34" i="17" l="1"/>
  <c r="M33" i="17"/>
</calcChain>
</file>

<file path=xl/sharedStrings.xml><?xml version="1.0" encoding="utf-8"?>
<sst xmlns="http://schemas.openxmlformats.org/spreadsheetml/2006/main" count="245" uniqueCount="128">
  <si>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</si>
  <si>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</si>
  <si>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</si>
  <si>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</si>
  <si>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</si>
  <si>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</si>
  <si>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</si>
  <si>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</si>
  <si>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</si>
  <si>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</si>
  <si>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?</t>
  </si>
  <si>
    <t>Source Text</t>
  </si>
  <si>
    <t>a.)</t>
  </si>
  <si>
    <t>b.)</t>
  </si>
  <si>
    <t>Severity</t>
  </si>
  <si>
    <t>NA</t>
  </si>
  <si>
    <t>=</t>
  </si>
  <si>
    <t>Estimate the excess severity behaviour and determine the underlying distribution</t>
  </si>
  <si>
    <t>Exam 8: Bahnemann – Chapter 6</t>
  </si>
  <si>
    <t>W-Bahnemann-Ch61</t>
  </si>
  <si>
    <t>Bahnemann.Chapter6</t>
  </si>
  <si>
    <t>Source Text Example 6.3</t>
  </si>
  <si>
    <t>Calculate ILFs loaded for expenses.</t>
  </si>
  <si>
    <t>The expected value of a lognormal distribution and its limited expected value are given by:</t>
  </si>
  <si>
    <t>Indemnity losses for a portfolio of insurance policies have a lognormal claim-size distribution with parameters</t>
  </si>
  <si>
    <t>μ =</t>
  </si>
  <si>
    <t>σ =</t>
  </si>
  <si>
    <t>Since we're given the dollar amount of the loss adjustment expenses we'll use the second formulation for the ILF</t>
  </si>
  <si>
    <r>
      <t>The policy per-claim limit applies only to the</t>
    </r>
    <r>
      <rPr>
        <u/>
        <sz val="11"/>
        <color theme="1"/>
        <rFont val="Calibri"/>
        <family val="2"/>
        <scheme val="minor"/>
      </rPr>
      <t xml:space="preserve"> indemnity portion</t>
    </r>
    <r>
      <rPr>
        <sz val="11"/>
        <color theme="1"/>
        <rFont val="Calibri"/>
        <family val="2"/>
        <scheme val="minor"/>
      </rPr>
      <t xml:space="preserve"> of a claim.</t>
    </r>
  </si>
  <si>
    <t>Average per-claim loss adjustment expense</t>
  </si>
  <si>
    <t>E[X;100,000] =</t>
  </si>
  <si>
    <t>Claim frequency per exposure</t>
  </si>
  <si>
    <t>E[X;1,000,000] =</t>
  </si>
  <si>
    <t>ε =</t>
  </si>
  <si>
    <t>Variable expenses as a percentage of premium</t>
  </si>
  <si>
    <t>Basic policy limit</t>
  </si>
  <si>
    <t>b i.)</t>
  </si>
  <si>
    <t>E[N] =</t>
  </si>
  <si>
    <t>L</t>
  </si>
  <si>
    <t>E[X; L]</t>
  </si>
  <si>
    <t>E[X;b] =</t>
  </si>
  <si>
    <t>Since we're not given any information about fixed expenses, we assume they are 0 and use a loss cost multiplier.</t>
  </si>
  <si>
    <t xml:space="preserve">Basic Limit Premium = </t>
  </si>
  <si>
    <t>b ii.)</t>
  </si>
  <si>
    <t>(from part b.i.)</t>
  </si>
  <si>
    <t xml:space="preserve">E[X;L] = </t>
  </si>
  <si>
    <t>i.)</t>
  </si>
  <si>
    <t>Basic limit</t>
  </si>
  <si>
    <t>ii.)</t>
  </si>
  <si>
    <t>c.)</t>
  </si>
  <si>
    <t>But it's much quicker to apply the ILF I($1 million) from part a.</t>
  </si>
  <si>
    <r>
      <t>(remember P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is the basic limit premium)</t>
    </r>
  </si>
  <si>
    <t>Basic policy premium</t>
  </si>
  <si>
    <t>iii.)</t>
  </si>
  <si>
    <t>(Minor differences due to rounding)</t>
  </si>
  <si>
    <t>Useful Formulas</t>
  </si>
  <si>
    <t>c i.)</t>
  </si>
  <si>
    <t>(notice the ALAE expense cancels out)</t>
  </si>
  <si>
    <t>Lognormal Distribution</t>
  </si>
  <si>
    <t>c ii.)</t>
  </si>
  <si>
    <t>Basic Premium =</t>
  </si>
  <si>
    <t>(apply LCM as no fixed expenses)</t>
  </si>
  <si>
    <t>c iii.)</t>
  </si>
  <si>
    <t>Check increased limits factors for consistency</t>
  </si>
  <si>
    <t>We need to measure the incremental rate as coverage increases and then check that the amounts decrease</t>
  </si>
  <si>
    <t>Per Occurrence Limit</t>
  </si>
  <si>
    <t>Increased Limit Factor</t>
  </si>
  <si>
    <t>Per Occurrence Limit, L</t>
  </si>
  <si>
    <t>ILF</t>
  </si>
  <si>
    <t>Marginal Rate per $1,000 Coverage</t>
  </si>
  <si>
    <t>(a)</t>
  </si>
  <si>
    <t>(b)</t>
  </si>
  <si>
    <t>(c)</t>
  </si>
  <si>
    <t>(d)</t>
  </si>
  <si>
    <t>(e)</t>
  </si>
  <si>
    <t>Sample calculation:</t>
  </si>
  <si>
    <t>Marginal rate (c) =</t>
  </si>
  <si>
    <r>
      <t>( ILF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- ILF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) / [ (L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) / 1,000 ]</t>
    </r>
  </si>
  <si>
    <t>Observe the marginal rate for row (e) is greater than the marginal rate for row (d). This is why the test failed.</t>
  </si>
  <si>
    <t>To correct it, we need the marginal rate for row (e) to be less than or equal to the marginal rate for row (d).</t>
  </si>
  <si>
    <t>So we need</t>
  </si>
  <si>
    <r>
      <t>(ILF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ILF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 / [( L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- L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) / 1,000]</t>
    </r>
  </si>
  <si>
    <t>That is,</t>
  </si>
  <si>
    <r>
      <t>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≤</t>
    </r>
  </si>
  <si>
    <r>
      <t>However, to avoid illogical rating, we also require 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≥ ILF</t>
    </r>
    <r>
      <rPr>
        <vertAlign val="subscript"/>
        <sz val="11"/>
        <color theme="1"/>
        <rFont val="Calibri"/>
        <family val="2"/>
      </rPr>
      <t>d</t>
    </r>
  </si>
  <si>
    <r>
      <t>So the acceptable range of values for ILF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is</t>
    </r>
  </si>
  <si>
    <t xml:space="preserve">Determine if the ILFs satisfy the consistency test, and if not </t>
  </si>
  <si>
    <t>then identify the range of factors which would work.</t>
  </si>
  <si>
    <t>W-Bahnemann-Ch62</t>
  </si>
  <si>
    <t>Calculate various aspects using a straight deductible</t>
  </si>
  <si>
    <t>Recall</t>
  </si>
  <si>
    <t xml:space="preserve">         , modified frequency =</t>
  </si>
  <si>
    <t>(Modified)</t>
  </si>
  <si>
    <t>Deductible, d</t>
  </si>
  <si>
    <t>E[X;d]</t>
  </si>
  <si>
    <r>
      <t>F</t>
    </r>
    <r>
      <rPr>
        <vertAlign val="subscript"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(d)</t>
    </r>
  </si>
  <si>
    <t>C(d)</t>
  </si>
  <si>
    <t>Frequency</t>
  </si>
  <si>
    <t>Pure Premium</t>
  </si>
  <si>
    <t>Notice if</t>
  </si>
  <si>
    <t>then</t>
  </si>
  <si>
    <t>C(d) simplifies to</t>
  </si>
  <si>
    <t>Ground-up claim frequency, φ</t>
  </si>
  <si>
    <t>Basic limit expected loss, E[X;b]</t>
  </si>
  <si>
    <t>Fixed ALAE per claim, ε</t>
  </si>
  <si>
    <t>Variable ALAE, u</t>
  </si>
  <si>
    <t>Fill in the missing information in the table.</t>
  </si>
  <si>
    <t>Same row, severity column</t>
  </si>
  <si>
    <t xml:space="preserve">For a policy with a deductible of </t>
  </si>
  <si>
    <t>The formula is</t>
  </si>
  <si>
    <t>Calculate the deductible-adjusted frequency</t>
  </si>
  <si>
    <t>Calculate the modified severity.</t>
  </si>
  <si>
    <r>
      <t>P</t>
    </r>
    <r>
      <rPr>
        <vertAlign val="subscript"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=</t>
    </r>
  </si>
  <si>
    <t>W-Bahnemann-Ch63</t>
  </si>
  <si>
    <t>Calculate modified severity and pure premium for a franchise deductible</t>
  </si>
  <si>
    <t>For a franchise deductible we have:</t>
  </si>
  <si>
    <t>Changing the deductible type (but not the deductible amount) doesn't impact claim frequency, so the modifed claim frequency is still:</t>
  </si>
  <si>
    <t>However, the modified severity becomes:</t>
  </si>
  <si>
    <t>Alice: "Note the + d in the large ( )"</t>
  </si>
  <si>
    <t>Using these equations we can complete the table as follows</t>
  </si>
  <si>
    <t>Complete the table.</t>
  </si>
  <si>
    <t>W-Bahnemann-Ch64</t>
  </si>
  <si>
    <t>Problem Set 2 – Solutions</t>
  </si>
  <si>
    <t>, and</t>
  </si>
  <si>
    <t>modified severity =</t>
  </si>
  <si>
    <t>Expected Loss Cost = mp =</t>
  </si>
  <si>
    <t>mp / ( 1 - v )</t>
  </si>
  <si>
    <t>We can read this off directly from the frequency column for the $750 deductible row: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</si>
</sst>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164" formatCode="0.000"/>
    <numFmt numFmtId="165" formatCode="0.0000"/>
    <numFmt numFmtId="166" formatCode="0.000000"/>
    <numFmt numFmtId="167" formatCode="&quot;$&quot;#,##0"/>
    <numFmt numFmtId="168" formatCode="&quot;$&quot;#,##0.00"/>
    <numFmt numFmtId="169" formatCode="0.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4" fillId="2" borderId="4" xfId="1" applyFill="1" applyBorder="1" applyAlignment="1" applyProtection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1" fillId="2" borderId="2" xfId="0" applyFont="1" applyFill="1" applyBorder="1"/>
    <xf numFmtId="0" fontId="0" fillId="2" borderId="3" xfId="0" applyFill="1" applyBorder="1"/>
    <xf numFmtId="0" fontId="6" fillId="2" borderId="3" xfId="0" applyFont="1" applyFill="1" applyBorder="1"/>
    <xf numFmtId="0" fontId="1" fillId="2" borderId="5" xfId="0" applyFont="1" applyFill="1" applyBorder="1"/>
    <xf numFmtId="0" fontId="0" fillId="2" borderId="0" xfId="0" applyFill="1"/>
    <xf numFmtId="0" fontId="0" fillId="2" borderId="6" xfId="0" applyFill="1" applyBorder="1"/>
    <xf numFmtId="3" fontId="0" fillId="2" borderId="5" xfId="0" applyNumberFormat="1" applyFill="1" applyBorder="1"/>
    <xf numFmtId="3" fontId="0" fillId="2" borderId="0" xfId="0" applyNumberFormat="1" applyFill="1"/>
    <xf numFmtId="3" fontId="0" fillId="2" borderId="6" xfId="0" applyNumberFormat="1" applyFill="1" applyBorder="1"/>
    <xf numFmtId="3" fontId="1" fillId="2" borderId="5" xfId="0" applyNumberFormat="1" applyFont="1" applyFill="1" applyBorder="1"/>
    <xf numFmtId="0" fontId="0" fillId="2" borderId="5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quotePrefix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3" borderId="0" xfId="0" applyNumberForma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3" fontId="0" fillId="3" borderId="0" xfId="0" applyNumberFormat="1" applyFill="1" applyAlignment="1" applyProtection="1">
      <alignment horizontal="left"/>
      <protection locked="0"/>
    </xf>
    <xf numFmtId="0" fontId="9" fillId="0" borderId="0" xfId="0" quotePrefix="1" applyFont="1" applyAlignment="1" applyProtection="1">
      <alignment horizontal="right"/>
      <protection locked="0"/>
    </xf>
    <xf numFmtId="0" fontId="11" fillId="4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2" fontId="0" fillId="3" borderId="0" xfId="0" applyNumberFormat="1" applyFill="1" applyAlignment="1" applyProtection="1">
      <alignment horizontal="left"/>
      <protection locked="0"/>
    </xf>
    <xf numFmtId="4" fontId="0" fillId="4" borderId="0" xfId="0" applyNumberFormat="1" applyFill="1" applyAlignment="1" applyProtection="1">
      <alignment horizontal="left"/>
      <protection locked="0"/>
    </xf>
    <xf numFmtId="165" fontId="0" fillId="4" borderId="0" xfId="0" applyNumberFormat="1" applyFill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/>
      <protection locked="0"/>
    </xf>
    <xf numFmtId="0" fontId="2" fillId="2" borderId="0" xfId="0" applyFont="1" applyFill="1"/>
    <xf numFmtId="0" fontId="9" fillId="2" borderId="12" xfId="0" applyFont="1" applyFill="1" applyBorder="1"/>
    <xf numFmtId="0" fontId="0" fillId="2" borderId="12" xfId="0" applyFill="1" applyBorder="1" applyAlignment="1">
      <alignment horizontal="left"/>
    </xf>
    <xf numFmtId="9" fontId="2" fillId="2" borderId="0" xfId="0" applyNumberFormat="1" applyFont="1" applyFill="1"/>
    <xf numFmtId="3" fontId="0" fillId="2" borderId="13" xfId="0" applyNumberForma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0" xfId="0" applyFill="1" applyBorder="1"/>
    <xf numFmtId="0" fontId="0" fillId="2" borderId="16" xfId="0" applyFill="1" applyBorder="1" applyAlignment="1">
      <alignment horizontal="center"/>
    </xf>
    <xf numFmtId="9" fontId="0" fillId="2" borderId="16" xfId="0" applyNumberFormat="1" applyFill="1" applyBorder="1" applyAlignment="1">
      <alignment horizontal="center"/>
    </xf>
    <xf numFmtId="3" fontId="0" fillId="2" borderId="17" xfId="0" applyNumberForma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4" fontId="0" fillId="2" borderId="12" xfId="0" applyNumberFormat="1" applyFill="1" applyBorder="1" applyAlignment="1">
      <alignment horizontal="center"/>
    </xf>
    <xf numFmtId="0" fontId="7" fillId="2" borderId="0" xfId="0" applyFont="1" applyFill="1"/>
    <xf numFmtId="0" fontId="10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6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5" fontId="0" fillId="5" borderId="0" xfId="0" applyNumberFormat="1" applyFill="1" applyAlignment="1" applyProtection="1">
      <alignment horizontal="center"/>
      <protection locked="0"/>
    </xf>
    <xf numFmtId="165" fontId="0" fillId="6" borderId="0" xfId="0" applyNumberFormat="1" applyFill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4" borderId="0" xfId="0" applyFill="1" applyAlignment="1" applyProtection="1">
      <alignment horizontal="center"/>
      <protection locked="0"/>
    </xf>
    <xf numFmtId="6" fontId="0" fillId="2" borderId="0" xfId="0" applyNumberFormat="1" applyFill="1" applyAlignment="1">
      <alignment horizontal="center"/>
    </xf>
    <xf numFmtId="3" fontId="0" fillId="2" borderId="7" xfId="0" applyNumberFormat="1" applyFill="1" applyBorder="1"/>
    <xf numFmtId="3" fontId="0" fillId="2" borderId="8" xfId="0" applyNumberFormat="1" applyFill="1" applyBorder="1"/>
    <xf numFmtId="0" fontId="13" fillId="0" borderId="0" xfId="0" applyFont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169" fontId="0" fillId="4" borderId="19" xfId="0" applyNumberFormat="1" applyFill="1" applyBorder="1" applyAlignment="1" applyProtection="1">
      <alignment horizontal="center"/>
      <protection locked="0"/>
    </xf>
    <xf numFmtId="166" fontId="0" fillId="4" borderId="19" xfId="0" applyNumberFormat="1" applyFill="1" applyBorder="1" applyAlignment="1" applyProtection="1">
      <alignment horizontal="center"/>
      <protection locked="0"/>
    </xf>
    <xf numFmtId="6" fontId="0" fillId="4" borderId="19" xfId="0" applyNumberFormat="1" applyFill="1" applyBorder="1" applyProtection="1">
      <protection locked="0"/>
    </xf>
    <xf numFmtId="8" fontId="0" fillId="4" borderId="10" xfId="0" applyNumberFormat="1" applyFill="1" applyBorder="1" applyAlignment="1" applyProtection="1">
      <alignment horizontal="center"/>
      <protection locked="0"/>
    </xf>
    <xf numFmtId="3" fontId="0" fillId="3" borderId="16" xfId="0" applyNumberFormat="1" applyFill="1" applyBorder="1" applyAlignment="1" applyProtection="1">
      <alignment horizontal="center"/>
      <protection locked="0"/>
    </xf>
    <xf numFmtId="3" fontId="0" fillId="3" borderId="19" xfId="0" applyNumberFormat="1" applyFill="1" applyBorder="1" applyAlignment="1" applyProtection="1">
      <alignment horizontal="center"/>
      <protection locked="0"/>
    </xf>
    <xf numFmtId="3" fontId="0" fillId="3" borderId="17" xfId="0" applyNumberFormat="1" applyFill="1" applyBorder="1" applyAlignment="1" applyProtection="1">
      <alignment horizontal="center"/>
      <protection locked="0"/>
    </xf>
    <xf numFmtId="3" fontId="0" fillId="3" borderId="20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9" fontId="0" fillId="4" borderId="20" xfId="0" applyNumberFormat="1" applyFill="1" applyBorder="1" applyAlignment="1" applyProtection="1">
      <alignment horizontal="center"/>
      <protection locked="0"/>
    </xf>
    <xf numFmtId="166" fontId="0" fillId="4" borderId="20" xfId="0" applyNumberFormat="1" applyFill="1" applyBorder="1" applyAlignment="1" applyProtection="1">
      <alignment horizontal="center"/>
      <protection locked="0"/>
    </xf>
    <xf numFmtId="6" fontId="0" fillId="4" borderId="20" xfId="0" applyNumberFormat="1" applyFill="1" applyBorder="1" applyProtection="1">
      <protection locked="0"/>
    </xf>
    <xf numFmtId="8" fontId="0" fillId="4" borderId="11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3" fontId="0" fillId="2" borderId="19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6" fontId="0" fillId="2" borderId="16" xfId="0" applyNumberFormat="1" applyFill="1" applyBorder="1" applyAlignment="1">
      <alignment horizontal="center"/>
    </xf>
    <xf numFmtId="9" fontId="0" fillId="2" borderId="17" xfId="0" applyNumberFormat="1" applyFill="1" applyBorder="1" applyAlignment="1">
      <alignment horizontal="center"/>
    </xf>
    <xf numFmtId="0" fontId="1" fillId="2" borderId="7" xfId="0" applyFont="1" applyFill="1" applyBorder="1"/>
    <xf numFmtId="3" fontId="0" fillId="0" borderId="0" xfId="0" applyNumberFormat="1" applyAlignment="1" applyProtection="1">
      <alignment horizontal="centerContinuous"/>
      <protection locked="0"/>
    </xf>
    <xf numFmtId="165" fontId="0" fillId="4" borderId="0" xfId="0" applyNumberFormat="1" applyFill="1" applyAlignment="1" applyProtection="1">
      <alignment horizontal="center"/>
      <protection locked="0"/>
    </xf>
    <xf numFmtId="166" fontId="0" fillId="4" borderId="0" xfId="0" applyNumberFormat="1" applyFill="1" applyAlignment="1" applyProtection="1">
      <alignment horizontal="center"/>
      <protection locked="0"/>
    </xf>
    <xf numFmtId="167" fontId="0" fillId="4" borderId="0" xfId="0" applyNumberFormat="1" applyFill="1" applyAlignment="1" applyProtection="1">
      <alignment horizontal="center"/>
      <protection locked="0"/>
    </xf>
    <xf numFmtId="168" fontId="0" fillId="4" borderId="0" xfId="0" applyNumberFormat="1" applyFill="1" applyAlignment="1" applyProtection="1">
      <alignment horizontal="center"/>
      <protection locked="0"/>
    </xf>
    <xf numFmtId="166" fontId="0" fillId="4" borderId="0" xfId="0" applyNumberForma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right"/>
      <protection locked="0"/>
    </xf>
    <xf numFmtId="8" fontId="0" fillId="4" borderId="0" xfId="0" applyNumberFormat="1" applyFill="1" applyAlignment="1" applyProtection="1">
      <alignment horizontal="center"/>
      <protection locked="0"/>
    </xf>
    <xf numFmtId="3" fontId="0" fillId="2" borderId="13" xfId="0" applyNumberFormat="1" applyFill="1" applyBorder="1" applyAlignment="1">
      <alignment horizontal="centerContinuous"/>
    </xf>
    <xf numFmtId="3" fontId="0" fillId="2" borderId="15" xfId="0" applyNumberFormat="1" applyFill="1" applyBorder="1" applyAlignment="1">
      <alignment horizontal="centerContinuous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3" fontId="0" fillId="3" borderId="0" xfId="0" applyNumberFormat="1" applyFill="1" applyAlignment="1" applyProtection="1">
      <alignment horizontal="center"/>
      <protection locked="0"/>
    </xf>
    <xf numFmtId="0" fontId="14" fillId="2" borderId="0" xfId="0" applyFont="1" applyFill="1"/>
    <xf numFmtId="3" fontId="14" fillId="2" borderId="0" xfId="0" applyNumberFormat="1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16932</xdr:colOff>
      <xdr:row>6</xdr:row>
      <xdr:rowOff>194732</xdr:rowOff>
    </xdr:from>
    <xdr:ext cx="1236492" cy="3852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324CAFB-9C9E-4442-BC1C-B23CC821B168}"/>
                </a:ext>
              </a:extLst>
            </xdr:cNvPr>
            <xdr:cNvSpPr txBox="1"/>
          </xdr:nvSpPr>
          <xdr:spPr>
            <a:xfrm>
              <a:off x="9256182" y="1337732"/>
              <a:ext cx="1236492" cy="38523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𝐼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</m:d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324CAFB-9C9E-4442-BC1C-B23CC821B168}"/>
                </a:ext>
              </a:extLst>
            </xdr:cNvPr>
            <xdr:cNvSpPr txBox="1"/>
          </xdr:nvSpPr>
          <xdr:spPr>
            <a:xfrm>
              <a:off x="9256182" y="1337732"/>
              <a:ext cx="1236492" cy="38523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𝐼(𝐿)=(𝐸[𝑋;𝐿]+𝜖)/(𝐸[𝑋;𝑏]+𝜖)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11</xdr:col>
      <xdr:colOff>406400</xdr:colOff>
      <xdr:row>3</xdr:row>
      <xdr:rowOff>33866</xdr:rowOff>
    </xdr:from>
    <xdr:ext cx="6332439" cy="48833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38B78F5-2559-4DCC-9C07-75F6BEDF413A}"/>
                </a:ext>
              </a:extLst>
            </xdr:cNvPr>
            <xdr:cNvSpPr txBox="1"/>
          </xdr:nvSpPr>
          <xdr:spPr>
            <a:xfrm>
              <a:off x="8683625" y="605366"/>
              <a:ext cx="6332439" cy="48833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and</m:t>
                    </m:r>
                    <m:r>
                      <m:rPr>
                        <m:nor/>
                      </m:rPr>
                      <a:rPr lang="en-US" sz="1400" b="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4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4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4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4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4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38B78F5-2559-4DCC-9C07-75F6BEDF413A}"/>
                </a:ext>
              </a:extLst>
            </xdr:cNvPr>
            <xdr:cNvSpPr txBox="1"/>
          </xdr:nvSpPr>
          <xdr:spPr>
            <a:xfrm>
              <a:off x="8683625" y="605366"/>
              <a:ext cx="6332439" cy="48833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𝑒^(𝜇+𝜎^2/2) " and " 𝐸[𝑋;𝐿]=E[X]⋅Φ((log⁡(𝐿)−𝜇−𝜎^2)/𝜎)+L⋅Φ((−log⁡(𝐿)+𝜇)/𝜎)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</xdr:col>
      <xdr:colOff>16933</xdr:colOff>
      <xdr:row>41</xdr:row>
      <xdr:rowOff>50800</xdr:rowOff>
    </xdr:from>
    <xdr:ext cx="4037964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4A93A9B-2612-4CE4-9056-39FA7FE71F79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E</m:t>
                    </m:r>
                    <m:d>
                      <m:dPr>
                        <m:begChr m:val="["/>
                        <m:endChr m:val="]"/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en-US" sz="1200" b="0" i="0">
                            <a:latin typeface="Cambria Math" panose="02040503050406030204" pitchFamily="18" charset="0"/>
                          </a:rPr>
                          <m:t>X</m:t>
                        </m:r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sSup>
                              <m:sSup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L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⋅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Φ</m:t>
                    </m:r>
                    <m:d>
                      <m:d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func>
                              <m:funcPr>
                                <m:ctrlPr>
                                  <a:rPr lang="en-US" sz="1200" b="0" i="1">
                                    <a:latin typeface="Cambria Math" panose="02040503050406030204" pitchFamily="18" charset="0"/>
                                  </a:rPr>
                                </m:ctrlPr>
                              </m:funcPr>
                              <m:fName>
                                <m:r>
                                  <m:rPr>
                                    <m:sty m:val="p"/>
                                  </m:rPr>
                                  <a:rPr lang="en-US" sz="1200" b="0" i="0">
                                    <a:latin typeface="Cambria Math" panose="02040503050406030204" pitchFamily="18" charset="0"/>
                                  </a:rPr>
                                  <m:t>log</m:t>
                                </m:r>
                              </m:fName>
                              <m:e>
                                <m:d>
                                  <m:dPr>
                                    <m:ctrlP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200" b="0" i="1">
                                        <a:latin typeface="Cambria Math" panose="02040503050406030204" pitchFamily="18" charset="0"/>
                                      </a:rPr>
                                      <m:t>𝐿</m:t>
                                    </m:r>
                                  </m:e>
                                </m:d>
                              </m:e>
                            </m:func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num>
                          <m:den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den>
                        </m:f>
                      </m:e>
                    </m:d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74A93A9B-2612-4CE4-9056-39FA7FE71F79}"/>
                </a:ext>
              </a:extLst>
            </xdr:cNvPr>
            <xdr:cNvSpPr txBox="1"/>
          </xdr:nvSpPr>
          <xdr:spPr>
            <a:xfrm>
              <a:off x="731308" y="7899400"/>
              <a:ext cx="4037964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latin typeface="Cambria Math" panose="02040503050406030204" pitchFamily="18" charset="0"/>
                </a:rPr>
                <a:t>𝐸[𝑋;𝐿]=E[X]⋅Φ((log⁡(𝐿)−𝜇−𝜎^2)/𝜎)+L⋅Φ((−log⁡(𝐿)+𝜇)/𝜎)</a:t>
              </a:r>
              <a:endParaRPr lang="en-GB" sz="1200"/>
            </a:p>
          </xdr:txBody>
        </xdr:sp>
      </mc:Fallback>
    </mc:AlternateContent>
    <xdr:clientData/>
  </xdr:oneCellAnchor>
  <xdr:oneCellAnchor>
    <xdr:from>
      <xdr:col>0</xdr:col>
      <xdr:colOff>694266</xdr:colOff>
      <xdr:row>39</xdr:row>
      <xdr:rowOff>33866</xdr:rowOff>
    </xdr:from>
    <xdr:ext cx="1289647" cy="3509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B8F463D-09EE-460D-BB3B-7776884B04B9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d>
                    <m:r>
                      <a:rPr lang="en-US" sz="1400" b="0" i="1">
                        <a:latin typeface="Cambria Math" panose="02040503050406030204" pitchFamily="18" charset="0"/>
                      </a:rPr>
                      <m:t>= </m:t>
                    </m:r>
                    <m:sSup>
                      <m:sSup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𝜇</m:t>
                        </m:r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+ </m:t>
                        </m:r>
                        <m:f>
                          <m:fPr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p>
                              <m:sSupPr>
                                <m:ctrlP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𝜎</m:t>
                                </m:r>
                              </m:e>
                              <m:sup>
                                <m:r>
                                  <a:rPr lang="en-US" sz="1400" b="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</m:num>
                          <m:den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den>
                        </m:f>
                      </m:sup>
                    </m:sSup>
                  </m:oMath>
                </m:oMathPara>
              </a14:m>
              <a:endParaRPr lang="en-GB" sz="14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2B8F463D-09EE-460D-BB3B-7776884B04B9}"/>
                </a:ext>
              </a:extLst>
            </xdr:cNvPr>
            <xdr:cNvSpPr txBox="1"/>
          </xdr:nvSpPr>
          <xdr:spPr>
            <a:xfrm>
              <a:off x="694266" y="7501466"/>
              <a:ext cx="1289647" cy="3509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𝐸[𝑋]= 𝑒^(𝜇+ 𝜎^2/2)</a:t>
              </a:r>
              <a:endParaRPr lang="en-GB" sz="1400"/>
            </a:p>
          </xdr:txBody>
        </xdr:sp>
      </mc:Fallback>
    </mc:AlternateContent>
    <xdr:clientData/>
  </xdr:oneCellAnchor>
  <xdr:oneCellAnchor>
    <xdr:from>
      <xdr:col>12</xdr:col>
      <xdr:colOff>8467</xdr:colOff>
      <xdr:row>18</xdr:row>
      <xdr:rowOff>12699</xdr:rowOff>
    </xdr:from>
    <xdr:ext cx="136011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6C02898-B3CB-4A65-9FEB-195F6B3CC11A}"/>
                </a:ext>
              </a:extLst>
            </xdr:cNvPr>
            <xdr:cNvSpPr txBox="1"/>
          </xdr:nvSpPr>
          <xdr:spPr>
            <a:xfrm>
              <a:off x="10933642" y="3441699"/>
              <a:ext cx="13601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E6C02898-B3CB-4A65-9FEB-195F6B3CC11A}"/>
                </a:ext>
              </a:extLst>
            </xdr:cNvPr>
            <xdr:cNvSpPr txBox="1"/>
          </xdr:nvSpPr>
          <xdr:spPr>
            <a:xfrm>
              <a:off x="10933642" y="3441699"/>
              <a:ext cx="136011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𝐸[𝑁]⋅(𝐸[𝑋;𝑏]+𝜖)=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42332</xdr:colOff>
      <xdr:row>26</xdr:row>
      <xdr:rowOff>12699</xdr:rowOff>
    </xdr:from>
    <xdr:ext cx="12845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7D40BBE-84FD-40A0-97FE-9D31E6FE167D}"/>
                </a:ext>
              </a:extLst>
            </xdr:cNvPr>
            <xdr:cNvSpPr txBox="1"/>
          </xdr:nvSpPr>
          <xdr:spPr>
            <a:xfrm>
              <a:off x="10967507" y="4965699"/>
              <a:ext cx="12845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𝐸</m:t>
                  </m:r>
                  <m:d>
                    <m:dPr>
                      <m:begChr m:val="["/>
                      <m:endChr m:val="]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𝑁</m:t>
                      </m:r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⋅</m:t>
                  </m:r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𝐸</m:t>
                      </m:r>
                      <m:d>
                        <m:dPr>
                          <m:begChr m:val="["/>
                          <m:endChr m:val="]"/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𝑋</m:t>
                          </m:r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;</m:t>
                          </m:r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𝐿</m:t>
                          </m:r>
                        </m:e>
                      </m:d>
                      <m:r>
                        <a:rPr lang="en-US" sz="11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𝜖</m:t>
                      </m:r>
                    </m:e>
                  </m:d>
                </m:oMath>
              </a14:m>
              <a:r>
                <a:rPr lang="en-GB" sz="1100"/>
                <a:t> =</a:t>
              </a: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7D40BBE-84FD-40A0-97FE-9D31E6FE167D}"/>
                </a:ext>
              </a:extLst>
            </xdr:cNvPr>
            <xdr:cNvSpPr txBox="1"/>
          </xdr:nvSpPr>
          <xdr:spPr>
            <a:xfrm>
              <a:off x="10967507" y="4965699"/>
              <a:ext cx="12845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𝐸[𝑁]⋅(𝐸[𝑋;𝐿]+𝜖)</a:t>
              </a:r>
              <a:r>
                <a:rPr lang="en-GB" sz="1100"/>
                <a:t> =</a:t>
              </a:r>
            </a:p>
          </xdr:txBody>
        </xdr:sp>
      </mc:Fallback>
    </mc:AlternateContent>
    <xdr:clientData/>
  </xdr:oneCellAnchor>
  <xdr:oneCellAnchor>
    <xdr:from>
      <xdr:col>12</xdr:col>
      <xdr:colOff>42334</xdr:colOff>
      <xdr:row>46</xdr:row>
      <xdr:rowOff>182032</xdr:rowOff>
    </xdr:from>
    <xdr:ext cx="5298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89C5329-805E-4792-9D0B-F7B77F775296}"/>
                </a:ext>
              </a:extLst>
            </xdr:cNvPr>
            <xdr:cNvSpPr txBox="1"/>
          </xdr:nvSpPr>
          <xdr:spPr>
            <a:xfrm>
              <a:off x="10967509" y="8983132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89C5329-805E-4792-9D0B-F7B77F775296}"/>
                </a:ext>
              </a:extLst>
            </xdr:cNvPr>
            <xdr:cNvSpPr txBox="1"/>
          </xdr:nvSpPr>
          <xdr:spPr>
            <a:xfrm>
              <a:off x="10967509" y="8983132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𝑃_𝑏⋅𝐼(𝐿)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127001</xdr:colOff>
      <xdr:row>36</xdr:row>
      <xdr:rowOff>29634</xdr:rowOff>
    </xdr:from>
    <xdr:ext cx="1004249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D97FCF7-07B9-47A3-99E2-3E42B64859A2}"/>
                </a:ext>
              </a:extLst>
            </xdr:cNvPr>
            <xdr:cNvSpPr txBox="1"/>
          </xdr:nvSpPr>
          <xdr:spPr>
            <a:xfrm>
              <a:off x="11052176" y="6925734"/>
              <a:ext cx="1004249" cy="3592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d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[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]⋅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1+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CD97FCF7-07B9-47A3-99E2-3E42B64859A2}"/>
                </a:ext>
              </a:extLst>
            </xdr:cNvPr>
            <xdr:cNvSpPr txBox="1"/>
          </xdr:nvSpPr>
          <xdr:spPr>
            <a:xfrm>
              <a:off x="11052176" y="6925734"/>
              <a:ext cx="1004249" cy="3592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𝐸[𝑋;𝐿]⋅(1+𝜇)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𝐸[𝑋;𝑏]⋅(1+𝜇) 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16934</xdr:colOff>
      <xdr:row>42</xdr:row>
      <xdr:rowOff>12700</xdr:rowOff>
    </xdr:from>
    <xdr:ext cx="140711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C34CE6A-728A-44B8-9C94-484C39DDF999}"/>
                </a:ext>
              </a:extLst>
            </xdr:cNvPr>
            <xdr:cNvSpPr txBox="1"/>
          </xdr:nvSpPr>
          <xdr:spPr>
            <a:xfrm>
              <a:off x="10942109" y="8051800"/>
              <a:ext cx="14071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  <m:d>
                      <m:dPr>
                        <m:begChr m:val="["/>
                        <m:endChr m:val="]"/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;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𝜇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C34CE6A-728A-44B8-9C94-484C39DDF999}"/>
                </a:ext>
              </a:extLst>
            </xdr:cNvPr>
            <xdr:cNvSpPr txBox="1"/>
          </xdr:nvSpPr>
          <xdr:spPr>
            <a:xfrm>
              <a:off x="10942109" y="8051800"/>
              <a:ext cx="140711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𝐸[𝑁]⋅𝐸[𝑋;𝑏]⋅(1+𝜇)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84667</xdr:colOff>
      <xdr:row>31</xdr:row>
      <xdr:rowOff>21165</xdr:rowOff>
    </xdr:from>
    <xdr:ext cx="5298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2EF027DF-B5D8-40BA-B3B8-B16DCB8A715F}"/>
                </a:ext>
              </a:extLst>
            </xdr:cNvPr>
            <xdr:cNvSpPr txBox="1"/>
          </xdr:nvSpPr>
          <xdr:spPr>
            <a:xfrm>
              <a:off x="11009842" y="5926665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2EF027DF-B5D8-40BA-B3B8-B16DCB8A715F}"/>
                </a:ext>
              </a:extLst>
            </xdr:cNvPr>
            <xdr:cNvSpPr txBox="1"/>
          </xdr:nvSpPr>
          <xdr:spPr>
            <a:xfrm>
              <a:off x="11009842" y="5926665"/>
              <a:ext cx="52988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𝑃_𝑏⋅𝐼(𝐿)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402168</xdr:colOff>
      <xdr:row>1</xdr:row>
      <xdr:rowOff>110065</xdr:rowOff>
    </xdr:from>
    <xdr:ext cx="1634422" cy="3592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C06C04-7E16-4348-9762-34F246E01CD8}"/>
                </a:ext>
              </a:extLst>
            </xdr:cNvPr>
            <xdr:cNvSpPr txBox="1"/>
          </xdr:nvSpPr>
          <xdr:spPr>
            <a:xfrm>
              <a:off x="7888818" y="300565"/>
              <a:ext cx="1634422" cy="3592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)⋅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1C06C04-7E16-4348-9762-34F246E01CD8}"/>
                </a:ext>
              </a:extLst>
            </xdr:cNvPr>
            <xdr:cNvSpPr txBox="1"/>
          </xdr:nvSpPr>
          <xdr:spPr>
            <a:xfrm>
              <a:off x="7888818" y="300565"/>
              <a:ext cx="1634422" cy="35926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</a:t>
              </a:r>
              <a:r>
                <a:rPr lang="en-GB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𝐸[𝑋;𝑑]+𝐹_𝑋 (𝑑)⋅𝜖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𝐸[𝑋;𝑏]+𝜖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719668</xdr:colOff>
      <xdr:row>2</xdr:row>
      <xdr:rowOff>0</xdr:rowOff>
    </xdr:from>
    <xdr:ext cx="8450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7BF739D-69C6-4C67-BFD3-F4FFF612AA06}"/>
                </a:ext>
              </a:extLst>
            </xdr:cNvPr>
            <xdr:cNvSpPr txBox="1"/>
          </xdr:nvSpPr>
          <xdr:spPr>
            <a:xfrm>
              <a:off x="12349693" y="38100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7BF739D-69C6-4C67-BFD3-F4FFF612AA06}"/>
                </a:ext>
              </a:extLst>
            </xdr:cNvPr>
            <xdr:cNvSpPr txBox="1"/>
          </xdr:nvSpPr>
          <xdr:spPr>
            <a:xfrm>
              <a:off x="12349693" y="38100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𝜙(1−𝐹_𝑋 (𝑑))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160867</xdr:colOff>
      <xdr:row>3</xdr:row>
      <xdr:rowOff>162559</xdr:rowOff>
    </xdr:from>
    <xdr:ext cx="2734275" cy="3933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79F122D-A28B-408B-AC96-BAC7B3A07C00}"/>
                </a:ext>
              </a:extLst>
            </xdr:cNvPr>
            <xdr:cNvSpPr txBox="1"/>
          </xdr:nvSpPr>
          <xdr:spPr>
            <a:xfrm>
              <a:off x="8923867" y="711199"/>
              <a:ext cx="2734275" cy="39337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1−</m:t>
                                </m:r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𝐹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𝑋</m:t>
                                    </m:r>
                                  </m:sub>
                                </m:sSub>
                                <m:d>
                                  <m:d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𝑑</m:t>
                                    </m:r>
                                  </m:e>
                                </m:d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𝜖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den>
                        </m:f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𝑢</m:t>
                        </m:r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79F122D-A28B-408B-AC96-BAC7B3A07C00}"/>
                </a:ext>
              </a:extLst>
            </xdr:cNvPr>
            <xdr:cNvSpPr txBox="1"/>
          </xdr:nvSpPr>
          <xdr:spPr>
            <a:xfrm>
              <a:off x="8923867" y="711199"/>
              <a:ext cx="2734275" cy="39337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((𝐸[𝑋;𝑏]−𝐸[𝑋;𝑑]+(1−𝐹_𝑋 (𝑑))𝜖)/(1−𝐹_𝑋 (𝑑) ))⋅(1+𝑢)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898313</xdr:colOff>
      <xdr:row>22</xdr:row>
      <xdr:rowOff>0</xdr:rowOff>
    </xdr:from>
    <xdr:ext cx="11522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7DAEB06-C616-4683-B133-D71A6EEDF9CA}"/>
                </a:ext>
              </a:extLst>
            </xdr:cNvPr>
            <xdr:cNvSpPr txBox="1"/>
          </xdr:nvSpPr>
          <xdr:spPr>
            <a:xfrm>
              <a:off x="9851813" y="3848100"/>
              <a:ext cx="115223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⋅(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𝐼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E7DAEB06-C616-4683-B133-D71A6EEDF9CA}"/>
                </a:ext>
              </a:extLst>
            </xdr:cNvPr>
            <xdr:cNvSpPr txBox="1"/>
          </xdr:nvSpPr>
          <xdr:spPr>
            <a:xfrm>
              <a:off x="9851813" y="3848100"/>
              <a:ext cx="1152239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𝑃_𝑏⋅(𝐼(𝐿)−𝐶(𝑑))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12</xdr:col>
      <xdr:colOff>610871</xdr:colOff>
      <xdr:row>7</xdr:row>
      <xdr:rowOff>4869</xdr:rowOff>
    </xdr:from>
    <xdr:ext cx="36388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EDD7BEF-E3F0-421F-AE02-ADE94BA15524}"/>
                </a:ext>
              </a:extLst>
            </xdr:cNvPr>
            <xdr:cNvSpPr txBox="1"/>
          </xdr:nvSpPr>
          <xdr:spPr>
            <a:xfrm>
              <a:off x="9564371" y="766869"/>
              <a:ext cx="3638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𝜖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EDD7BEF-E3F0-421F-AE02-ADE94BA15524}"/>
                </a:ext>
              </a:extLst>
            </xdr:cNvPr>
            <xdr:cNvSpPr txBox="1"/>
          </xdr:nvSpPr>
          <xdr:spPr>
            <a:xfrm>
              <a:off x="9564371" y="766869"/>
              <a:ext cx="36388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𝜖=0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15</xdr:col>
      <xdr:colOff>175048</xdr:colOff>
      <xdr:row>6</xdr:row>
      <xdr:rowOff>110915</xdr:rowOff>
    </xdr:from>
    <xdr:ext cx="943142" cy="3531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A87936F-EBF3-45F3-9C9F-155EA02B17E4}"/>
                </a:ext>
              </a:extLst>
            </xdr:cNvPr>
            <xdr:cNvSpPr txBox="1"/>
          </xdr:nvSpPr>
          <xdr:spPr>
            <a:xfrm>
              <a:off x="10395373" y="1253915"/>
              <a:ext cx="943142" cy="35317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A87936F-EBF3-45F3-9C9F-155EA02B17E4}"/>
                </a:ext>
              </a:extLst>
            </xdr:cNvPr>
            <xdr:cNvSpPr txBox="1"/>
          </xdr:nvSpPr>
          <xdr:spPr>
            <a:xfrm>
              <a:off x="10395373" y="1253915"/>
              <a:ext cx="943142" cy="35317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𝐶(𝑑)=𝐸[𝑋;𝑑]</a:t>
              </a:r>
              <a:r>
                <a:rPr lang="en-GB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 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575732</xdr:colOff>
      <xdr:row>1</xdr:row>
      <xdr:rowOff>84665</xdr:rowOff>
    </xdr:from>
    <xdr:ext cx="2509661" cy="3797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F2D017D-523A-4E66-BFF4-79DFCB78BF1A}"/>
                </a:ext>
              </a:extLst>
            </xdr:cNvPr>
            <xdr:cNvSpPr txBox="1"/>
          </xdr:nvSpPr>
          <xdr:spPr>
            <a:xfrm>
              <a:off x="10834157" y="275165"/>
              <a:ext cx="2509661" cy="37971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sub>
                        </m:sSub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𝐸</m:t>
                        </m:r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;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𝑏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F2D017D-523A-4E66-BFF4-79DFCB78BF1A}"/>
                </a:ext>
              </a:extLst>
            </xdr:cNvPr>
            <xdr:cNvSpPr txBox="1"/>
          </xdr:nvSpPr>
          <xdr:spPr>
            <a:xfrm>
              <a:off x="10834157" y="275165"/>
              <a:ext cx="2509661" cy="379719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𝐶(𝑑)=(𝐸[𝑋;𝑑]−𝑑(1−𝐹_𝑋 (𝑑))+𝐹_𝑋 (𝑑)𝜖)/(𝐸[𝑋;𝑏]+𝜖)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13</xdr:col>
      <xdr:colOff>982135</xdr:colOff>
      <xdr:row>5</xdr:row>
      <xdr:rowOff>127001</xdr:rowOff>
    </xdr:from>
    <xdr:ext cx="2288255" cy="3803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8610626-A868-4B8F-9B27-524835778DAF}"/>
                </a:ext>
              </a:extLst>
            </xdr:cNvPr>
            <xdr:cNvSpPr txBox="1"/>
          </xdr:nvSpPr>
          <xdr:spPr>
            <a:xfrm>
              <a:off x="10011835" y="1049021"/>
              <a:ext cx="2288255" cy="38036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GB" sz="11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</m:d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  <m:d>
                              <m:dPr>
                                <m:begChr m:val="["/>
                                <m:endChr m:val="]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𝑥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;</m:t>
                                </m:r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num>
                          <m:den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𝐹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𝑋</m:t>
                                </m:r>
                              </m:sub>
                            </m:sSub>
                            <m:d>
                              <m:dPr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  <m:t>𝑑</m:t>
                                </m:r>
                              </m:e>
                            </m:d>
                          </m:den>
                        </m:f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+(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(1+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𝑢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8610626-A868-4B8F-9B27-524835778DAF}"/>
                </a:ext>
              </a:extLst>
            </xdr:cNvPr>
            <xdr:cNvSpPr txBox="1"/>
          </xdr:nvSpPr>
          <xdr:spPr>
            <a:xfrm>
              <a:off x="10011835" y="1049021"/>
              <a:ext cx="2288255" cy="380361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i="0">
                  <a:latin typeface="Cambria Math" panose="02040503050406030204" pitchFamily="18" charset="0"/>
                </a:rPr>
                <a:t>((</a:t>
              </a:r>
              <a:r>
                <a:rPr lang="en-US" sz="1100" b="0" i="0">
                  <a:latin typeface="Cambria Math" panose="02040503050406030204" pitchFamily="18" charset="0"/>
                </a:rPr>
                <a:t>𝐸[𝑋;𝑏]−𝐸[𝑥;𝑑]</a:t>
              </a:r>
              <a:r>
                <a:rPr lang="en-GB" sz="1100" b="0" i="0">
                  <a:latin typeface="Cambria Math" panose="02040503050406030204" pitchFamily="18" charset="0"/>
                </a:rPr>
                <a:t>)/(</a:t>
              </a:r>
              <a:r>
                <a:rPr lang="en-US" sz="1100" b="0" i="0">
                  <a:latin typeface="Cambria Math" panose="02040503050406030204" pitchFamily="18" charset="0"/>
                </a:rPr>
                <a:t>1−𝐹_𝑋 (𝑑) </a:t>
              </a:r>
              <a:r>
                <a:rPr lang="en-GB" sz="1100" b="0" i="0">
                  <a:latin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+(𝑑+𝜖))(1+𝑢)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20</xdr:col>
      <xdr:colOff>973668</xdr:colOff>
      <xdr:row>3</xdr:row>
      <xdr:rowOff>177800</xdr:rowOff>
    </xdr:from>
    <xdr:ext cx="84503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918BDB2-3BDD-4AC7-BA1C-A766A7B22B70}"/>
                </a:ext>
              </a:extLst>
            </xdr:cNvPr>
            <xdr:cNvSpPr txBox="1"/>
          </xdr:nvSpPr>
          <xdr:spPr>
            <a:xfrm>
              <a:off x="15194493" y="74930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(1−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𝑋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4918BDB2-3BDD-4AC7-BA1C-A766A7B22B70}"/>
                </a:ext>
              </a:extLst>
            </xdr:cNvPr>
            <xdr:cNvSpPr txBox="1"/>
          </xdr:nvSpPr>
          <xdr:spPr>
            <a:xfrm>
              <a:off x="15194493" y="749300"/>
              <a:ext cx="845039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𝜙(1−𝐹_𝑋 (𝑑))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2" max="2" width="22.7109375" style="1" customWidth="1"/>
    <col min="3" max="3" width="64" customWidth="1"/>
  </cols>
  <sheetData>
    <row r="5" spans="1:3" ht="15" customHeight="1" x14ac:dyDescent="0.25">
      <c r="A5" s="124" t="s">
        <v>18</v>
      </c>
      <c r="B5" s="124"/>
      <c r="C5" s="124"/>
    </row>
    <row r="6" spans="1:3" ht="15" customHeight="1" x14ac:dyDescent="0.25">
      <c r="A6" s="124"/>
      <c r="B6" s="124"/>
      <c r="C6" s="124"/>
    </row>
    <row r="7" spans="1:3" ht="15" customHeight="1" x14ac:dyDescent="0.25"/>
    <row r="8" spans="1:3" ht="15" customHeight="1" x14ac:dyDescent="0.3">
      <c r="A8" s="125" t="s">
        <v>122</v>
      </c>
      <c r="B8" s="125"/>
      <c r="C8" s="125"/>
    </row>
    <row r="9" spans="1:3" ht="21" x14ac:dyDescent="0.35">
      <c r="A9" s="6"/>
      <c r="B9" s="6"/>
      <c r="C9" s="6"/>
    </row>
    <row r="10" spans="1:3" x14ac:dyDescent="0.25">
      <c r="A10" s="2" t="s">
        <v>0</v>
      </c>
      <c r="B10" s="2" t="s">
        <v>1</v>
      </c>
      <c r="C10" s="2" t="s">
        <v>2</v>
      </c>
    </row>
    <row r="11" spans="1:3" x14ac:dyDescent="0.25">
      <c r="A11" s="3">
        <v>1</v>
      </c>
      <c r="B11" s="1" t="s">
        <v>19</v>
      </c>
      <c r="C11" t="s">
        <v>17</v>
      </c>
    </row>
    <row r="12" spans="1:3" x14ac:dyDescent="0.25">
      <c r="A12" s="3">
        <v>2</v>
      </c>
      <c r="B12" s="1" t="s">
        <v>88</v>
      </c>
      <c r="C12" t="s">
        <v>63</v>
      </c>
    </row>
    <row r="13" spans="1:3" x14ac:dyDescent="0.25">
      <c r="A13" s="3">
        <v>3</v>
      </c>
      <c r="B13" s="1" t="s">
        <v>113</v>
      </c>
      <c r="C13" t="s">
        <v>89</v>
      </c>
    </row>
    <row r="14" spans="1:3" x14ac:dyDescent="0.25">
      <c r="A14" s="3">
        <v>4</v>
      </c>
      <c r="B14" s="1" t="s">
        <v>121</v>
      </c>
      <c r="C14" t="s">
        <v>114</v>
      </c>
    </row>
    <row r="15" spans="1:3" x14ac:dyDescent="0.25">
      <c r="A15" s="3"/>
    </row>
    <row r="16" spans="1:3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</sheetData>
  <sheetProtection algorithmName="SHA-512" hashValue="UXc3x7uOkITJ1j1FCcsDnMNfxiXu3U3B5EL96bj0Cmw9rS3YbtJUMvmaOBiWVf8eabBY+gqcxxBEyvv0L+pxlw==" saltValue="y6lVLN0flz+vsScJVz1xKA==" spinCount="100000" sheet="1" objects="1" scenarios="1" formatCells="0" formatColumns="0" formatRows="0"/>
  <mergeCells count="2">
    <mergeCell ref="A5:C6"/>
    <mergeCell ref="A8:C8"/>
  </mergeCells>
  <hyperlinks>
    <hyperlink ref="A11" location="'W-Bahnemann-Ch61'!A1" display="'W-Bahnemann-Ch61'!A1" xr:uid="{DC971D5C-483B-4A01-B4E0-7E9F4C0FB7EB}"/>
    <hyperlink ref="A12" location="'W-Bahnemann-Ch62'!A1" display="'W-Bahnemann-Ch62'!A1" xr:uid="{B0F4513A-3D76-4093-9C88-2162D0054CC0}"/>
    <hyperlink ref="A13" location="'W-Bahnemann-Ch63'!A1" display="'W-Bahnemann-Ch63'!A1" xr:uid="{90CC18DD-3558-42B7-8F9A-4743CA3BCF37}"/>
    <hyperlink ref="A14" location="'W-Bahnemann-Ch64'!A1" display="'W-Bahnemann-Ch64'!A1" xr:uid="{C65AF3AF-A0A3-411C-8518-3653B8E2930F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D949-268D-4408-8EC9-E5181393509B}">
  <sheetPr codeName="Sheet44"/>
  <dimension ref="A1:U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3.7109375" style="8" customWidth="1"/>
    <col min="3" max="3" width="10.28515625" style="8" customWidth="1"/>
    <col min="4" max="4" width="32.7109375" style="8" customWidth="1"/>
    <col min="5" max="5" width="11.140625" style="8" customWidth="1"/>
    <col min="6" max="6" width="17.28515625" style="8" customWidth="1"/>
    <col min="7" max="7" width="12.5703125" style="8" bestFit="1" customWidth="1"/>
    <col min="8" max="8" width="9.140625" style="8"/>
    <col min="9" max="9" width="9.140625" style="8" customWidth="1"/>
    <col min="10" max="10" width="2.7109375" style="8" customWidth="1"/>
    <col min="11" max="11" width="4.7109375" style="8" customWidth="1"/>
    <col min="12" max="12" width="25.28515625" style="8" customWidth="1"/>
    <col min="13" max="13" width="19.7109375" style="8" customWidth="1"/>
    <col min="14" max="14" width="11" style="8" customWidth="1"/>
    <col min="15" max="15" width="8.7109375" style="8" customWidth="1"/>
    <col min="16" max="17" width="5.7109375" style="8" customWidth="1"/>
    <col min="18" max="18" width="16.28515625" style="8" customWidth="1"/>
    <col min="19" max="19" width="21.28515625" style="8" customWidth="1"/>
    <col min="20" max="16384" width="9.140625" style="8"/>
  </cols>
  <sheetData>
    <row r="1" spans="1:21" x14ac:dyDescent="0.25">
      <c r="A1" s="12" t="s">
        <v>3</v>
      </c>
      <c r="B1" s="13"/>
      <c r="C1" s="13" t="s">
        <v>20</v>
      </c>
      <c r="D1" s="14"/>
      <c r="E1" s="13"/>
      <c r="F1" s="13"/>
      <c r="G1" s="13"/>
      <c r="H1" s="13"/>
      <c r="I1" s="5" t="s">
        <v>8</v>
      </c>
      <c r="J1" s="9"/>
      <c r="K1" s="7" t="s">
        <v>9</v>
      </c>
      <c r="T1" s="9"/>
    </row>
    <row r="2" spans="1:21" x14ac:dyDescent="0.25">
      <c r="A2" s="15" t="s">
        <v>4</v>
      </c>
      <c r="B2" s="16"/>
      <c r="C2" s="16" t="s">
        <v>21</v>
      </c>
      <c r="D2" s="16"/>
      <c r="E2" s="16"/>
      <c r="F2" s="16"/>
      <c r="G2" s="16"/>
      <c r="H2" s="16"/>
      <c r="I2" s="17"/>
      <c r="J2" s="9"/>
      <c r="T2" s="9"/>
    </row>
    <row r="3" spans="1:21" x14ac:dyDescent="0.25">
      <c r="A3" s="15" t="s">
        <v>5</v>
      </c>
      <c r="B3" s="16"/>
      <c r="C3" s="16" t="s">
        <v>22</v>
      </c>
      <c r="D3" s="16"/>
      <c r="E3" s="16"/>
      <c r="F3" s="16"/>
      <c r="G3" s="16"/>
      <c r="H3" s="16"/>
      <c r="I3" s="17"/>
      <c r="J3" s="9"/>
      <c r="K3" s="8" t="s">
        <v>23</v>
      </c>
      <c r="T3" s="9"/>
    </row>
    <row r="4" spans="1:21" x14ac:dyDescent="0.25">
      <c r="A4" s="18"/>
      <c r="B4" s="19"/>
      <c r="C4" s="19"/>
      <c r="D4" s="19"/>
      <c r="E4" s="19"/>
      <c r="F4" s="19"/>
      <c r="G4" s="19"/>
      <c r="H4" s="19"/>
      <c r="I4" s="20"/>
      <c r="J4" s="10"/>
      <c r="T4" s="10"/>
      <c r="U4" s="11"/>
    </row>
    <row r="5" spans="1:21" ht="15" customHeight="1" x14ac:dyDescent="0.25">
      <c r="A5" s="21" t="s">
        <v>6</v>
      </c>
      <c r="B5" s="16"/>
      <c r="C5" s="16" t="s">
        <v>24</v>
      </c>
      <c r="D5" s="16"/>
      <c r="E5" s="16"/>
      <c r="F5" s="16"/>
      <c r="G5" s="16"/>
      <c r="H5" s="16"/>
      <c r="I5" s="17"/>
      <c r="J5" s="10"/>
      <c r="T5" s="10"/>
      <c r="U5" s="11"/>
    </row>
    <row r="6" spans="1:21" x14ac:dyDescent="0.25">
      <c r="A6" s="22"/>
      <c r="B6" s="47">
        <v>504</v>
      </c>
      <c r="C6" s="48" t="s">
        <v>25</v>
      </c>
      <c r="D6" s="49">
        <v>8</v>
      </c>
      <c r="E6" s="16"/>
      <c r="F6" s="16"/>
      <c r="G6" s="16"/>
      <c r="H6" s="16"/>
      <c r="I6" s="17"/>
      <c r="J6" s="10"/>
      <c r="T6" s="10"/>
      <c r="U6" s="11"/>
    </row>
    <row r="7" spans="1:21" ht="15" customHeight="1" x14ac:dyDescent="0.25">
      <c r="A7" s="22"/>
      <c r="B7" s="50">
        <v>0.24</v>
      </c>
      <c r="C7" s="48" t="s">
        <v>26</v>
      </c>
      <c r="D7" s="49">
        <v>1.5</v>
      </c>
      <c r="E7" s="16"/>
      <c r="F7" s="16"/>
      <c r="G7" s="16"/>
      <c r="H7" s="16"/>
      <c r="I7" s="17"/>
      <c r="J7" s="10"/>
      <c r="K7" s="8" t="s">
        <v>12</v>
      </c>
      <c r="L7" s="8" t="s">
        <v>27</v>
      </c>
      <c r="T7" s="10"/>
      <c r="U7" s="11"/>
    </row>
    <row r="8" spans="1:21" ht="15" customHeight="1" x14ac:dyDescent="0.25">
      <c r="A8" s="21"/>
      <c r="B8" s="19"/>
      <c r="C8" s="16"/>
      <c r="D8" s="16"/>
      <c r="E8" s="16"/>
      <c r="F8" s="16"/>
      <c r="G8" s="16"/>
      <c r="H8" s="16"/>
      <c r="I8" s="17"/>
      <c r="J8" s="10"/>
      <c r="T8" s="10"/>
      <c r="U8" s="11"/>
    </row>
    <row r="9" spans="1:21" x14ac:dyDescent="0.25">
      <c r="A9" s="21"/>
      <c r="B9" s="19"/>
      <c r="C9" s="16" t="s">
        <v>28</v>
      </c>
      <c r="D9" s="16"/>
      <c r="E9" s="16"/>
      <c r="F9" s="16"/>
      <c r="G9" s="16"/>
      <c r="H9" s="16"/>
      <c r="I9" s="17"/>
      <c r="J9" s="10"/>
      <c r="T9" s="10"/>
      <c r="U9" s="11"/>
    </row>
    <row r="10" spans="1:21" x14ac:dyDescent="0.25">
      <c r="A10" s="18"/>
      <c r="B10" s="19"/>
      <c r="C10" s="51">
        <v>2900</v>
      </c>
      <c r="D10" s="52" t="s">
        <v>29</v>
      </c>
      <c r="E10" s="53"/>
      <c r="F10" s="16"/>
      <c r="G10" s="16"/>
      <c r="H10" s="16"/>
      <c r="I10" s="17"/>
      <c r="J10" s="10"/>
      <c r="T10" s="10"/>
      <c r="U10" s="11"/>
    </row>
    <row r="11" spans="1:21" x14ac:dyDescent="0.25">
      <c r="A11" s="18"/>
      <c r="B11" s="19"/>
      <c r="C11" s="54"/>
      <c r="D11" s="16"/>
      <c r="E11" s="55"/>
      <c r="F11" s="16"/>
      <c r="G11" s="16"/>
      <c r="H11" s="16"/>
      <c r="I11" s="17"/>
      <c r="J11" s="10"/>
      <c r="L11" s="29" t="s">
        <v>30</v>
      </c>
      <c r="M11" s="37">
        <f>D19</f>
        <v>8635.26</v>
      </c>
      <c r="T11" s="10"/>
      <c r="U11" s="11"/>
    </row>
    <row r="12" spans="1:21" x14ac:dyDescent="0.25">
      <c r="A12" s="18"/>
      <c r="B12" s="19"/>
      <c r="C12" s="56">
        <v>1E-4</v>
      </c>
      <c r="D12" s="16" t="s">
        <v>31</v>
      </c>
      <c r="E12" s="55"/>
      <c r="F12" s="16"/>
      <c r="G12" s="16"/>
      <c r="H12" s="16"/>
      <c r="I12" s="17"/>
      <c r="J12" s="10"/>
      <c r="L12" s="29" t="s">
        <v>32</v>
      </c>
      <c r="M12" s="37">
        <f>D20</f>
        <v>9086.69</v>
      </c>
      <c r="T12" s="10"/>
      <c r="U12" s="11"/>
    </row>
    <row r="13" spans="1:21" x14ac:dyDescent="0.25">
      <c r="A13" s="18"/>
      <c r="B13" s="19"/>
      <c r="C13" s="54"/>
      <c r="D13" s="16"/>
      <c r="E13" s="55"/>
      <c r="F13" s="16"/>
      <c r="G13" s="16"/>
      <c r="H13" s="16"/>
      <c r="I13" s="17"/>
      <c r="J13" s="10"/>
      <c r="L13" s="38" t="s">
        <v>33</v>
      </c>
      <c r="M13" s="39">
        <f>C10</f>
        <v>2900</v>
      </c>
      <c r="T13" s="10"/>
      <c r="U13" s="11"/>
    </row>
    <row r="14" spans="1:21" x14ac:dyDescent="0.25">
      <c r="A14" s="18"/>
      <c r="B14" s="19"/>
      <c r="C14" s="57">
        <v>0.37</v>
      </c>
      <c r="D14" s="16" t="s">
        <v>34</v>
      </c>
      <c r="E14" s="55"/>
      <c r="F14" s="16"/>
      <c r="G14" s="16"/>
      <c r="H14" s="16"/>
      <c r="I14" s="17"/>
      <c r="J14" s="10"/>
      <c r="L14" s="38" t="str">
        <f>"So I("&amp;TEXT(C20,"$0,000")&amp;") ="</f>
        <v>So I($500,000) =</v>
      </c>
      <c r="M14" s="31" t="str">
        <f>"(" &amp; M12&amp;" + "&amp;M13&amp;") / (" &amp;M11 &amp;" + "&amp;M13&amp;") "</f>
        <v xml:space="preserve">(9086.69 + 2900) / (8635.26 + 2900) </v>
      </c>
      <c r="T14" s="10"/>
      <c r="U14" s="11"/>
    </row>
    <row r="15" spans="1:21" x14ac:dyDescent="0.25">
      <c r="A15" s="22"/>
      <c r="B15" s="16"/>
      <c r="C15" s="54"/>
      <c r="D15" s="16"/>
      <c r="E15" s="55"/>
      <c r="F15" s="16"/>
      <c r="G15" s="16"/>
      <c r="H15" s="16"/>
      <c r="I15" s="17"/>
      <c r="J15" s="10"/>
      <c r="L15" s="40" t="s">
        <v>16</v>
      </c>
      <c r="M15" s="41">
        <f>ROUND((M12+M13)/(M11+M13),4)</f>
        <v>1.0390999999999999</v>
      </c>
      <c r="T15" s="10"/>
      <c r="U15" s="11"/>
    </row>
    <row r="16" spans="1:21" x14ac:dyDescent="0.25">
      <c r="A16" s="22"/>
      <c r="B16" s="16"/>
      <c r="C16" s="58">
        <v>150000</v>
      </c>
      <c r="D16" s="34" t="s">
        <v>35</v>
      </c>
      <c r="E16" s="59"/>
      <c r="F16" s="16"/>
      <c r="G16" s="16"/>
      <c r="H16" s="16"/>
      <c r="I16" s="17"/>
      <c r="J16" s="10"/>
      <c r="T16" s="10"/>
      <c r="U16" s="11"/>
    </row>
    <row r="17" spans="1:21" x14ac:dyDescent="0.25">
      <c r="A17" s="22"/>
      <c r="B17" s="16"/>
      <c r="C17" s="16"/>
      <c r="D17" s="16"/>
      <c r="E17" s="16"/>
      <c r="F17" s="16"/>
      <c r="G17" s="16"/>
      <c r="H17" s="16"/>
      <c r="I17" s="17"/>
      <c r="J17" s="10"/>
      <c r="K17" s="8" t="s">
        <v>36</v>
      </c>
      <c r="L17" s="29" t="s">
        <v>37</v>
      </c>
      <c r="M17" s="31" t="str">
        <f>"m*φ = "&amp;B6&amp; " * "&amp; C12 &amp; " = "&amp;B6*C12</f>
        <v>m*φ = 504 * 0.0001 = 0.0504</v>
      </c>
      <c r="O17" s="42">
        <f>B6*C12</f>
        <v>5.04E-2</v>
      </c>
      <c r="T17" s="10"/>
      <c r="U17" s="11"/>
    </row>
    <row r="18" spans="1:21" x14ac:dyDescent="0.25">
      <c r="A18" s="22"/>
      <c r="B18" s="16"/>
      <c r="C18" s="60" t="s">
        <v>38</v>
      </c>
      <c r="D18" s="60" t="s">
        <v>39</v>
      </c>
      <c r="E18" s="16"/>
      <c r="F18" s="16"/>
      <c r="G18" s="16"/>
      <c r="H18" s="16"/>
      <c r="I18" s="17"/>
      <c r="J18" s="10"/>
      <c r="L18" s="29" t="s">
        <v>40</v>
      </c>
      <c r="M18" s="43">
        <f>D19</f>
        <v>8635.26</v>
      </c>
      <c r="T18" s="10"/>
      <c r="U18" s="11"/>
    </row>
    <row r="19" spans="1:21" ht="15" customHeight="1" x14ac:dyDescent="0.25">
      <c r="A19" s="22"/>
      <c r="B19" s="16"/>
      <c r="C19" s="61">
        <f>C16</f>
        <v>150000</v>
      </c>
      <c r="D19" s="62">
        <f>ROUND(EXP($D$6+$D$7^2/2)*_xlfn.NORM.DIST((LN(C19)-$D$6-$D$7^2)/$D$7,0,1,TRUE)+C19*_xlfn.NORM.DIST((-LN(C19)+$D$6)/$D$7,0,1,TRUE),2)</f>
        <v>8635.26</v>
      </c>
      <c r="E19" s="16"/>
      <c r="F19" s="16"/>
      <c r="G19" s="16"/>
      <c r="H19" s="16"/>
      <c r="I19" s="17"/>
      <c r="J19" s="10"/>
      <c r="L19" s="29" t="s">
        <v>125</v>
      </c>
      <c r="N19" s="44">
        <f>ROUND(O17*(M18+C10),2)</f>
        <v>581.38</v>
      </c>
      <c r="T19" s="10"/>
      <c r="U19" s="11"/>
    </row>
    <row r="20" spans="1:21" x14ac:dyDescent="0.25">
      <c r="A20" s="22"/>
      <c r="B20" s="16"/>
      <c r="C20" s="61">
        <v>500000</v>
      </c>
      <c r="D20" s="62">
        <f>ROUND(EXP($D$6+$D$7^2/2)*_xlfn.NORM.DIST((LN(C20)-$D$6-$D$7^2)/$D$7,0,1,TRUE)+C20*_xlfn.NORM.DIST((-LN(C20)+$D$6)/$D$7,0,1,TRUE),2)</f>
        <v>9086.69</v>
      </c>
      <c r="E20" s="16"/>
      <c r="F20" s="16"/>
      <c r="G20" s="16"/>
      <c r="H20" s="16"/>
      <c r="I20" s="17"/>
      <c r="J20" s="10"/>
      <c r="T20" s="10"/>
      <c r="U20" s="11"/>
    </row>
    <row r="21" spans="1:21" x14ac:dyDescent="0.25">
      <c r="A21" s="22"/>
      <c r="B21" s="16"/>
      <c r="C21" s="16"/>
      <c r="D21" s="16"/>
      <c r="E21" s="16"/>
      <c r="F21" s="16"/>
      <c r="G21" s="16"/>
      <c r="H21" s="16"/>
      <c r="I21" s="17"/>
      <c r="J21" s="10"/>
      <c r="L21" s="31" t="s">
        <v>41</v>
      </c>
      <c r="T21" s="10"/>
      <c r="U21" s="11"/>
    </row>
    <row r="22" spans="1:21" x14ac:dyDescent="0.25">
      <c r="A22" s="22"/>
      <c r="B22" s="16"/>
      <c r="C22" s="16"/>
      <c r="D22" s="16"/>
      <c r="E22" s="16"/>
      <c r="F22" s="16"/>
      <c r="G22" s="16"/>
      <c r="H22" s="16"/>
      <c r="I22" s="17"/>
      <c r="J22" s="10"/>
      <c r="L22" s="29" t="s">
        <v>42</v>
      </c>
      <c r="M22" s="31" t="str">
        <f>"mp / (1 - v) = " &amp;N19 &amp;" / (1 - "&amp;TEXT(C14,"0.0%")&amp;") ="</f>
        <v>mp / (1 - v) = 581.38 / (1 - 37.0%) =</v>
      </c>
      <c r="O22" s="44">
        <f>ROUND(N19/(1-C14),2)</f>
        <v>922.83</v>
      </c>
      <c r="R22" s="11"/>
      <c r="S22" s="11"/>
      <c r="T22" s="10"/>
      <c r="U22" s="11"/>
    </row>
    <row r="23" spans="1:21" ht="15" customHeight="1" x14ac:dyDescent="0.25">
      <c r="A23" s="15" t="s">
        <v>7</v>
      </c>
      <c r="B23" s="16" t="s">
        <v>12</v>
      </c>
      <c r="C23" s="16" t="str">
        <f>"Calculate the increased limit factor for a policy limit of "&amp;TEXT(C20,"$0,000")</f>
        <v>Calculate the increased limit factor for a policy limit of $500,000</v>
      </c>
      <c r="D23" s="16"/>
      <c r="E23" s="16"/>
      <c r="F23" s="16"/>
      <c r="G23" s="16"/>
      <c r="H23" s="16"/>
      <c r="I23" s="17"/>
      <c r="J23" s="10"/>
      <c r="R23" s="11"/>
      <c r="S23" s="11"/>
      <c r="T23" s="10"/>
      <c r="U23" s="11"/>
    </row>
    <row r="24" spans="1:21" ht="15" customHeight="1" x14ac:dyDescent="0.25">
      <c r="A24" s="22"/>
      <c r="B24" s="16"/>
      <c r="C24" s="16"/>
      <c r="D24" s="16"/>
      <c r="E24" s="16"/>
      <c r="F24" s="16"/>
      <c r="G24" s="16"/>
      <c r="H24" s="16"/>
      <c r="I24" s="17"/>
      <c r="J24" s="10"/>
      <c r="R24" s="11"/>
      <c r="S24" s="11"/>
      <c r="T24" s="10"/>
      <c r="U24" s="11"/>
    </row>
    <row r="25" spans="1:21" ht="15" customHeight="1" x14ac:dyDescent="0.25">
      <c r="A25" s="22"/>
      <c r="B25" s="16"/>
      <c r="C25" s="16"/>
      <c r="D25" s="16"/>
      <c r="E25" s="16"/>
      <c r="F25" s="16"/>
      <c r="G25" s="16"/>
      <c r="H25" s="16"/>
      <c r="I25" s="17"/>
      <c r="J25" s="10"/>
      <c r="K25" s="29" t="s">
        <v>43</v>
      </c>
      <c r="L25" s="29" t="s">
        <v>37</v>
      </c>
      <c r="M25" s="31">
        <f>B6*C12</f>
        <v>5.04E-2</v>
      </c>
      <c r="N25" s="8" t="s">
        <v>44</v>
      </c>
      <c r="R25" s="11"/>
      <c r="S25" s="11"/>
      <c r="T25" s="10"/>
      <c r="U25" s="11"/>
    </row>
    <row r="26" spans="1:21" ht="15" customHeight="1" x14ac:dyDescent="0.25">
      <c r="A26" s="22"/>
      <c r="B26" s="16" t="s">
        <v>13</v>
      </c>
      <c r="C26" s="16" t="str">
        <f>"For a policy with "&amp;B6 &amp;" exposures, calculate the premium at the"</f>
        <v>For a policy with 504 exposures, calculate the premium at the</v>
      </c>
      <c r="D26" s="16"/>
      <c r="E26" s="16"/>
      <c r="F26" s="16"/>
      <c r="G26" s="16"/>
      <c r="H26" s="16"/>
      <c r="I26" s="17"/>
      <c r="J26" s="10"/>
      <c r="L26" s="29" t="s">
        <v>45</v>
      </c>
      <c r="M26" s="37">
        <f>D20</f>
        <v>9086.69</v>
      </c>
      <c r="R26" s="11"/>
      <c r="S26" s="11"/>
      <c r="T26" s="10"/>
      <c r="U26" s="11"/>
    </row>
    <row r="27" spans="1:21" ht="15" customHeight="1" x14ac:dyDescent="0.25">
      <c r="A27" s="22"/>
      <c r="B27" s="16" t="s">
        <v>46</v>
      </c>
      <c r="C27" s="16" t="s">
        <v>47</v>
      </c>
      <c r="D27" s="16"/>
      <c r="E27" s="16"/>
      <c r="F27" s="16"/>
      <c r="G27" s="16"/>
      <c r="H27" s="16"/>
      <c r="I27" s="17"/>
      <c r="J27" s="10"/>
      <c r="L27" s="29" t="s">
        <v>125</v>
      </c>
      <c r="N27" s="32">
        <f>(M26+C10)*M25</f>
        <v>604.12917600000003</v>
      </c>
      <c r="R27" s="11"/>
      <c r="S27" s="11"/>
      <c r="T27" s="10"/>
      <c r="U27" s="11"/>
    </row>
    <row r="28" spans="1:21" ht="15" customHeight="1" x14ac:dyDescent="0.25">
      <c r="A28" s="22"/>
      <c r="B28" s="16" t="s">
        <v>48</v>
      </c>
      <c r="C28" s="16" t="str">
        <f>TEXT(C20,"$0,000") &amp;" limit."</f>
        <v>$500,000 limit.</v>
      </c>
      <c r="D28" s="16"/>
      <c r="E28" s="16"/>
      <c r="F28" s="16"/>
      <c r="G28" s="16"/>
      <c r="H28" s="16"/>
      <c r="I28" s="17"/>
      <c r="J28" s="10"/>
      <c r="L28" s="29" t="str">
        <f>TEXT(C20,"$0,000")&amp;" Limit Premium ="</f>
        <v>$500,000 Limit Premium =</v>
      </c>
      <c r="M28" s="31" t="s">
        <v>126</v>
      </c>
      <c r="R28" s="11"/>
      <c r="S28" s="11"/>
      <c r="T28" s="10"/>
      <c r="U28" s="11"/>
    </row>
    <row r="29" spans="1:21" x14ac:dyDescent="0.25">
      <c r="A29" s="22"/>
      <c r="B29" s="16"/>
      <c r="C29" s="16"/>
      <c r="D29" s="16"/>
      <c r="E29" s="16"/>
      <c r="F29" s="16"/>
      <c r="G29" s="16"/>
      <c r="H29" s="16"/>
      <c r="I29" s="17"/>
      <c r="J29" s="10"/>
      <c r="L29" s="30" t="s">
        <v>16</v>
      </c>
      <c r="M29" s="44">
        <f>ROUND(N27/(1-C14),2)</f>
        <v>958.94</v>
      </c>
      <c r="R29" s="11"/>
      <c r="S29" s="11"/>
      <c r="T29" s="10"/>
      <c r="U29" s="11"/>
    </row>
    <row r="30" spans="1:21" x14ac:dyDescent="0.25">
      <c r="A30" s="22"/>
      <c r="B30" s="16"/>
      <c r="C30" s="16"/>
      <c r="D30" s="16"/>
      <c r="E30" s="16"/>
      <c r="F30" s="16"/>
      <c r="G30" s="16"/>
      <c r="H30" s="16"/>
      <c r="I30" s="17"/>
      <c r="J30" s="10"/>
      <c r="R30" s="11"/>
      <c r="S30" s="11"/>
      <c r="T30" s="10"/>
      <c r="U30" s="11"/>
    </row>
    <row r="31" spans="1:21" x14ac:dyDescent="0.25">
      <c r="A31" s="22"/>
      <c r="B31" s="16" t="s">
        <v>49</v>
      </c>
      <c r="C31" s="16" t="str">
        <f>"Suppose instead loss adjustment expenses are "&amp;TEXT(B7,"0.0%") &amp;" of the indemnity portion of the claim. Calculate:"</f>
        <v>Suppose instead loss adjustment expenses are 24.0% of the indemnity portion of the claim. Calculate:</v>
      </c>
      <c r="D31" s="16"/>
      <c r="E31" s="16"/>
      <c r="F31" s="16"/>
      <c r="G31" s="16"/>
      <c r="H31" s="16"/>
      <c r="I31" s="17"/>
      <c r="J31" s="10"/>
      <c r="L31" s="8" t="s">
        <v>50</v>
      </c>
      <c r="R31" s="11"/>
      <c r="S31" s="11"/>
      <c r="T31" s="10"/>
      <c r="U31" s="11"/>
    </row>
    <row r="32" spans="1:21" ht="18" x14ac:dyDescent="0.35">
      <c r="A32" s="22"/>
      <c r="B32" s="16" t="s">
        <v>46</v>
      </c>
      <c r="C32" s="16" t="str">
        <f>"The ILF for a policy with "&amp; TEXT(C20,"$0,000") &amp;" limit."</f>
        <v>The ILF for a policy with $500,000 limit.</v>
      </c>
      <c r="D32" s="16"/>
      <c r="E32" s="16"/>
      <c r="F32" s="16"/>
      <c r="G32" s="16"/>
      <c r="H32" s="16"/>
      <c r="I32" s="17"/>
      <c r="J32" s="10"/>
      <c r="L32" s="8" t="str">
        <f>TEXT(C20,"$0,000")&amp;" Limit Premium ="</f>
        <v>$500,000 Limit Premium =</v>
      </c>
      <c r="N32" s="8" t="s">
        <v>51</v>
      </c>
      <c r="R32" s="11"/>
      <c r="S32" s="11"/>
      <c r="T32" s="10"/>
      <c r="U32" s="11"/>
    </row>
    <row r="33" spans="1:21" x14ac:dyDescent="0.25">
      <c r="A33" s="22"/>
      <c r="B33" s="16" t="s">
        <v>48</v>
      </c>
      <c r="C33" s="16" t="s">
        <v>52</v>
      </c>
      <c r="D33" s="16"/>
      <c r="E33" s="16"/>
      <c r="F33" s="16"/>
      <c r="G33" s="16"/>
      <c r="H33" s="16"/>
      <c r="I33" s="17"/>
      <c r="J33" s="10"/>
      <c r="L33" s="30" t="s">
        <v>16</v>
      </c>
      <c r="M33" s="8" t="str">
        <f>O22 &amp;" * "&amp;M15</f>
        <v>922.83 * 1.0391</v>
      </c>
      <c r="R33" s="11"/>
      <c r="S33" s="11"/>
      <c r="T33" s="10"/>
      <c r="U33" s="11"/>
    </row>
    <row r="34" spans="1:21" x14ac:dyDescent="0.25">
      <c r="A34" s="22"/>
      <c r="B34" s="16" t="s">
        <v>53</v>
      </c>
      <c r="C34" s="16" t="str">
        <f>"Policy premium for a policy with "&amp;TEXT(C20,"$0,000")&amp; " limit."</f>
        <v>Policy premium for a policy with $500,000 limit.</v>
      </c>
      <c r="D34" s="16"/>
      <c r="E34" s="16"/>
      <c r="F34" s="16"/>
      <c r="G34" s="16"/>
      <c r="H34" s="16"/>
      <c r="I34" s="17"/>
      <c r="J34" s="10"/>
      <c r="L34" s="30" t="s">
        <v>16</v>
      </c>
      <c r="M34" s="44">
        <f>ROUND(O22*M15,2)</f>
        <v>958.91</v>
      </c>
      <c r="R34" s="11"/>
      <c r="S34" s="11"/>
      <c r="T34" s="10"/>
      <c r="U34" s="11"/>
    </row>
    <row r="35" spans="1:21" x14ac:dyDescent="0.25">
      <c r="A35" s="22"/>
      <c r="B35" s="16"/>
      <c r="C35" s="16"/>
      <c r="D35" s="16"/>
      <c r="E35" s="16"/>
      <c r="F35" s="16"/>
      <c r="G35" s="16"/>
      <c r="H35" s="16"/>
      <c r="I35" s="17"/>
      <c r="J35" s="10"/>
      <c r="R35" s="11"/>
      <c r="S35" s="11"/>
      <c r="T35" s="10"/>
      <c r="U35" s="11"/>
    </row>
    <row r="36" spans="1:21" x14ac:dyDescent="0.25">
      <c r="A36" s="22"/>
      <c r="B36" s="16"/>
      <c r="C36" s="16"/>
      <c r="D36" s="16"/>
      <c r="E36" s="16"/>
      <c r="F36" s="16"/>
      <c r="G36" s="16"/>
      <c r="H36" s="16"/>
      <c r="I36" s="17"/>
      <c r="J36" s="10"/>
      <c r="L36" s="8" t="s">
        <v>54</v>
      </c>
      <c r="R36" s="11"/>
      <c r="S36" s="11"/>
      <c r="T36" s="10"/>
      <c r="U36" s="11"/>
    </row>
    <row r="37" spans="1:21" x14ac:dyDescent="0.25">
      <c r="A37" s="22"/>
      <c r="B37" s="63" t="s">
        <v>55</v>
      </c>
      <c r="C37" s="16"/>
      <c r="D37" s="16"/>
      <c r="E37" s="16"/>
      <c r="F37" s="16"/>
      <c r="G37" s="16"/>
      <c r="H37" s="16"/>
      <c r="I37" s="17"/>
      <c r="J37" s="10"/>
      <c r="R37" s="11"/>
      <c r="S37" s="11"/>
      <c r="T37" s="10"/>
      <c r="U37" s="11"/>
    </row>
    <row r="38" spans="1:21" x14ac:dyDescent="0.25">
      <c r="A38" s="22"/>
      <c r="B38" s="16"/>
      <c r="C38" s="16"/>
      <c r="D38" s="16"/>
      <c r="E38" s="16"/>
      <c r="F38" s="16"/>
      <c r="G38" s="16"/>
      <c r="H38" s="16"/>
      <c r="I38" s="17"/>
      <c r="J38" s="10"/>
      <c r="K38" s="8" t="s">
        <v>56</v>
      </c>
      <c r="L38" s="29" t="str">
        <f>"I("&amp;TEXT(C20,"$0,000")&amp;") ="</f>
        <v>I($500,000) =</v>
      </c>
      <c r="N38" s="8" t="s">
        <v>57</v>
      </c>
      <c r="R38" s="11"/>
      <c r="S38" s="11"/>
      <c r="T38" s="10"/>
      <c r="U38" s="11"/>
    </row>
    <row r="39" spans="1:21" x14ac:dyDescent="0.25">
      <c r="A39" s="18"/>
      <c r="B39" s="64" t="s">
        <v>58</v>
      </c>
      <c r="C39" s="16"/>
      <c r="D39" s="16"/>
      <c r="E39" s="16"/>
      <c r="F39" s="16"/>
      <c r="G39" s="16"/>
      <c r="H39" s="16"/>
      <c r="I39" s="17"/>
      <c r="J39" s="10"/>
      <c r="L39" s="30" t="s">
        <v>16</v>
      </c>
      <c r="M39" s="45">
        <f>D20*(1+B7)/(D19*(1+B7))</f>
        <v>1.0522775226223646</v>
      </c>
      <c r="R39" s="11"/>
      <c r="S39" s="11"/>
      <c r="T39" s="10"/>
      <c r="U39" s="11"/>
    </row>
    <row r="40" spans="1:21" x14ac:dyDescent="0.25">
      <c r="A40" s="22"/>
      <c r="B40" s="16"/>
      <c r="C40" s="16"/>
      <c r="D40" s="16"/>
      <c r="E40" s="16"/>
      <c r="F40" s="16"/>
      <c r="G40" s="16"/>
      <c r="H40" s="16"/>
      <c r="I40" s="17"/>
      <c r="J40" s="10"/>
      <c r="R40" s="11"/>
      <c r="S40" s="11"/>
      <c r="T40" s="10"/>
      <c r="U40" s="11"/>
    </row>
    <row r="41" spans="1:21" x14ac:dyDescent="0.25">
      <c r="A41" s="22"/>
      <c r="B41" s="16"/>
      <c r="C41" s="16"/>
      <c r="D41" s="16"/>
      <c r="E41" s="16"/>
      <c r="F41" s="16"/>
      <c r="G41" s="16"/>
      <c r="H41" s="16"/>
      <c r="I41" s="17"/>
      <c r="J41" s="10"/>
      <c r="K41" s="8" t="s">
        <v>59</v>
      </c>
      <c r="L41" s="29" t="s">
        <v>37</v>
      </c>
      <c r="M41" s="31">
        <f>B6*C12</f>
        <v>5.04E-2</v>
      </c>
      <c r="N41" s="8" t="s">
        <v>44</v>
      </c>
      <c r="R41" s="11"/>
      <c r="S41" s="11"/>
      <c r="T41" s="10"/>
      <c r="U41" s="11"/>
    </row>
    <row r="42" spans="1:21" x14ac:dyDescent="0.25">
      <c r="A42" s="22"/>
      <c r="B42" s="16"/>
      <c r="C42" s="16"/>
      <c r="D42" s="16"/>
      <c r="E42" s="16"/>
      <c r="F42" s="16"/>
      <c r="G42" s="16"/>
      <c r="H42" s="16"/>
      <c r="I42" s="17"/>
      <c r="J42" s="10"/>
      <c r="L42" s="29" t="s">
        <v>40</v>
      </c>
      <c r="M42" s="37">
        <f>D19</f>
        <v>8635.26</v>
      </c>
      <c r="R42" s="11"/>
      <c r="S42" s="11"/>
      <c r="T42" s="10"/>
      <c r="U42" s="11"/>
    </row>
    <row r="43" spans="1:21" x14ac:dyDescent="0.25">
      <c r="A43" s="22"/>
      <c r="B43" s="16"/>
      <c r="C43" s="16"/>
      <c r="D43" s="16"/>
      <c r="E43" s="16"/>
      <c r="F43" s="16"/>
      <c r="G43" s="16"/>
      <c r="H43" s="16"/>
      <c r="I43" s="17"/>
      <c r="J43" s="10"/>
      <c r="L43" s="29" t="s">
        <v>125</v>
      </c>
      <c r="R43" s="11"/>
      <c r="S43" s="11"/>
      <c r="T43" s="10"/>
      <c r="U43" s="11"/>
    </row>
    <row r="44" spans="1:21" ht="15.75" thickBot="1" x14ac:dyDescent="0.3">
      <c r="A44" s="25"/>
      <c r="B44" s="26"/>
      <c r="C44" s="26"/>
      <c r="D44" s="26"/>
      <c r="E44" s="26"/>
      <c r="F44" s="26"/>
      <c r="G44" s="26"/>
      <c r="H44" s="26"/>
      <c r="I44" s="27"/>
      <c r="J44" s="10"/>
      <c r="L44" s="30" t="s">
        <v>16</v>
      </c>
      <c r="M44" s="46">
        <f>ROUND(M42*M41*(1+B7),2)</f>
        <v>539.66999999999996</v>
      </c>
      <c r="R44" s="11"/>
      <c r="S44" s="11"/>
      <c r="T44" s="10"/>
      <c r="U44" s="11"/>
    </row>
    <row r="45" spans="1:21" x14ac:dyDescent="0.25">
      <c r="J45" s="10"/>
      <c r="R45" s="11"/>
      <c r="S45" s="11"/>
      <c r="T45" s="10"/>
      <c r="U45" s="11"/>
    </row>
    <row r="46" spans="1:21" x14ac:dyDescent="0.25">
      <c r="J46" s="10"/>
      <c r="L46" s="29" t="s">
        <v>60</v>
      </c>
      <c r="M46" s="44">
        <f>M44/(1-C14)</f>
        <v>856.61904761904759</v>
      </c>
      <c r="N46" s="8" t="s">
        <v>61</v>
      </c>
      <c r="R46" s="11"/>
      <c r="S46" s="11"/>
      <c r="T46" s="10"/>
      <c r="U46" s="11"/>
    </row>
    <row r="47" spans="1:21" x14ac:dyDescent="0.25">
      <c r="J47" s="10"/>
      <c r="R47" s="11"/>
      <c r="S47" s="11"/>
      <c r="T47" s="10"/>
      <c r="U47" s="11"/>
    </row>
    <row r="48" spans="1:21" x14ac:dyDescent="0.25">
      <c r="J48" s="10"/>
      <c r="K48" s="29" t="s">
        <v>62</v>
      </c>
      <c r="L48" s="8" t="str">
        <f>TEXT(C20,"$0,000")&amp;" Limit Premium ="</f>
        <v>$500,000 Limit Premium =</v>
      </c>
      <c r="R48" s="11"/>
      <c r="S48" s="11"/>
      <c r="T48" s="10"/>
      <c r="U48" s="11"/>
    </row>
    <row r="49" spans="10:21" x14ac:dyDescent="0.25">
      <c r="J49" s="10"/>
      <c r="L49" s="30" t="s">
        <v>16</v>
      </c>
      <c r="M49" s="44">
        <f>M46*M39</f>
        <v>901.40096925970079</v>
      </c>
      <c r="R49" s="11"/>
      <c r="S49" s="11"/>
      <c r="T49" s="10"/>
      <c r="U49" s="11"/>
    </row>
  </sheetData>
  <sheetProtection algorithmName="SHA-512" hashValue="0bpPH1UU40mhzsrejFt/gKTofVZcJUjlcVcbHSfD2XN8Pfvg6ZC9ebHilcqFud7HCtuATWpkz3/CUT806lqN1Q==" saltValue="xviMbYaSxlV2OBTyn58epA==" spinCount="100000" sheet="1" objects="1" scenarios="1" formatCells="0" formatColumns="0" formatRows="0"/>
  <hyperlinks>
    <hyperlink ref="I1" location="TOC!A1" display="Return to TOC" xr:uid="{8E9B93AE-4B0A-4F6B-A981-BEC9B89FA14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8FAC-10D2-4787-BC33-51B8C4E49000}">
  <sheetPr codeName="Sheet45"/>
  <dimension ref="A1:W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9.140625" style="8" customWidth="1"/>
    <col min="4" max="4" width="20.28515625" style="8" bestFit="1" customWidth="1"/>
    <col min="5" max="6" width="5.7109375" style="8" customWidth="1"/>
    <col min="7" max="7" width="12.5703125" style="8" bestFit="1" customWidth="1"/>
    <col min="8" max="8" width="2.7109375" style="8" customWidth="1"/>
    <col min="9" max="9" width="7.140625" style="8" customWidth="1"/>
    <col min="10" max="10" width="22.42578125" style="8" customWidth="1"/>
    <col min="11" max="11" width="20.28515625" style="8" bestFit="1" customWidth="1"/>
    <col min="12" max="12" width="31.85546875" style="8" bestFit="1" customWidth="1"/>
    <col min="13" max="15" width="8.7109375" style="8" customWidth="1"/>
    <col min="16" max="21" width="2.7109375" style="8" customWidth="1"/>
    <col min="22" max="16384" width="9.140625" style="8"/>
  </cols>
  <sheetData>
    <row r="1" spans="1:23" x14ac:dyDescent="0.25">
      <c r="A1" s="12" t="s">
        <v>3</v>
      </c>
      <c r="B1" s="13"/>
      <c r="C1" s="13" t="s">
        <v>20</v>
      </c>
      <c r="D1" s="14"/>
      <c r="E1" s="13"/>
      <c r="F1" s="13"/>
      <c r="G1" s="5" t="s">
        <v>8</v>
      </c>
      <c r="H1" s="9"/>
      <c r="I1" s="7" t="s">
        <v>9</v>
      </c>
      <c r="V1" s="9"/>
    </row>
    <row r="2" spans="1:23" x14ac:dyDescent="0.25">
      <c r="A2" s="15" t="s">
        <v>4</v>
      </c>
      <c r="B2" s="16"/>
      <c r="C2" s="16" t="s">
        <v>11</v>
      </c>
      <c r="D2" s="16"/>
      <c r="E2" s="16"/>
      <c r="F2" s="16"/>
      <c r="G2" s="17"/>
      <c r="H2" s="9"/>
      <c r="V2" s="9"/>
    </row>
    <row r="3" spans="1:23" x14ac:dyDescent="0.25">
      <c r="A3" s="15" t="s">
        <v>5</v>
      </c>
      <c r="B3" s="16"/>
      <c r="C3" s="16" t="s">
        <v>63</v>
      </c>
      <c r="D3" s="16"/>
      <c r="E3" s="16"/>
      <c r="F3" s="16"/>
      <c r="G3" s="17"/>
      <c r="H3" s="9"/>
      <c r="I3" s="8" t="s">
        <v>64</v>
      </c>
      <c r="V3" s="9"/>
    </row>
    <row r="4" spans="1:23" x14ac:dyDescent="0.25">
      <c r="A4" s="18"/>
      <c r="B4" s="19"/>
      <c r="C4" s="19"/>
      <c r="D4" s="19"/>
      <c r="E4" s="19"/>
      <c r="F4" s="19"/>
      <c r="G4" s="20"/>
      <c r="H4" s="10"/>
      <c r="V4" s="10"/>
      <c r="W4" s="11"/>
    </row>
    <row r="5" spans="1:23" ht="15" customHeight="1" x14ac:dyDescent="0.25">
      <c r="A5" s="21" t="s">
        <v>6</v>
      </c>
      <c r="B5" s="16"/>
      <c r="C5" s="33" t="s">
        <v>65</v>
      </c>
      <c r="D5" s="33" t="s">
        <v>66</v>
      </c>
      <c r="E5" s="16"/>
      <c r="F5" s="16"/>
      <c r="G5" s="17"/>
      <c r="H5" s="10"/>
      <c r="J5" s="65" t="s">
        <v>67</v>
      </c>
      <c r="K5" s="65" t="s">
        <v>68</v>
      </c>
      <c r="L5" s="66" t="s">
        <v>69</v>
      </c>
      <c r="S5" s="11"/>
      <c r="T5" s="11"/>
      <c r="U5" s="11"/>
      <c r="V5" s="10"/>
      <c r="W5" s="11"/>
    </row>
    <row r="6" spans="1:23" x14ac:dyDescent="0.25">
      <c r="A6" s="22"/>
      <c r="B6" s="16"/>
      <c r="C6" s="73">
        <v>100000</v>
      </c>
      <c r="D6" s="36">
        <v>1</v>
      </c>
      <c r="E6" s="16"/>
      <c r="F6" s="16"/>
      <c r="G6" s="17"/>
      <c r="H6" s="10"/>
      <c r="I6" s="8" t="s">
        <v>70</v>
      </c>
      <c r="J6" s="67">
        <f t="shared" ref="J6:K10" si="0">C6</f>
        <v>100000</v>
      </c>
      <c r="K6" s="68">
        <f t="shared" si="0"/>
        <v>1</v>
      </c>
      <c r="L6" s="9" t="s">
        <v>15</v>
      </c>
      <c r="S6" s="11"/>
      <c r="T6" s="11"/>
      <c r="U6" s="11"/>
      <c r="V6" s="10"/>
      <c r="W6" s="11"/>
    </row>
    <row r="7" spans="1:23" ht="15" customHeight="1" x14ac:dyDescent="0.25">
      <c r="A7" s="22"/>
      <c r="B7" s="16"/>
      <c r="C7" s="73">
        <v>200000</v>
      </c>
      <c r="D7" s="36">
        <v>1.47</v>
      </c>
      <c r="E7" s="16"/>
      <c r="F7" s="16"/>
      <c r="G7" s="17"/>
      <c r="H7" s="10"/>
      <c r="I7" s="8" t="s">
        <v>71</v>
      </c>
      <c r="J7" s="67">
        <f t="shared" si="0"/>
        <v>200000</v>
      </c>
      <c r="K7" s="68">
        <f t="shared" si="0"/>
        <v>1.47</v>
      </c>
      <c r="L7" s="69">
        <f>(K7-K6)/((J7-J6)/1000)</f>
        <v>4.6999999999999993E-3</v>
      </c>
      <c r="S7" s="11"/>
      <c r="T7" s="11"/>
      <c r="U7" s="11"/>
      <c r="V7" s="10"/>
      <c r="W7" s="11"/>
    </row>
    <row r="8" spans="1:23" ht="15" customHeight="1" x14ac:dyDescent="0.25">
      <c r="A8" s="21"/>
      <c r="B8" s="19"/>
      <c r="C8" s="73">
        <v>300000</v>
      </c>
      <c r="D8" s="36">
        <v>1.82</v>
      </c>
      <c r="E8" s="16"/>
      <c r="F8" s="16"/>
      <c r="G8" s="17"/>
      <c r="H8" s="10"/>
      <c r="I8" s="8" t="s">
        <v>72</v>
      </c>
      <c r="J8" s="67">
        <f t="shared" si="0"/>
        <v>300000</v>
      </c>
      <c r="K8" s="68">
        <f t="shared" si="0"/>
        <v>1.82</v>
      </c>
      <c r="L8" s="69">
        <f t="shared" ref="L8:L10" si="1">(K8-K7)/((J8-J7)/1000)</f>
        <v>3.5000000000000009E-3</v>
      </c>
      <c r="S8" s="11"/>
      <c r="T8" s="11"/>
      <c r="U8" s="11"/>
      <c r="V8" s="10"/>
      <c r="W8" s="11"/>
    </row>
    <row r="9" spans="1:23" x14ac:dyDescent="0.25">
      <c r="A9" s="21"/>
      <c r="B9" s="19"/>
      <c r="C9" s="73">
        <v>500000</v>
      </c>
      <c r="D9" s="36">
        <v>2.2799999999999998</v>
      </c>
      <c r="E9" s="16"/>
      <c r="F9" s="16"/>
      <c r="G9" s="17"/>
      <c r="H9" s="10"/>
      <c r="I9" s="8" t="s">
        <v>73</v>
      </c>
      <c r="J9" s="67">
        <f t="shared" si="0"/>
        <v>500000</v>
      </c>
      <c r="K9" s="68">
        <f t="shared" si="0"/>
        <v>2.2799999999999998</v>
      </c>
      <c r="L9" s="69">
        <f t="shared" si="1"/>
        <v>2.2999999999999987E-3</v>
      </c>
      <c r="S9" s="11"/>
      <c r="T9" s="11"/>
      <c r="U9" s="11"/>
      <c r="V9" s="10"/>
      <c r="W9" s="11"/>
    </row>
    <row r="10" spans="1:23" x14ac:dyDescent="0.25">
      <c r="A10" s="18"/>
      <c r="B10" s="19"/>
      <c r="C10" s="73">
        <v>1000000</v>
      </c>
      <c r="D10" s="36">
        <v>3.83</v>
      </c>
      <c r="E10" s="16"/>
      <c r="F10" s="16"/>
      <c r="G10" s="17"/>
      <c r="H10" s="10"/>
      <c r="I10" s="8" t="s">
        <v>74</v>
      </c>
      <c r="J10" s="67">
        <f t="shared" si="0"/>
        <v>1000000</v>
      </c>
      <c r="K10" s="68">
        <f t="shared" si="0"/>
        <v>3.83</v>
      </c>
      <c r="L10" s="70">
        <f t="shared" si="1"/>
        <v>3.1000000000000003E-3</v>
      </c>
      <c r="S10" s="11"/>
      <c r="T10" s="11"/>
      <c r="U10" s="11"/>
      <c r="V10" s="10"/>
      <c r="W10" s="11"/>
    </row>
    <row r="11" spans="1:23" x14ac:dyDescent="0.25">
      <c r="A11" s="18"/>
      <c r="B11" s="19"/>
      <c r="C11" s="16"/>
      <c r="D11" s="16"/>
      <c r="E11" s="16"/>
      <c r="F11" s="16"/>
      <c r="G11" s="17"/>
      <c r="H11" s="10"/>
      <c r="S11" s="11"/>
      <c r="T11" s="11"/>
      <c r="U11" s="11"/>
      <c r="V11" s="10"/>
      <c r="W11" s="11"/>
    </row>
    <row r="12" spans="1:23" x14ac:dyDescent="0.25">
      <c r="A12" s="15" t="s">
        <v>7</v>
      </c>
      <c r="B12" s="19"/>
      <c r="C12" s="16" t="s">
        <v>86</v>
      </c>
      <c r="D12" s="16"/>
      <c r="E12" s="16"/>
      <c r="F12" s="16"/>
      <c r="G12" s="17"/>
      <c r="H12" s="10"/>
      <c r="I12" s="8" t="s">
        <v>75</v>
      </c>
      <c r="S12" s="11"/>
      <c r="T12" s="11"/>
      <c r="U12" s="11"/>
      <c r="V12" s="10"/>
      <c r="W12" s="11"/>
    </row>
    <row r="13" spans="1:23" ht="18.75" thickBot="1" x14ac:dyDescent="0.4">
      <c r="A13" s="74"/>
      <c r="B13" s="75"/>
      <c r="C13" s="26" t="s">
        <v>87</v>
      </c>
      <c r="D13" s="26"/>
      <c r="E13" s="26"/>
      <c r="F13" s="26"/>
      <c r="G13" s="27"/>
      <c r="H13" s="10"/>
      <c r="J13" s="29" t="s">
        <v>76</v>
      </c>
      <c r="K13" s="8" t="s">
        <v>77</v>
      </c>
      <c r="S13" s="11"/>
      <c r="T13" s="11"/>
      <c r="U13" s="11"/>
      <c r="V13" s="10"/>
      <c r="W13" s="11"/>
    </row>
    <row r="14" spans="1:23" x14ac:dyDescent="0.25">
      <c r="A14" s="11"/>
      <c r="B14" s="11"/>
      <c r="H14" s="10"/>
      <c r="S14" s="11"/>
      <c r="T14" s="11"/>
      <c r="U14" s="11"/>
      <c r="V14" s="10"/>
      <c r="W14" s="11"/>
    </row>
    <row r="15" spans="1:23" x14ac:dyDescent="0.25">
      <c r="H15" s="10"/>
      <c r="I15" s="8" t="str">
        <f>"The increased limit factors "&amp;IF(AND(L8&lt;=L7,L9&lt;=L8,L10&lt;=L9),"PASS","FAIL") &amp;" the consistency test because the marginal rate does not always decrease."</f>
        <v>The increased limit factors FAIL the consistency test because the marginal rate does not always decrease.</v>
      </c>
      <c r="S15" s="11"/>
      <c r="T15" s="11"/>
      <c r="U15" s="11"/>
      <c r="V15" s="10"/>
      <c r="W15" s="11"/>
    </row>
    <row r="16" spans="1:23" x14ac:dyDescent="0.25">
      <c r="H16" s="10"/>
      <c r="S16" s="11"/>
      <c r="T16" s="11"/>
      <c r="U16" s="11"/>
      <c r="V16" s="10"/>
      <c r="W16" s="11"/>
    </row>
    <row r="17" spans="8:23" x14ac:dyDescent="0.25">
      <c r="H17" s="10"/>
      <c r="I17" s="8" t="s">
        <v>78</v>
      </c>
      <c r="S17" s="11"/>
      <c r="T17" s="11"/>
      <c r="U17" s="11"/>
      <c r="V17" s="10"/>
      <c r="W17" s="11"/>
    </row>
    <row r="18" spans="8:23" x14ac:dyDescent="0.25">
      <c r="H18" s="10"/>
      <c r="I18" s="8" t="s">
        <v>79</v>
      </c>
      <c r="S18" s="11"/>
      <c r="T18" s="11"/>
      <c r="U18" s="11"/>
      <c r="V18" s="10"/>
      <c r="W18" s="11"/>
    </row>
    <row r="19" spans="8:23" ht="15" customHeight="1" x14ac:dyDescent="0.25">
      <c r="H19" s="10"/>
      <c r="I19" s="8" t="s">
        <v>80</v>
      </c>
      <c r="S19" s="11"/>
      <c r="T19" s="11"/>
      <c r="U19" s="11"/>
      <c r="V19" s="10"/>
      <c r="W19" s="11"/>
    </row>
    <row r="20" spans="8:23" ht="18" x14ac:dyDescent="0.35">
      <c r="H20" s="10"/>
      <c r="I20" s="8" t="s">
        <v>81</v>
      </c>
      <c r="K20" s="8" t="str">
        <f>"≤ " &amp;L9</f>
        <v>≤ 0.0023</v>
      </c>
      <c r="S20" s="11"/>
      <c r="T20" s="11"/>
      <c r="U20" s="11"/>
      <c r="V20" s="10"/>
      <c r="W20" s="11"/>
    </row>
    <row r="21" spans="8:23" x14ac:dyDescent="0.25">
      <c r="H21" s="10"/>
      <c r="I21" s="8" t="s">
        <v>82</v>
      </c>
      <c r="J21" s="28"/>
      <c r="S21" s="11"/>
      <c r="T21" s="11"/>
      <c r="U21" s="11"/>
      <c r="V21" s="10"/>
      <c r="W21" s="11"/>
    </row>
    <row r="22" spans="8:23" ht="18" x14ac:dyDescent="0.35">
      <c r="H22" s="10"/>
      <c r="I22" s="29" t="s">
        <v>83</v>
      </c>
      <c r="J22" s="8" t="str">
        <f>L9&amp;"* (( Le - Ld ) / 1,000) + ILFd"</f>
        <v>0.0023* (( Le - Ld ) / 1,000) + ILFd</v>
      </c>
      <c r="P22" s="11"/>
      <c r="Q22" s="11"/>
      <c r="R22" s="11"/>
      <c r="S22" s="11"/>
      <c r="T22" s="11"/>
      <c r="U22" s="11"/>
      <c r="V22" s="10"/>
      <c r="W22" s="11"/>
    </row>
    <row r="23" spans="8:23" ht="15" customHeight="1" x14ac:dyDescent="0.25">
      <c r="H23" s="10"/>
      <c r="I23" s="30" t="s">
        <v>16</v>
      </c>
      <c r="J23" s="71">
        <f>L9*(J10-J9)/1000+K9</f>
        <v>3.4299999999999988</v>
      </c>
      <c r="P23" s="11"/>
      <c r="Q23" s="11"/>
      <c r="R23" s="11"/>
      <c r="S23" s="11"/>
      <c r="T23" s="11"/>
      <c r="U23" s="11"/>
      <c r="V23" s="10"/>
      <c r="W23" s="11"/>
    </row>
    <row r="24" spans="8:23" ht="15" customHeight="1" x14ac:dyDescent="0.25">
      <c r="H24" s="10"/>
      <c r="P24" s="11"/>
      <c r="Q24" s="11"/>
      <c r="R24" s="11"/>
      <c r="S24" s="11"/>
      <c r="T24" s="11"/>
      <c r="U24" s="11"/>
      <c r="V24" s="10"/>
      <c r="W24" s="11"/>
    </row>
    <row r="25" spans="8:23" ht="15" customHeight="1" x14ac:dyDescent="0.35">
      <c r="H25" s="10"/>
      <c r="I25" s="8" t="s">
        <v>84</v>
      </c>
      <c r="P25" s="11"/>
      <c r="Q25" s="11"/>
      <c r="R25" s="11"/>
      <c r="S25" s="11"/>
      <c r="T25" s="11"/>
      <c r="U25" s="11"/>
      <c r="V25" s="10"/>
      <c r="W25" s="11"/>
    </row>
    <row r="26" spans="8:23" ht="15" customHeight="1" x14ac:dyDescent="0.25">
      <c r="H26" s="10"/>
      <c r="P26" s="11"/>
      <c r="Q26" s="11"/>
      <c r="R26" s="11"/>
      <c r="S26" s="11"/>
      <c r="T26" s="11"/>
      <c r="U26" s="11"/>
      <c r="V26" s="10"/>
      <c r="W26" s="11"/>
    </row>
    <row r="27" spans="8:23" ht="15" customHeight="1" x14ac:dyDescent="0.35">
      <c r="H27" s="10"/>
      <c r="I27" s="8" t="s">
        <v>85</v>
      </c>
      <c r="P27" s="11"/>
      <c r="Q27" s="11"/>
      <c r="R27" s="11"/>
      <c r="S27" s="11"/>
      <c r="T27" s="11"/>
      <c r="U27" s="11"/>
      <c r="V27" s="10"/>
      <c r="W27" s="11"/>
    </row>
    <row r="28" spans="8:23" ht="15" customHeight="1" x14ac:dyDescent="0.25">
      <c r="H28" s="10"/>
      <c r="J28" s="72" t="str">
        <f>K9&amp;" &lt; ILFe &lt; "&amp;J23</f>
        <v>2.28 &lt; ILFe &lt; 3.43</v>
      </c>
      <c r="P28" s="11"/>
      <c r="Q28" s="11"/>
      <c r="R28" s="11"/>
      <c r="S28" s="11"/>
      <c r="T28" s="11"/>
      <c r="U28" s="11"/>
      <c r="V28" s="10"/>
      <c r="W28" s="11"/>
    </row>
    <row r="29" spans="8:23" x14ac:dyDescent="0.25">
      <c r="H29" s="10"/>
      <c r="P29" s="11"/>
      <c r="Q29" s="11"/>
      <c r="R29" s="11"/>
      <c r="S29" s="11"/>
      <c r="T29" s="11"/>
      <c r="U29" s="11"/>
      <c r="V29" s="10"/>
      <c r="W29" s="11"/>
    </row>
    <row r="30" spans="8:23" x14ac:dyDescent="0.25">
      <c r="H30" s="10"/>
      <c r="P30" s="11"/>
      <c r="Q30" s="11"/>
      <c r="R30" s="11"/>
      <c r="S30" s="11"/>
      <c r="T30" s="11"/>
      <c r="U30" s="11"/>
      <c r="V30" s="10"/>
      <c r="W30" s="11"/>
    </row>
    <row r="31" spans="8:23" x14ac:dyDescent="0.25">
      <c r="H31" s="10"/>
      <c r="P31" s="11"/>
      <c r="Q31" s="11"/>
      <c r="R31" s="11"/>
      <c r="S31" s="11"/>
      <c r="T31" s="11"/>
      <c r="U31" s="11"/>
      <c r="V31" s="10"/>
      <c r="W31" s="11"/>
    </row>
    <row r="32" spans="8:23" x14ac:dyDescent="0.25">
      <c r="H32" s="10"/>
      <c r="P32" s="11"/>
      <c r="Q32" s="11"/>
      <c r="R32" s="11"/>
      <c r="S32" s="11"/>
      <c r="T32" s="11"/>
      <c r="U32" s="11"/>
      <c r="V32" s="10"/>
      <c r="W32" s="11"/>
    </row>
    <row r="33" spans="1:23" x14ac:dyDescent="0.25">
      <c r="H33" s="10"/>
      <c r="P33" s="11"/>
      <c r="Q33" s="11"/>
      <c r="R33" s="11"/>
      <c r="S33" s="11"/>
      <c r="T33" s="11"/>
      <c r="U33" s="11"/>
      <c r="V33" s="10"/>
      <c r="W33" s="11"/>
    </row>
    <row r="34" spans="1:23" x14ac:dyDescent="0.25">
      <c r="H34" s="10"/>
      <c r="P34" s="11"/>
      <c r="Q34" s="11"/>
      <c r="R34" s="11"/>
      <c r="S34" s="11"/>
      <c r="T34" s="11"/>
      <c r="U34" s="11"/>
      <c r="V34" s="10"/>
      <c r="W34" s="11"/>
    </row>
    <row r="35" spans="1:23" x14ac:dyDescent="0.25">
      <c r="H35" s="10"/>
      <c r="P35" s="11"/>
      <c r="Q35" s="11"/>
      <c r="R35" s="11"/>
      <c r="S35" s="11"/>
      <c r="T35" s="11"/>
      <c r="U35" s="11"/>
      <c r="V35" s="10"/>
      <c r="W35" s="11"/>
    </row>
    <row r="36" spans="1:23" x14ac:dyDescent="0.25">
      <c r="H36" s="10"/>
      <c r="P36" s="11"/>
      <c r="Q36" s="11"/>
      <c r="R36" s="11"/>
      <c r="S36" s="11"/>
      <c r="T36" s="11"/>
      <c r="U36" s="11"/>
      <c r="V36" s="10"/>
      <c r="W36" s="11"/>
    </row>
    <row r="37" spans="1:23" x14ac:dyDescent="0.25">
      <c r="H37" s="10"/>
      <c r="P37" s="11"/>
      <c r="Q37" s="11"/>
      <c r="R37" s="11"/>
      <c r="S37" s="11"/>
      <c r="T37" s="11"/>
      <c r="U37" s="11"/>
      <c r="V37" s="10"/>
      <c r="W37" s="11"/>
    </row>
    <row r="38" spans="1:23" x14ac:dyDescent="0.25">
      <c r="H38" s="10"/>
      <c r="P38" s="11"/>
      <c r="Q38" s="11"/>
      <c r="R38" s="11"/>
      <c r="S38" s="11"/>
      <c r="T38" s="11"/>
      <c r="U38" s="11"/>
      <c r="V38" s="10"/>
      <c r="W38" s="11"/>
    </row>
    <row r="39" spans="1:23" x14ac:dyDescent="0.25">
      <c r="A39" s="11"/>
      <c r="B39" s="11"/>
      <c r="H39" s="10"/>
      <c r="P39" s="11"/>
      <c r="Q39" s="11"/>
      <c r="R39" s="11"/>
      <c r="S39" s="11"/>
      <c r="T39" s="11"/>
      <c r="U39" s="11"/>
      <c r="V39" s="10"/>
      <c r="W39" s="11"/>
    </row>
    <row r="40" spans="1:23" x14ac:dyDescent="0.25">
      <c r="H40" s="10"/>
      <c r="P40" s="11"/>
      <c r="Q40" s="11"/>
      <c r="R40" s="11"/>
      <c r="S40" s="11"/>
      <c r="T40" s="11"/>
      <c r="U40" s="11"/>
      <c r="V40" s="10"/>
      <c r="W40" s="11"/>
    </row>
    <row r="41" spans="1:23" x14ac:dyDescent="0.25">
      <c r="H41" s="10"/>
      <c r="P41" s="11"/>
      <c r="Q41" s="11"/>
      <c r="R41" s="11"/>
      <c r="S41" s="11"/>
      <c r="T41" s="11"/>
      <c r="U41" s="11"/>
      <c r="V41" s="10"/>
      <c r="W41" s="11"/>
    </row>
    <row r="42" spans="1:23" x14ac:dyDescent="0.25">
      <c r="H42" s="10"/>
      <c r="P42" s="11"/>
      <c r="Q42" s="11"/>
      <c r="R42" s="11"/>
      <c r="S42" s="11"/>
      <c r="T42" s="11"/>
      <c r="U42" s="11"/>
      <c r="V42" s="10"/>
      <c r="W42" s="11"/>
    </row>
    <row r="43" spans="1:23" x14ac:dyDescent="0.25">
      <c r="H43" s="10"/>
      <c r="P43" s="11"/>
      <c r="Q43" s="11"/>
      <c r="R43" s="11"/>
      <c r="S43" s="11"/>
      <c r="T43" s="11"/>
      <c r="U43" s="11"/>
      <c r="V43" s="10"/>
      <c r="W43" s="11"/>
    </row>
    <row r="44" spans="1:23" x14ac:dyDescent="0.25">
      <c r="H44" s="10"/>
      <c r="P44" s="11"/>
      <c r="Q44" s="11"/>
      <c r="R44" s="11"/>
      <c r="S44" s="11"/>
      <c r="T44" s="11"/>
      <c r="U44" s="11"/>
      <c r="V44" s="10"/>
      <c r="W44" s="11"/>
    </row>
    <row r="45" spans="1:23" x14ac:dyDescent="0.25">
      <c r="H45" s="10"/>
      <c r="P45" s="11"/>
      <c r="Q45" s="11"/>
      <c r="R45" s="11"/>
      <c r="S45" s="11"/>
      <c r="T45" s="11"/>
      <c r="U45" s="11"/>
      <c r="V45" s="10"/>
      <c r="W45" s="11"/>
    </row>
    <row r="46" spans="1:23" x14ac:dyDescent="0.25">
      <c r="H46" s="10"/>
      <c r="P46" s="11"/>
      <c r="Q46" s="11"/>
      <c r="R46" s="11"/>
      <c r="S46" s="11"/>
      <c r="T46" s="11"/>
      <c r="U46" s="11"/>
      <c r="V46" s="10"/>
      <c r="W46" s="11"/>
    </row>
    <row r="47" spans="1:23" x14ac:dyDescent="0.25">
      <c r="H47" s="10"/>
      <c r="P47" s="11"/>
      <c r="Q47" s="11"/>
      <c r="R47" s="11"/>
      <c r="S47" s="11"/>
      <c r="T47" s="11"/>
      <c r="U47" s="11"/>
      <c r="V47" s="10"/>
      <c r="W47" s="11"/>
    </row>
    <row r="48" spans="1:23" x14ac:dyDescent="0.25">
      <c r="H48" s="10"/>
      <c r="P48" s="11"/>
      <c r="Q48" s="11"/>
      <c r="R48" s="11"/>
      <c r="S48" s="11"/>
      <c r="T48" s="11"/>
      <c r="U48" s="11"/>
      <c r="V48" s="10"/>
      <c r="W48" s="11"/>
    </row>
    <row r="49" spans="8:23" x14ac:dyDescent="0.25">
      <c r="H49" s="10"/>
      <c r="P49" s="11"/>
      <c r="Q49" s="11"/>
      <c r="R49" s="11"/>
      <c r="S49" s="11"/>
      <c r="T49" s="11"/>
      <c r="U49" s="11"/>
      <c r="V49" s="10"/>
      <c r="W49" s="11"/>
    </row>
  </sheetData>
  <sheetProtection algorithmName="SHA-512" hashValue="Iyde1/aIOronLdd58pOzVwDwiSWfC87r7HGijSFbSnr/SeQg2/n0wT6ZzhRTFI/CVvlTRI98vuChPuPVC9aTsg==" saltValue="e3pw6cd5iTs2fpm14VFpAw==" spinCount="100000" sheet="1" objects="1" scenarios="1" formatCells="0" formatColumns="0" formatRows="0"/>
  <hyperlinks>
    <hyperlink ref="G1" location="TOC!A1" display="Return to TOC" xr:uid="{0AD96583-C529-4B82-AAB5-B571A67C9A62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276EE-F82B-485B-959A-285E277B4E61}">
  <sheetPr codeName="Sheet46"/>
  <dimension ref="A1:W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5" style="8" customWidth="1"/>
    <col min="4" max="4" width="14.85546875" style="8" customWidth="1"/>
    <col min="5" max="5" width="13.28515625" style="8" customWidth="1"/>
    <col min="6" max="6" width="8.7109375" style="8" customWidth="1"/>
    <col min="7" max="7" width="12.5703125" style="8" bestFit="1" customWidth="1"/>
    <col min="8" max="8" width="9.140625" style="8"/>
    <col min="9" max="9" width="13.42578125" style="8" bestFit="1" customWidth="1"/>
    <col min="10" max="11" width="2.7109375" style="8" customWidth="1"/>
    <col min="12" max="12" width="4.42578125" style="8" customWidth="1"/>
    <col min="13" max="13" width="15.7109375" style="8" customWidth="1"/>
    <col min="14" max="14" width="10.85546875" style="8" customWidth="1"/>
    <col min="15" max="15" width="14.42578125" style="8" customWidth="1"/>
    <col min="16" max="16" width="13.7109375" style="8" customWidth="1"/>
    <col min="17" max="17" width="10" style="8" bestFit="1" customWidth="1"/>
    <col min="18" max="18" width="12.42578125" style="8" customWidth="1"/>
    <col min="19" max="19" width="13.42578125" style="8" bestFit="1" customWidth="1"/>
    <col min="20" max="20" width="9.140625" style="8" customWidth="1"/>
    <col min="21" max="16384" width="9.140625" style="8"/>
  </cols>
  <sheetData>
    <row r="1" spans="1:23" x14ac:dyDescent="0.25">
      <c r="A1" s="12" t="s">
        <v>3</v>
      </c>
      <c r="B1" s="13"/>
      <c r="C1" s="13" t="s">
        <v>20</v>
      </c>
      <c r="D1" s="14"/>
      <c r="E1" s="13"/>
      <c r="F1" s="13"/>
      <c r="G1" s="13"/>
      <c r="H1" s="13"/>
      <c r="I1" s="13"/>
      <c r="J1" s="5" t="s">
        <v>8</v>
      </c>
      <c r="K1" s="9"/>
      <c r="L1" s="7" t="s">
        <v>9</v>
      </c>
      <c r="V1" s="9"/>
    </row>
    <row r="2" spans="1:23" x14ac:dyDescent="0.25">
      <c r="A2" s="15" t="s">
        <v>4</v>
      </c>
      <c r="B2" s="16"/>
      <c r="C2" s="16" t="s">
        <v>11</v>
      </c>
      <c r="D2" s="16"/>
      <c r="E2" s="16"/>
      <c r="F2" s="16"/>
      <c r="G2" s="16"/>
      <c r="H2" s="16"/>
      <c r="I2" s="16"/>
      <c r="J2" s="17"/>
      <c r="K2" s="9"/>
      <c r="V2" s="9"/>
    </row>
    <row r="3" spans="1:23" x14ac:dyDescent="0.25">
      <c r="A3" s="15" t="s">
        <v>5</v>
      </c>
      <c r="B3" s="16"/>
      <c r="C3" s="16" t="s">
        <v>89</v>
      </c>
      <c r="D3" s="16"/>
      <c r="E3" s="16"/>
      <c r="F3" s="16"/>
      <c r="G3" s="16"/>
      <c r="H3" s="16"/>
      <c r="I3" s="16"/>
      <c r="J3" s="17"/>
      <c r="K3" s="9"/>
      <c r="M3" s="8" t="s">
        <v>90</v>
      </c>
      <c r="N3" s="29"/>
      <c r="O3" s="31" t="s">
        <v>91</v>
      </c>
      <c r="R3" s="8" t="s">
        <v>123</v>
      </c>
      <c r="V3" s="9"/>
    </row>
    <row r="4" spans="1:23" x14ac:dyDescent="0.25">
      <c r="A4" s="18"/>
      <c r="B4" s="19"/>
      <c r="C4" s="19"/>
      <c r="D4" s="19"/>
      <c r="E4" s="19"/>
      <c r="F4" s="19"/>
      <c r="G4" s="117" t="s">
        <v>92</v>
      </c>
      <c r="H4" s="118"/>
      <c r="I4" s="19"/>
      <c r="J4" s="20"/>
      <c r="K4" s="10"/>
      <c r="V4" s="10"/>
      <c r="W4" s="11"/>
    </row>
    <row r="5" spans="1:23" ht="15" customHeight="1" x14ac:dyDescent="0.35">
      <c r="A5" s="21" t="s">
        <v>6</v>
      </c>
      <c r="B5" s="16"/>
      <c r="C5" s="60" t="s">
        <v>93</v>
      </c>
      <c r="D5" s="60" t="s">
        <v>94</v>
      </c>
      <c r="E5" s="60" t="s">
        <v>95</v>
      </c>
      <c r="F5" s="97" t="s">
        <v>96</v>
      </c>
      <c r="G5" s="119" t="s">
        <v>97</v>
      </c>
      <c r="H5" s="24" t="s">
        <v>14</v>
      </c>
      <c r="I5" s="60" t="s">
        <v>98</v>
      </c>
      <c r="J5" s="17"/>
      <c r="K5" s="10"/>
      <c r="M5" s="31" t="s">
        <v>124</v>
      </c>
      <c r="V5" s="10"/>
      <c r="W5" s="11"/>
    </row>
    <row r="6" spans="1:23" x14ac:dyDescent="0.25">
      <c r="A6" s="22"/>
      <c r="B6" s="122">
        <v>4393</v>
      </c>
      <c r="C6" s="120">
        <v>0</v>
      </c>
      <c r="D6" s="120">
        <v>0</v>
      </c>
      <c r="E6" s="120">
        <v>0</v>
      </c>
      <c r="F6" s="120" t="s">
        <v>10</v>
      </c>
      <c r="G6" s="120" t="s">
        <v>10</v>
      </c>
      <c r="H6" s="120" t="s">
        <v>10</v>
      </c>
      <c r="I6" s="120" t="s">
        <v>10</v>
      </c>
      <c r="J6" s="17"/>
      <c r="K6" s="10"/>
      <c r="V6" s="10"/>
      <c r="W6" s="11"/>
    </row>
    <row r="7" spans="1:23" ht="15" customHeight="1" x14ac:dyDescent="0.25">
      <c r="A7" s="22"/>
      <c r="B7" s="122">
        <v>1.8921999999999999</v>
      </c>
      <c r="C7" s="102">
        <v>750</v>
      </c>
      <c r="D7" s="100">
        <v>336</v>
      </c>
      <c r="E7" s="100">
        <v>0.53739999999999999</v>
      </c>
      <c r="F7" s="100" t="s">
        <v>10</v>
      </c>
      <c r="G7" s="100" t="s">
        <v>10</v>
      </c>
      <c r="H7" s="100" t="s">
        <v>10</v>
      </c>
      <c r="I7" s="100" t="s">
        <v>10</v>
      </c>
      <c r="J7" s="17"/>
      <c r="K7" s="10"/>
      <c r="V7" s="10"/>
      <c r="W7" s="11"/>
    </row>
    <row r="8" spans="1:23" ht="15" customHeight="1" x14ac:dyDescent="0.25">
      <c r="A8" s="21"/>
      <c r="B8" s="123">
        <v>1750000</v>
      </c>
      <c r="C8" s="102">
        <v>1000</v>
      </c>
      <c r="D8" s="102">
        <v>464</v>
      </c>
      <c r="E8" s="100">
        <v>0.60770000000000002</v>
      </c>
      <c r="F8" s="100" t="s">
        <v>10</v>
      </c>
      <c r="G8" s="100" t="s">
        <v>10</v>
      </c>
      <c r="H8" s="100" t="s">
        <v>10</v>
      </c>
      <c r="I8" s="100" t="s">
        <v>10</v>
      </c>
      <c r="J8" s="17"/>
      <c r="K8" s="10"/>
      <c r="M8" s="8" t="s">
        <v>99</v>
      </c>
      <c r="N8" s="8" t="s">
        <v>100</v>
      </c>
      <c r="O8" s="8" t="s">
        <v>101</v>
      </c>
      <c r="V8" s="10"/>
      <c r="W8" s="11"/>
    </row>
    <row r="9" spans="1:23" x14ac:dyDescent="0.25">
      <c r="A9" s="21"/>
      <c r="B9" s="123">
        <v>750</v>
      </c>
      <c r="C9" s="102">
        <v>1750</v>
      </c>
      <c r="D9" s="102">
        <v>1606</v>
      </c>
      <c r="E9" s="100">
        <v>0.63219999999999998</v>
      </c>
      <c r="F9" s="100" t="s">
        <v>10</v>
      </c>
      <c r="G9" s="100" t="s">
        <v>10</v>
      </c>
      <c r="H9" s="100" t="s">
        <v>10</v>
      </c>
      <c r="I9" s="100" t="s">
        <v>10</v>
      </c>
      <c r="J9" s="17"/>
      <c r="K9" s="10"/>
      <c r="V9" s="10"/>
      <c r="W9" s="11"/>
    </row>
    <row r="10" spans="1:23" x14ac:dyDescent="0.25">
      <c r="A10" s="18"/>
      <c r="B10" s="19"/>
      <c r="C10" s="102">
        <v>2000</v>
      </c>
      <c r="D10" s="102">
        <v>1745</v>
      </c>
      <c r="E10" s="100">
        <v>0.66749999999999998</v>
      </c>
      <c r="F10" s="100" t="s">
        <v>10</v>
      </c>
      <c r="G10" s="100" t="s">
        <v>10</v>
      </c>
      <c r="H10" s="100" t="s">
        <v>10</v>
      </c>
      <c r="I10" s="100" t="s">
        <v>10</v>
      </c>
      <c r="J10" s="17"/>
      <c r="K10" s="10"/>
      <c r="Q10" s="109" t="s">
        <v>92</v>
      </c>
      <c r="R10" s="109"/>
      <c r="V10" s="10"/>
      <c r="W10" s="11"/>
    </row>
    <row r="11" spans="1:23" ht="18" x14ac:dyDescent="0.35">
      <c r="A11" s="18"/>
      <c r="B11" s="19"/>
      <c r="C11" s="103">
        <v>8500</v>
      </c>
      <c r="D11" s="103">
        <v>3164</v>
      </c>
      <c r="E11" s="104">
        <v>0.82720000000000005</v>
      </c>
      <c r="F11" s="104" t="s">
        <v>10</v>
      </c>
      <c r="G11" s="104" t="s">
        <v>10</v>
      </c>
      <c r="H11" s="104" t="s">
        <v>10</v>
      </c>
      <c r="I11" s="104" t="s">
        <v>10</v>
      </c>
      <c r="J11" s="17"/>
      <c r="K11" s="10"/>
      <c r="L11" s="8" t="s">
        <v>12</v>
      </c>
      <c r="M11" s="65" t="str">
        <f t="shared" ref="M11:N17" si="0">C5</f>
        <v>Deductible, d</v>
      </c>
      <c r="N11" s="65" t="str">
        <f t="shared" si="0"/>
        <v>E[X;d]</v>
      </c>
      <c r="O11" s="65" t="s">
        <v>95</v>
      </c>
      <c r="P11" s="65" t="str">
        <f>F5</f>
        <v>C(d)</v>
      </c>
      <c r="Q11" s="65" t="str">
        <f>G5</f>
        <v>Frequency</v>
      </c>
      <c r="R11" s="65" t="str">
        <f>H5</f>
        <v>Severity</v>
      </c>
      <c r="S11" s="65" t="str">
        <f>I5</f>
        <v>Pure Premium</v>
      </c>
      <c r="V11" s="10"/>
      <c r="W11" s="11"/>
    </row>
    <row r="12" spans="1:23" x14ac:dyDescent="0.25">
      <c r="A12" s="18"/>
      <c r="B12" s="19"/>
      <c r="C12" s="16"/>
      <c r="D12" s="16"/>
      <c r="E12" s="16"/>
      <c r="F12" s="16"/>
      <c r="G12" s="16"/>
      <c r="H12" s="16"/>
      <c r="I12" s="16"/>
      <c r="J12" s="17"/>
      <c r="K12" s="10"/>
      <c r="M12" s="121">
        <f t="shared" si="0"/>
        <v>0</v>
      </c>
      <c r="N12" s="121">
        <f t="shared" si="0"/>
        <v>0</v>
      </c>
      <c r="O12" s="83">
        <f t="shared" ref="O12:O17" si="1">E6</f>
        <v>0</v>
      </c>
      <c r="P12" s="110">
        <f>(N12+O12*$C$16)/($C$15+$C$16)</f>
        <v>0</v>
      </c>
      <c r="Q12" s="111">
        <f t="shared" ref="Q12:Q17" si="2">$C$13*(1-O12)</f>
        <v>6.9999999999999999E-4</v>
      </c>
      <c r="R12" s="112">
        <f>(($C$15-N12+(1-O12)*$C$16)/(1-O12))*(1+$C$17)</f>
        <v>14458.289999999999</v>
      </c>
      <c r="S12" s="113">
        <f>Q12*R12</f>
        <v>10.120802999999999</v>
      </c>
      <c r="V12" s="10"/>
      <c r="W12" s="11"/>
    </row>
    <row r="13" spans="1:23" x14ac:dyDescent="0.25">
      <c r="A13" s="18"/>
      <c r="B13" s="19"/>
      <c r="C13" s="105">
        <v>6.9999999999999999E-4</v>
      </c>
      <c r="D13" s="52" t="s">
        <v>102</v>
      </c>
      <c r="E13" s="52"/>
      <c r="F13" s="53"/>
      <c r="G13" s="16"/>
      <c r="H13" s="16"/>
      <c r="I13" s="16"/>
      <c r="J13" s="17"/>
      <c r="K13" s="10"/>
      <c r="M13" s="121">
        <f t="shared" si="0"/>
        <v>750</v>
      </c>
      <c r="N13" s="121">
        <f t="shared" si="0"/>
        <v>336</v>
      </c>
      <c r="O13" s="83">
        <f t="shared" si="1"/>
        <v>0.53739999999999999</v>
      </c>
      <c r="P13" s="110">
        <f>(N13+O13*$C$16)/($C$15+$C$16)</f>
        <v>4.1611850364047201E-2</v>
      </c>
      <c r="Q13" s="111">
        <f t="shared" si="2"/>
        <v>3.2382E-4</v>
      </c>
      <c r="R13" s="112">
        <f t="shared" ref="R13:R17" si="3">(($C$15-N13+(1-O13)*$C$16)/(1-O13))*(1+$C$17)</f>
        <v>29953.856031128402</v>
      </c>
      <c r="S13" s="113">
        <f t="shared" ref="S13:S17" si="4">Q13*R13</f>
        <v>9.6996576599999997</v>
      </c>
      <c r="V13" s="10"/>
      <c r="W13" s="11"/>
    </row>
    <row r="14" spans="1:23" x14ac:dyDescent="0.25">
      <c r="A14" s="18"/>
      <c r="B14" s="19"/>
      <c r="C14" s="101">
        <v>150000</v>
      </c>
      <c r="D14" s="16" t="s">
        <v>35</v>
      </c>
      <c r="E14" s="16"/>
      <c r="F14" s="55"/>
      <c r="G14" s="16"/>
      <c r="H14" s="16"/>
      <c r="I14" s="16"/>
      <c r="J14" s="17"/>
      <c r="K14" s="10"/>
      <c r="M14" s="121">
        <f t="shared" si="0"/>
        <v>1000</v>
      </c>
      <c r="N14" s="121">
        <f t="shared" si="0"/>
        <v>464</v>
      </c>
      <c r="O14" s="83">
        <f t="shared" si="1"/>
        <v>0.60770000000000002</v>
      </c>
      <c r="P14" s="110">
        <f t="shared" ref="P14:P17" si="5">(N14+O14*$C$16)/($C$15+$C$16)</f>
        <v>5.4089045108377268E-2</v>
      </c>
      <c r="Q14" s="111">
        <f t="shared" si="2"/>
        <v>2.7461E-4</v>
      </c>
      <c r="R14" s="112">
        <f t="shared" si="3"/>
        <v>34861.725465205207</v>
      </c>
      <c r="S14" s="113">
        <f t="shared" si="4"/>
        <v>9.5733784300000018</v>
      </c>
      <c r="V14" s="10"/>
      <c r="W14" s="11"/>
    </row>
    <row r="15" spans="1:23" x14ac:dyDescent="0.25">
      <c r="A15" s="22"/>
      <c r="B15" s="16"/>
      <c r="C15" s="101">
        <v>11649</v>
      </c>
      <c r="D15" s="16" t="s">
        <v>103</v>
      </c>
      <c r="E15" s="16"/>
      <c r="F15" s="55"/>
      <c r="G15" s="16"/>
      <c r="H15" s="16"/>
      <c r="I15" s="16"/>
      <c r="J15" s="17"/>
      <c r="K15" s="10"/>
      <c r="M15" s="121">
        <f t="shared" si="0"/>
        <v>1750</v>
      </c>
      <c r="N15" s="121">
        <f t="shared" si="0"/>
        <v>1606</v>
      </c>
      <c r="O15" s="83">
        <f t="shared" si="1"/>
        <v>0.63219999999999998</v>
      </c>
      <c r="P15" s="110">
        <f t="shared" si="5"/>
        <v>0.15027701062850449</v>
      </c>
      <c r="Q15" s="111">
        <f t="shared" si="2"/>
        <v>2.5745999999999999E-4</v>
      </c>
      <c r="R15" s="112">
        <f t="shared" si="3"/>
        <v>33402.777052746053</v>
      </c>
      <c r="S15" s="113">
        <f t="shared" si="4"/>
        <v>8.599878979999998</v>
      </c>
      <c r="V15" s="10"/>
      <c r="W15" s="11"/>
    </row>
    <row r="16" spans="1:23" x14ac:dyDescent="0.25">
      <c r="A16" s="22"/>
      <c r="B16" s="16"/>
      <c r="C16" s="56">
        <v>300</v>
      </c>
      <c r="D16" s="16" t="s">
        <v>104</v>
      </c>
      <c r="E16" s="16"/>
      <c r="F16" s="55"/>
      <c r="G16" s="16"/>
      <c r="H16" s="16"/>
      <c r="I16" s="16"/>
      <c r="J16" s="17"/>
      <c r="K16" s="10"/>
      <c r="M16" s="121">
        <f t="shared" si="0"/>
        <v>2000</v>
      </c>
      <c r="N16" s="121">
        <f t="shared" si="0"/>
        <v>1745</v>
      </c>
      <c r="O16" s="83">
        <f t="shared" si="1"/>
        <v>0.66749999999999998</v>
      </c>
      <c r="P16" s="110">
        <f t="shared" si="5"/>
        <v>0.16279604987865093</v>
      </c>
      <c r="Q16" s="111">
        <f t="shared" si="2"/>
        <v>2.3275000000000002E-4</v>
      </c>
      <c r="R16" s="112">
        <f t="shared" si="3"/>
        <v>36404.624060150374</v>
      </c>
      <c r="S16" s="113">
        <f t="shared" si="4"/>
        <v>8.4731762499999999</v>
      </c>
      <c r="V16" s="10"/>
      <c r="W16" s="11"/>
    </row>
    <row r="17" spans="1:23" x14ac:dyDescent="0.25">
      <c r="A17" s="22"/>
      <c r="B17" s="16"/>
      <c r="C17" s="107">
        <v>0.21</v>
      </c>
      <c r="D17" s="34" t="s">
        <v>105</v>
      </c>
      <c r="E17" s="34"/>
      <c r="F17" s="59"/>
      <c r="G17" s="16"/>
      <c r="H17" s="16"/>
      <c r="I17" s="16"/>
      <c r="J17" s="17"/>
      <c r="K17" s="10"/>
      <c r="M17" s="121">
        <f t="shared" si="0"/>
        <v>8500</v>
      </c>
      <c r="N17" s="121">
        <f t="shared" si="0"/>
        <v>3164</v>
      </c>
      <c r="O17" s="83">
        <f t="shared" si="1"/>
        <v>0.82720000000000005</v>
      </c>
      <c r="P17" s="110">
        <f t="shared" si="5"/>
        <v>0.2855602979328814</v>
      </c>
      <c r="Q17" s="111">
        <f t="shared" si="2"/>
        <v>1.2095999999999997E-4</v>
      </c>
      <c r="R17" s="112">
        <f t="shared" si="3"/>
        <v>59777.641203703715</v>
      </c>
      <c r="S17" s="113">
        <f t="shared" si="4"/>
        <v>7.2307034799999998</v>
      </c>
      <c r="V17" s="10"/>
      <c r="W17" s="11"/>
    </row>
    <row r="18" spans="1:23" x14ac:dyDescent="0.25">
      <c r="A18" s="22"/>
      <c r="B18" s="16"/>
      <c r="C18" s="16"/>
      <c r="D18" s="16"/>
      <c r="E18" s="16"/>
      <c r="F18" s="16"/>
      <c r="G18" s="16"/>
      <c r="H18" s="16"/>
      <c r="I18" s="16"/>
      <c r="J18" s="17"/>
      <c r="K18" s="10"/>
      <c r="V18" s="10"/>
      <c r="W18" s="11"/>
    </row>
    <row r="19" spans="1:23" ht="15" customHeight="1" x14ac:dyDescent="0.25">
      <c r="A19" s="15" t="s">
        <v>7</v>
      </c>
      <c r="B19" s="16" t="s">
        <v>12</v>
      </c>
      <c r="C19" s="16" t="s">
        <v>106</v>
      </c>
      <c r="D19" s="16"/>
      <c r="E19" s="16"/>
      <c r="F19" s="16"/>
      <c r="G19" s="16"/>
      <c r="H19" s="16"/>
      <c r="I19" s="16"/>
      <c r="J19" s="17"/>
      <c r="K19" s="10"/>
      <c r="L19" s="8" t="s">
        <v>13</v>
      </c>
      <c r="V19" s="10"/>
      <c r="W19" s="11"/>
    </row>
    <row r="20" spans="1:23" x14ac:dyDescent="0.25">
      <c r="A20" s="22"/>
      <c r="B20" s="16"/>
      <c r="C20" s="16"/>
      <c r="D20" s="16"/>
      <c r="E20" s="16"/>
      <c r="F20" s="16"/>
      <c r="G20" s="16"/>
      <c r="H20" s="16"/>
      <c r="I20" s="16"/>
      <c r="J20" s="17"/>
      <c r="K20" s="10"/>
      <c r="L20" s="8" t="s">
        <v>46</v>
      </c>
      <c r="M20" s="8" t="s">
        <v>127</v>
      </c>
      <c r="S20" s="114">
        <f>INDEX(Q12:Q17,MATCH(VALUE(E21),M12:M17,0))</f>
        <v>3.2382E-4</v>
      </c>
      <c r="V20" s="10"/>
      <c r="W20" s="11"/>
    </row>
    <row r="21" spans="1:23" x14ac:dyDescent="0.25">
      <c r="A21" s="22"/>
      <c r="B21" s="16" t="s">
        <v>13</v>
      </c>
      <c r="C21" s="16" t="s">
        <v>108</v>
      </c>
      <c r="D21" s="16"/>
      <c r="E21" s="73" t="str">
        <f>TEXT(B9,"$#,###")</f>
        <v>$750</v>
      </c>
      <c r="F21" s="16"/>
      <c r="G21" s="16"/>
      <c r="H21" s="16"/>
      <c r="I21" s="16"/>
      <c r="J21" s="17"/>
      <c r="K21" s="10"/>
      <c r="L21" s="8" t="s">
        <v>48</v>
      </c>
      <c r="M21" s="8" t="s">
        <v>107</v>
      </c>
      <c r="O21" s="112">
        <f>INDEX(R12:R17,MATCH(VALUE(E21),M12:M17,0))</f>
        <v>29953.856031128402</v>
      </c>
      <c r="V21" s="10"/>
      <c r="W21" s="11"/>
    </row>
    <row r="22" spans="1:23" x14ac:dyDescent="0.25">
      <c r="A22" s="22"/>
      <c r="B22" s="16" t="s">
        <v>46</v>
      </c>
      <c r="C22" s="16" t="s">
        <v>110</v>
      </c>
      <c r="D22" s="16"/>
      <c r="E22" s="16"/>
      <c r="F22" s="16"/>
      <c r="G22" s="16"/>
      <c r="H22" s="16"/>
      <c r="I22" s="16"/>
      <c r="J22" s="17"/>
      <c r="K22" s="10"/>
      <c r="U22" s="11"/>
      <c r="V22" s="10"/>
      <c r="W22" s="11"/>
    </row>
    <row r="23" spans="1:23" ht="15" customHeight="1" x14ac:dyDescent="0.25">
      <c r="A23" s="22"/>
      <c r="B23" s="16" t="s">
        <v>48</v>
      </c>
      <c r="C23" s="16" t="s">
        <v>111</v>
      </c>
      <c r="D23" s="16"/>
      <c r="E23" s="16"/>
      <c r="F23" s="16"/>
      <c r="G23" s="16"/>
      <c r="H23" s="16"/>
      <c r="I23" s="16"/>
      <c r="J23" s="17"/>
      <c r="K23" s="10"/>
      <c r="L23" s="8" t="s">
        <v>49</v>
      </c>
      <c r="M23" s="8" t="s">
        <v>109</v>
      </c>
      <c r="U23" s="11"/>
      <c r="V23" s="10"/>
      <c r="W23" s="11"/>
    </row>
    <row r="24" spans="1:23" ht="15" customHeight="1" x14ac:dyDescent="0.25">
      <c r="A24" s="22"/>
      <c r="B24" s="16"/>
      <c r="C24" s="16"/>
      <c r="D24" s="16"/>
      <c r="E24" s="16"/>
      <c r="F24" s="16"/>
      <c r="G24" s="16"/>
      <c r="H24" s="16"/>
      <c r="I24" s="16"/>
      <c r="J24" s="17"/>
      <c r="K24" s="10"/>
      <c r="M24" s="8" t="str">
        <f>"Here L = "&amp;TEXT(B8,"$#,###")&amp; " and d = "&amp;TEXT(B9,"$#,###")</f>
        <v>Here L = $1,750,000 and d = $750</v>
      </c>
      <c r="T24" s="11"/>
      <c r="U24" s="11"/>
      <c r="V24" s="10"/>
      <c r="W24" s="11"/>
    </row>
    <row r="25" spans="1:23" ht="15" customHeight="1" x14ac:dyDescent="0.35">
      <c r="A25" s="22"/>
      <c r="B25" s="16" t="s">
        <v>49</v>
      </c>
      <c r="C25" s="16" t="str">
        <f>"The basic limit premium for a policy is "&amp;TEXT(B6,"$#,###")</f>
        <v>The basic limit premium for a policy is $4,393</v>
      </c>
      <c r="D25" s="16"/>
      <c r="E25" s="16"/>
      <c r="F25" s="16"/>
      <c r="G25" s="16"/>
      <c r="H25" s="16"/>
      <c r="I25" s="16"/>
      <c r="J25" s="17"/>
      <c r="K25" s="10"/>
      <c r="M25" s="115" t="s">
        <v>112</v>
      </c>
      <c r="N25" s="116">
        <f>B6*(B7-P13)</f>
        <v>8129.6337413507399</v>
      </c>
      <c r="T25" s="11"/>
      <c r="U25" s="11"/>
      <c r="V25" s="10"/>
      <c r="W25" s="11"/>
    </row>
    <row r="26" spans="1:23" ht="15" customHeight="1" x14ac:dyDescent="0.25">
      <c r="A26" s="22"/>
      <c r="B26" s="16"/>
      <c r="C26" s="16" t="str">
        <f>"The ILF for a "&amp;TEXT(B8,"$#,###")&amp;" limit is "&amp;B7</f>
        <v>The ILF for a $1,750,000 limit is 1.8922</v>
      </c>
      <c r="D26" s="16"/>
      <c r="E26" s="16"/>
      <c r="F26" s="16"/>
      <c r="G26" s="16"/>
      <c r="H26" s="16"/>
      <c r="I26" s="16"/>
      <c r="J26" s="17"/>
      <c r="K26" s="10"/>
      <c r="S26" s="11"/>
      <c r="T26" s="11"/>
      <c r="U26" s="11"/>
      <c r="V26" s="10"/>
      <c r="W26" s="11"/>
    </row>
    <row r="27" spans="1:23" ht="15" customHeight="1" thickBot="1" x14ac:dyDescent="0.3">
      <c r="A27" s="25"/>
      <c r="B27" s="26"/>
      <c r="C27" s="26" t="str">
        <f>"Calculate the premium for a policy with "&amp;TEXT(B8,"$#,###")&amp;" limit and "&amp;TEXT(B9,"$#,###")&amp;" deductible."</f>
        <v>Calculate the premium for a policy with $1,750,000 limit and $750 deductible.</v>
      </c>
      <c r="D27" s="26"/>
      <c r="E27" s="26"/>
      <c r="F27" s="26"/>
      <c r="G27" s="26"/>
      <c r="H27" s="26"/>
      <c r="I27" s="26"/>
      <c r="J27" s="27"/>
      <c r="K27" s="10"/>
      <c r="S27" s="11"/>
      <c r="T27" s="11"/>
      <c r="U27" s="11"/>
      <c r="V27" s="10"/>
      <c r="W27" s="11"/>
    </row>
    <row r="28" spans="1:23" ht="15" customHeight="1" x14ac:dyDescent="0.25">
      <c r="K28" s="10"/>
      <c r="S28" s="11"/>
      <c r="T28" s="11"/>
      <c r="U28" s="11"/>
      <c r="V28" s="10"/>
      <c r="W28" s="11"/>
    </row>
    <row r="29" spans="1:23" x14ac:dyDescent="0.25">
      <c r="K29" s="10"/>
      <c r="S29" s="11"/>
      <c r="T29" s="11"/>
      <c r="U29" s="11"/>
      <c r="V29" s="10"/>
      <c r="W29" s="11"/>
    </row>
    <row r="30" spans="1:23" x14ac:dyDescent="0.25">
      <c r="K30" s="10"/>
      <c r="S30" s="11"/>
      <c r="T30" s="11"/>
      <c r="U30" s="11"/>
      <c r="V30" s="10"/>
      <c r="W30" s="11"/>
    </row>
    <row r="31" spans="1:23" x14ac:dyDescent="0.25">
      <c r="K31" s="10"/>
      <c r="S31" s="11"/>
      <c r="T31" s="11"/>
      <c r="U31" s="11"/>
      <c r="V31" s="10"/>
      <c r="W31" s="11"/>
    </row>
    <row r="32" spans="1:23" x14ac:dyDescent="0.25">
      <c r="K32" s="10"/>
      <c r="S32" s="11"/>
      <c r="T32" s="11"/>
      <c r="U32" s="11"/>
      <c r="V32" s="10"/>
      <c r="W32" s="11"/>
    </row>
    <row r="33" spans="1:23" x14ac:dyDescent="0.25">
      <c r="K33" s="10"/>
      <c r="S33" s="11"/>
      <c r="T33" s="11"/>
      <c r="U33" s="11"/>
      <c r="V33" s="10"/>
      <c r="W33" s="11"/>
    </row>
    <row r="34" spans="1:23" x14ac:dyDescent="0.25">
      <c r="K34" s="10"/>
      <c r="S34" s="11"/>
      <c r="T34" s="11"/>
      <c r="U34" s="11"/>
      <c r="V34" s="10"/>
      <c r="W34" s="11"/>
    </row>
    <row r="35" spans="1:23" x14ac:dyDescent="0.25">
      <c r="K35" s="10"/>
      <c r="S35" s="11"/>
      <c r="T35" s="11"/>
      <c r="U35" s="11"/>
      <c r="V35" s="10"/>
      <c r="W35" s="11"/>
    </row>
    <row r="36" spans="1:23" x14ac:dyDescent="0.25">
      <c r="K36" s="10"/>
      <c r="S36" s="11"/>
      <c r="T36" s="11"/>
      <c r="U36" s="11"/>
      <c r="V36" s="10"/>
      <c r="W36" s="11"/>
    </row>
    <row r="37" spans="1:23" x14ac:dyDescent="0.25">
      <c r="K37" s="10"/>
      <c r="S37" s="11"/>
      <c r="T37" s="11"/>
      <c r="U37" s="11"/>
      <c r="V37" s="10"/>
      <c r="W37" s="11"/>
    </row>
    <row r="38" spans="1:23" x14ac:dyDescent="0.25">
      <c r="K38" s="10"/>
      <c r="S38" s="11"/>
      <c r="T38" s="11"/>
      <c r="U38" s="11"/>
      <c r="V38" s="10"/>
      <c r="W38" s="11"/>
    </row>
    <row r="39" spans="1:23" x14ac:dyDescent="0.25">
      <c r="A39" s="11"/>
      <c r="B39" s="11"/>
      <c r="K39" s="10"/>
      <c r="S39" s="11"/>
      <c r="T39" s="11"/>
      <c r="U39" s="11"/>
      <c r="V39" s="10"/>
      <c r="W39" s="11"/>
    </row>
    <row r="40" spans="1:23" x14ac:dyDescent="0.25">
      <c r="K40" s="10"/>
      <c r="S40" s="11"/>
      <c r="T40" s="11"/>
      <c r="U40" s="11"/>
      <c r="V40" s="10"/>
      <c r="W40" s="11"/>
    </row>
    <row r="41" spans="1:23" x14ac:dyDescent="0.25">
      <c r="K41" s="10"/>
      <c r="S41" s="11"/>
      <c r="T41" s="11"/>
      <c r="U41" s="11"/>
      <c r="V41" s="10"/>
      <c r="W41" s="11"/>
    </row>
    <row r="42" spans="1:23" x14ac:dyDescent="0.25">
      <c r="K42" s="10"/>
      <c r="S42" s="11"/>
      <c r="T42" s="11"/>
      <c r="U42" s="11"/>
      <c r="V42" s="10"/>
      <c r="W42" s="11"/>
    </row>
    <row r="43" spans="1:23" x14ac:dyDescent="0.25">
      <c r="K43" s="10"/>
      <c r="S43" s="11"/>
      <c r="T43" s="11"/>
      <c r="U43" s="11"/>
      <c r="V43" s="10"/>
      <c r="W43" s="11"/>
    </row>
    <row r="44" spans="1:23" x14ac:dyDescent="0.25">
      <c r="K44" s="10"/>
      <c r="S44" s="11"/>
      <c r="T44" s="11"/>
      <c r="U44" s="11"/>
      <c r="V44" s="10"/>
      <c r="W44" s="11"/>
    </row>
    <row r="45" spans="1:23" x14ac:dyDescent="0.25">
      <c r="K45" s="10"/>
      <c r="S45" s="11"/>
      <c r="T45" s="11"/>
      <c r="U45" s="11"/>
      <c r="V45" s="10"/>
      <c r="W45" s="11"/>
    </row>
    <row r="46" spans="1:23" x14ac:dyDescent="0.25">
      <c r="K46" s="10"/>
      <c r="S46" s="11"/>
      <c r="T46" s="11"/>
      <c r="U46" s="11"/>
      <c r="V46" s="10"/>
      <c r="W46" s="11"/>
    </row>
    <row r="47" spans="1:23" x14ac:dyDescent="0.25">
      <c r="K47" s="10"/>
      <c r="S47" s="11"/>
      <c r="T47" s="11"/>
      <c r="U47" s="11"/>
      <c r="V47" s="10"/>
      <c r="W47" s="11"/>
    </row>
    <row r="48" spans="1:23" x14ac:dyDescent="0.25">
      <c r="K48" s="10"/>
      <c r="S48" s="11"/>
      <c r="T48" s="11"/>
      <c r="U48" s="11"/>
      <c r="V48" s="10"/>
      <c r="W48" s="11"/>
    </row>
    <row r="49" spans="11:23" x14ac:dyDescent="0.25">
      <c r="K49" s="10"/>
      <c r="S49" s="11"/>
      <c r="T49" s="11"/>
      <c r="U49" s="11"/>
      <c r="V49" s="10"/>
      <c r="W49" s="11"/>
    </row>
  </sheetData>
  <sheetProtection algorithmName="SHA-512" hashValue="EHmvGxHujJ9oKRNuU7W2MlQ/9BIEK78kAYGwEuXfyDx/lFMUG3/ANRzVq1qfzzj+iSgYTzRXGKbEH/UZ+FHZhw==" saltValue="NJEFnaXwVml9WTPRAdIc6w==" spinCount="100000" sheet="1" objects="1" scenarios="1" formatCells="0" formatColumns="0" formatRows="0"/>
  <hyperlinks>
    <hyperlink ref="J1" location="TOC!A1" display="Return to TOC" xr:uid="{F3699FBB-8105-4362-89A9-9475B3893BF8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E5F8-F748-433E-BF73-3967D41C19C2}">
  <sheetPr codeName="Sheet47"/>
  <dimension ref="A1:W49"/>
  <sheetViews>
    <sheetView zoomScaleNormal="100" workbookViewId="0"/>
  </sheetViews>
  <sheetFormatPr defaultColWidth="9.140625" defaultRowHeight="15" x14ac:dyDescent="0.25"/>
  <cols>
    <col min="1" max="1" width="10.7109375" style="8" customWidth="1"/>
    <col min="2" max="2" width="4.7109375" style="8" customWidth="1"/>
    <col min="3" max="3" width="16.5703125" style="8" customWidth="1"/>
    <col min="4" max="4" width="17.7109375" style="8" customWidth="1"/>
    <col min="5" max="5" width="9.28515625" style="8" customWidth="1"/>
    <col min="6" max="6" width="12" style="8" customWidth="1"/>
    <col min="7" max="7" width="9.85546875" style="8" customWidth="1"/>
    <col min="8" max="8" width="9.140625" style="8"/>
    <col min="9" max="9" width="13.42578125" style="8" bestFit="1" customWidth="1"/>
    <col min="10" max="11" width="2.7109375" style="8" customWidth="1"/>
    <col min="12" max="12" width="7.28515625" style="8" customWidth="1"/>
    <col min="13" max="14" width="15.7109375" style="8" customWidth="1"/>
    <col min="15" max="15" width="10.42578125" style="8" customWidth="1"/>
    <col min="16" max="16" width="12.42578125" style="8" customWidth="1"/>
    <col min="17" max="17" width="10" style="8" bestFit="1" customWidth="1"/>
    <col min="18" max="18" width="10.28515625" style="8" customWidth="1"/>
    <col min="19" max="19" width="13.42578125" style="8" bestFit="1" customWidth="1"/>
    <col min="20" max="20" width="9.140625" style="8" customWidth="1"/>
    <col min="21" max="21" width="24.42578125" style="8" customWidth="1"/>
    <col min="22" max="16384" width="9.140625" style="8"/>
  </cols>
  <sheetData>
    <row r="1" spans="1:23" x14ac:dyDescent="0.25">
      <c r="A1" s="12" t="s">
        <v>3</v>
      </c>
      <c r="B1" s="13"/>
      <c r="C1" s="13" t="s">
        <v>20</v>
      </c>
      <c r="D1" s="14"/>
      <c r="E1" s="13"/>
      <c r="F1" s="13"/>
      <c r="G1" s="13"/>
      <c r="H1" s="13"/>
      <c r="I1" s="13"/>
      <c r="J1" s="5" t="s">
        <v>8</v>
      </c>
      <c r="K1" s="9"/>
      <c r="L1" s="7" t="s">
        <v>9</v>
      </c>
      <c r="V1" s="9"/>
    </row>
    <row r="2" spans="1:23" x14ac:dyDescent="0.25">
      <c r="A2" s="15" t="s">
        <v>4</v>
      </c>
      <c r="B2" s="16"/>
      <c r="C2" s="16" t="s">
        <v>11</v>
      </c>
      <c r="D2" s="16"/>
      <c r="E2" s="16"/>
      <c r="F2" s="16"/>
      <c r="G2" s="16"/>
      <c r="H2" s="16"/>
      <c r="I2" s="16"/>
      <c r="J2" s="17"/>
      <c r="K2" s="9"/>
      <c r="V2" s="9"/>
    </row>
    <row r="3" spans="1:23" x14ac:dyDescent="0.25">
      <c r="A3" s="15" t="s">
        <v>5</v>
      </c>
      <c r="B3" s="16"/>
      <c r="C3" s="16" t="s">
        <v>114</v>
      </c>
      <c r="D3" s="16"/>
      <c r="E3" s="16"/>
      <c r="F3" s="16"/>
      <c r="G3" s="16"/>
      <c r="H3" s="16"/>
      <c r="I3" s="16"/>
      <c r="J3" s="17"/>
      <c r="K3" s="9"/>
      <c r="L3" s="8" t="s">
        <v>115</v>
      </c>
      <c r="O3" s="29"/>
      <c r="V3" s="9"/>
    </row>
    <row r="4" spans="1:23" x14ac:dyDescent="0.25">
      <c r="A4" s="18"/>
      <c r="B4" s="19"/>
      <c r="C4" s="19"/>
      <c r="D4" s="19"/>
      <c r="E4" s="19"/>
      <c r="F4" s="19"/>
      <c r="G4" s="19"/>
      <c r="H4" s="19"/>
      <c r="I4" s="19"/>
      <c r="J4" s="20"/>
      <c r="K4" s="10"/>
      <c r="V4" s="10"/>
      <c r="W4" s="11"/>
    </row>
    <row r="5" spans="1:23" ht="15" customHeight="1" x14ac:dyDescent="0.35">
      <c r="A5" s="21" t="s">
        <v>6</v>
      </c>
      <c r="B5" s="16"/>
      <c r="C5" s="97" t="s">
        <v>93</v>
      </c>
      <c r="D5" s="60" t="s">
        <v>94</v>
      </c>
      <c r="E5" s="98" t="s">
        <v>95</v>
      </c>
      <c r="F5" s="60" t="s">
        <v>96</v>
      </c>
      <c r="G5" s="98" t="s">
        <v>97</v>
      </c>
      <c r="H5" s="60" t="s">
        <v>14</v>
      </c>
      <c r="I5" s="99" t="s">
        <v>98</v>
      </c>
      <c r="J5" s="17"/>
      <c r="K5" s="10"/>
      <c r="L5" s="8" t="s">
        <v>116</v>
      </c>
      <c r="V5" s="10"/>
      <c r="W5" s="11"/>
    </row>
    <row r="6" spans="1:23" x14ac:dyDescent="0.25">
      <c r="A6" s="22"/>
      <c r="B6" s="16"/>
      <c r="C6" s="56">
        <v>0</v>
      </c>
      <c r="D6" s="100">
        <v>0</v>
      </c>
      <c r="E6" s="35">
        <v>0</v>
      </c>
      <c r="F6" s="100" t="s">
        <v>10</v>
      </c>
      <c r="G6" s="35" t="s">
        <v>10</v>
      </c>
      <c r="H6" s="100" t="s">
        <v>10</v>
      </c>
      <c r="I6" s="23" t="s">
        <v>10</v>
      </c>
      <c r="J6" s="17"/>
      <c r="K6" s="10"/>
      <c r="V6" s="10"/>
      <c r="W6" s="11"/>
    </row>
    <row r="7" spans="1:23" ht="15" customHeight="1" x14ac:dyDescent="0.25">
      <c r="A7" s="22"/>
      <c r="B7" s="16"/>
      <c r="C7" s="101">
        <v>500</v>
      </c>
      <c r="D7" s="100">
        <v>489</v>
      </c>
      <c r="E7" s="35">
        <v>0.54020000000000001</v>
      </c>
      <c r="F7" s="100" t="s">
        <v>10</v>
      </c>
      <c r="G7" s="35" t="s">
        <v>10</v>
      </c>
      <c r="H7" s="100" t="s">
        <v>10</v>
      </c>
      <c r="I7" s="23" t="s">
        <v>10</v>
      </c>
      <c r="J7" s="17"/>
      <c r="K7" s="10"/>
      <c r="L7" s="8" t="s">
        <v>117</v>
      </c>
      <c r="R7" s="76" t="s">
        <v>118</v>
      </c>
      <c r="V7" s="10"/>
      <c r="W7" s="11"/>
    </row>
    <row r="8" spans="1:23" ht="15" customHeight="1" x14ac:dyDescent="0.25">
      <c r="A8" s="21"/>
      <c r="B8" s="19"/>
      <c r="C8" s="101">
        <v>1000</v>
      </c>
      <c r="D8" s="102">
        <v>790</v>
      </c>
      <c r="E8" s="35">
        <v>0.55920000000000003</v>
      </c>
      <c r="F8" s="100" t="s">
        <v>10</v>
      </c>
      <c r="G8" s="35" t="s">
        <v>10</v>
      </c>
      <c r="H8" s="100" t="s">
        <v>10</v>
      </c>
      <c r="I8" s="23" t="s">
        <v>10</v>
      </c>
      <c r="J8" s="17"/>
      <c r="K8" s="10"/>
      <c r="V8" s="10"/>
      <c r="W8" s="11"/>
    </row>
    <row r="9" spans="1:23" x14ac:dyDescent="0.25">
      <c r="A9" s="21"/>
      <c r="B9" s="19"/>
      <c r="C9" s="101">
        <v>1500</v>
      </c>
      <c r="D9" s="102">
        <v>1170</v>
      </c>
      <c r="E9" s="35">
        <v>0.78180000000000005</v>
      </c>
      <c r="F9" s="100" t="s">
        <v>10</v>
      </c>
      <c r="G9" s="35" t="s">
        <v>10</v>
      </c>
      <c r="H9" s="100" t="s">
        <v>10</v>
      </c>
      <c r="I9" s="23" t="s">
        <v>10</v>
      </c>
      <c r="J9" s="17"/>
      <c r="K9" s="10"/>
      <c r="V9" s="10"/>
      <c r="W9" s="11"/>
    </row>
    <row r="10" spans="1:23" x14ac:dyDescent="0.25">
      <c r="A10" s="18"/>
      <c r="B10" s="19"/>
      <c r="C10" s="101">
        <v>2250</v>
      </c>
      <c r="D10" s="102">
        <v>2040</v>
      </c>
      <c r="E10" s="35">
        <v>0.80310000000000004</v>
      </c>
      <c r="F10" s="100" t="s">
        <v>10</v>
      </c>
      <c r="G10" s="35" t="s">
        <v>10</v>
      </c>
      <c r="H10" s="100" t="s">
        <v>10</v>
      </c>
      <c r="I10" s="23" t="s">
        <v>10</v>
      </c>
      <c r="J10" s="17"/>
      <c r="K10" s="10"/>
      <c r="L10" s="8" t="s">
        <v>119</v>
      </c>
      <c r="V10" s="10"/>
      <c r="W10" s="11"/>
    </row>
    <row r="11" spans="1:23" x14ac:dyDescent="0.25">
      <c r="A11" s="18"/>
      <c r="B11" s="19"/>
      <c r="C11" s="58">
        <v>10000</v>
      </c>
      <c r="D11" s="103">
        <v>2643</v>
      </c>
      <c r="E11" s="33">
        <v>0.89639999999999997</v>
      </c>
      <c r="F11" s="104" t="s">
        <v>10</v>
      </c>
      <c r="G11" s="33" t="s">
        <v>10</v>
      </c>
      <c r="H11" s="104" t="s">
        <v>10</v>
      </c>
      <c r="I11" s="24" t="s">
        <v>10</v>
      </c>
      <c r="J11" s="17"/>
      <c r="K11" s="10"/>
      <c r="V11" s="10"/>
      <c r="W11" s="11"/>
    </row>
    <row r="12" spans="1:23" ht="18" x14ac:dyDescent="0.35">
      <c r="A12" s="18"/>
      <c r="B12" s="19"/>
      <c r="C12" s="16"/>
      <c r="D12" s="16"/>
      <c r="E12" s="16"/>
      <c r="F12" s="16"/>
      <c r="G12" s="16"/>
      <c r="H12" s="16"/>
      <c r="I12" s="16"/>
      <c r="J12" s="17"/>
      <c r="K12" s="10"/>
      <c r="M12" s="77" t="str">
        <f t="shared" ref="M12:N18" si="0">C5</f>
        <v>Deductible, d</v>
      </c>
      <c r="N12" s="78" t="str">
        <f t="shared" si="0"/>
        <v>E[X;d]</v>
      </c>
      <c r="O12" s="79" t="s">
        <v>95</v>
      </c>
      <c r="P12" s="78" t="str">
        <f>F5</f>
        <v>C(d)</v>
      </c>
      <c r="Q12" s="78" t="str">
        <f>G5</f>
        <v>Frequency</v>
      </c>
      <c r="R12" s="78" t="str">
        <f>H5</f>
        <v>Severity</v>
      </c>
      <c r="S12" s="80" t="str">
        <f>I5</f>
        <v>Pure Premium</v>
      </c>
      <c r="V12" s="10"/>
      <c r="W12" s="11"/>
    </row>
    <row r="13" spans="1:23" x14ac:dyDescent="0.25">
      <c r="A13" s="22"/>
      <c r="B13" s="16"/>
      <c r="C13" s="105">
        <v>2.9999999999999997E-4</v>
      </c>
      <c r="D13" s="52" t="s">
        <v>102</v>
      </c>
      <c r="E13" s="52"/>
      <c r="F13" s="53"/>
      <c r="G13" s="16"/>
      <c r="H13" s="16"/>
      <c r="I13" s="16"/>
      <c r="J13" s="17"/>
      <c r="K13" s="10"/>
      <c r="M13" s="81">
        <f t="shared" si="0"/>
        <v>0</v>
      </c>
      <c r="N13" s="82">
        <f t="shared" si="0"/>
        <v>0</v>
      </c>
      <c r="O13" s="83">
        <f t="shared" ref="O13:O18" si="1">E6</f>
        <v>0</v>
      </c>
      <c r="P13" s="84">
        <f>(N13-M13*(1-O13)+O13*$C$15)/($C$14+$C$15)</f>
        <v>0</v>
      </c>
      <c r="Q13" s="85">
        <f t="shared" ref="Q13:Q18" si="2">$C$13*(1-O13)</f>
        <v>2.9999999999999997E-4</v>
      </c>
      <c r="R13" s="86">
        <f>(($C$14-N13)/(1-O13)+M13+$C$15)*(1+$C$16)</f>
        <v>13814.77</v>
      </c>
      <c r="S13" s="87">
        <f>R13*Q13</f>
        <v>4.144431</v>
      </c>
      <c r="V13" s="10"/>
      <c r="W13" s="11"/>
    </row>
    <row r="14" spans="1:23" x14ac:dyDescent="0.25">
      <c r="A14" s="18"/>
      <c r="B14" s="19"/>
      <c r="C14" s="106">
        <v>12861</v>
      </c>
      <c r="D14" s="16" t="s">
        <v>103</v>
      </c>
      <c r="E14" s="16"/>
      <c r="F14" s="55"/>
      <c r="G14" s="16"/>
      <c r="H14" s="16"/>
      <c r="I14" s="16"/>
      <c r="J14" s="17"/>
      <c r="K14" s="10"/>
      <c r="M14" s="88">
        <f t="shared" si="0"/>
        <v>500</v>
      </c>
      <c r="N14" s="89">
        <f t="shared" si="0"/>
        <v>489</v>
      </c>
      <c r="O14" s="83">
        <f t="shared" si="1"/>
        <v>0.54020000000000001</v>
      </c>
      <c r="P14" s="84">
        <f t="shared" ref="P14:P18" si="3">(N14-M14*(1-O14)+O14*$C$15)/($C$14+$C$15)</f>
        <v>2.216017349546898E-2</v>
      </c>
      <c r="Q14" s="85">
        <f t="shared" si="2"/>
        <v>1.3794E-4</v>
      </c>
      <c r="R14" s="86">
        <f t="shared" ref="R14:R18" si="4">(($C$14-N14)/(1-O14)+M14+$C$15)*(1+$C$16)</f>
        <v>29379.365593736413</v>
      </c>
      <c r="S14" s="87">
        <f t="shared" ref="S14:S18" si="5">R14*Q14</f>
        <v>4.0525896900000005</v>
      </c>
      <c r="V14" s="10"/>
      <c r="W14" s="11"/>
    </row>
    <row r="15" spans="1:23" x14ac:dyDescent="0.25">
      <c r="A15" s="22"/>
      <c r="B15" s="16"/>
      <c r="C15" s="56">
        <v>50</v>
      </c>
      <c r="D15" s="16" t="s">
        <v>104</v>
      </c>
      <c r="E15" s="16"/>
      <c r="F15" s="55"/>
      <c r="G15" s="16"/>
      <c r="H15" s="16"/>
      <c r="I15" s="16"/>
      <c r="J15" s="17"/>
      <c r="K15" s="10"/>
      <c r="M15" s="88">
        <f t="shared" si="0"/>
        <v>1000</v>
      </c>
      <c r="N15" s="89">
        <f t="shared" si="0"/>
        <v>790</v>
      </c>
      <c r="O15" s="83">
        <f t="shared" si="1"/>
        <v>0.55920000000000003</v>
      </c>
      <c r="P15" s="84">
        <f t="shared" si="3"/>
        <v>2.921229958949733E-2</v>
      </c>
      <c r="Q15" s="85">
        <f t="shared" si="2"/>
        <v>1.3223999999999997E-4</v>
      </c>
      <c r="R15" s="86">
        <f t="shared" si="4"/>
        <v>30424.702359346647</v>
      </c>
      <c r="S15" s="87">
        <f t="shared" si="5"/>
        <v>4.0233626399999993</v>
      </c>
      <c r="V15" s="10"/>
      <c r="W15" s="11"/>
    </row>
    <row r="16" spans="1:23" x14ac:dyDescent="0.25">
      <c r="A16" s="22"/>
      <c r="B16" s="16"/>
      <c r="C16" s="107">
        <v>7.0000000000000007E-2</v>
      </c>
      <c r="D16" s="34" t="s">
        <v>105</v>
      </c>
      <c r="E16" s="34"/>
      <c r="F16" s="59"/>
      <c r="G16" s="16"/>
      <c r="H16" s="16"/>
      <c r="I16" s="16"/>
      <c r="J16" s="17"/>
      <c r="K16" s="10"/>
      <c r="M16" s="88">
        <f t="shared" si="0"/>
        <v>1500</v>
      </c>
      <c r="N16" s="89">
        <f t="shared" si="0"/>
        <v>1170</v>
      </c>
      <c r="O16" s="83">
        <f t="shared" si="1"/>
        <v>0.78180000000000005</v>
      </c>
      <c r="P16" s="84">
        <f t="shared" si="3"/>
        <v>6.8297575710634342E-2</v>
      </c>
      <c r="Q16" s="85">
        <f t="shared" si="2"/>
        <v>6.5459999999999973E-5</v>
      </c>
      <c r="R16" s="86">
        <f t="shared" si="4"/>
        <v>58988.335013748874</v>
      </c>
      <c r="S16" s="87">
        <f t="shared" si="5"/>
        <v>3.8613764099999996</v>
      </c>
      <c r="V16" s="10"/>
      <c r="W16" s="11"/>
    </row>
    <row r="17" spans="1:23" x14ac:dyDescent="0.25">
      <c r="A17" s="22"/>
      <c r="B17" s="16"/>
      <c r="C17" s="16"/>
      <c r="D17" s="16"/>
      <c r="E17" s="16"/>
      <c r="F17" s="16"/>
      <c r="G17" s="16"/>
      <c r="H17" s="16"/>
      <c r="I17" s="16"/>
      <c r="J17" s="17"/>
      <c r="K17" s="10"/>
      <c r="M17" s="88">
        <f t="shared" si="0"/>
        <v>2250</v>
      </c>
      <c r="N17" s="89">
        <f t="shared" si="0"/>
        <v>2040</v>
      </c>
      <c r="O17" s="83">
        <f t="shared" si="1"/>
        <v>0.80310000000000004</v>
      </c>
      <c r="P17" s="84">
        <f t="shared" si="3"/>
        <v>0.12680117729068238</v>
      </c>
      <c r="Q17" s="85">
        <f t="shared" si="2"/>
        <v>5.9069999999999982E-5</v>
      </c>
      <c r="R17" s="86">
        <f t="shared" si="4"/>
        <v>61264.809040121901</v>
      </c>
      <c r="S17" s="87">
        <f t="shared" si="5"/>
        <v>3.6189122699999996</v>
      </c>
      <c r="V17" s="10"/>
      <c r="W17" s="11"/>
    </row>
    <row r="18" spans="1:23" ht="15.75" thickBot="1" x14ac:dyDescent="0.3">
      <c r="A18" s="108" t="s">
        <v>7</v>
      </c>
      <c r="B18" s="75"/>
      <c r="C18" s="26" t="s">
        <v>120</v>
      </c>
      <c r="D18" s="26"/>
      <c r="E18" s="26"/>
      <c r="F18" s="26"/>
      <c r="G18" s="26"/>
      <c r="H18" s="26"/>
      <c r="I18" s="26"/>
      <c r="J18" s="27"/>
      <c r="K18" s="10"/>
      <c r="M18" s="90">
        <f t="shared" si="0"/>
        <v>10000</v>
      </c>
      <c r="N18" s="91">
        <f t="shared" si="0"/>
        <v>2643</v>
      </c>
      <c r="O18" s="92">
        <f t="shared" si="1"/>
        <v>0.89639999999999997</v>
      </c>
      <c r="P18" s="93">
        <f t="shared" si="3"/>
        <v>0.12793896677251954</v>
      </c>
      <c r="Q18" s="94">
        <f t="shared" si="2"/>
        <v>3.1080000000000007E-5</v>
      </c>
      <c r="R18" s="95">
        <f t="shared" si="4"/>
        <v>116286.89768339766</v>
      </c>
      <c r="S18" s="96">
        <f t="shared" si="5"/>
        <v>3.6141967800000003</v>
      </c>
      <c r="V18" s="10"/>
      <c r="W18" s="11"/>
    </row>
    <row r="19" spans="1:23" ht="15" customHeight="1" x14ac:dyDescent="0.25">
      <c r="K19" s="10"/>
      <c r="V19" s="10"/>
      <c r="W19" s="11"/>
    </row>
    <row r="20" spans="1:23" x14ac:dyDescent="0.25">
      <c r="K20" s="10"/>
      <c r="V20" s="10"/>
      <c r="W20" s="11"/>
    </row>
    <row r="21" spans="1:23" x14ac:dyDescent="0.25">
      <c r="K21" s="10"/>
      <c r="V21" s="10"/>
      <c r="W21" s="11"/>
    </row>
    <row r="22" spans="1:23" x14ac:dyDescent="0.25">
      <c r="K22" s="10"/>
      <c r="S22" s="11"/>
      <c r="T22" s="11"/>
      <c r="U22" s="11"/>
      <c r="V22" s="10"/>
      <c r="W22" s="11"/>
    </row>
    <row r="23" spans="1:23" ht="15" customHeight="1" x14ac:dyDescent="0.25">
      <c r="K23" s="10"/>
      <c r="S23" s="11"/>
      <c r="T23" s="11"/>
      <c r="U23" s="11"/>
      <c r="V23" s="10"/>
      <c r="W23" s="11"/>
    </row>
    <row r="24" spans="1:23" ht="15" customHeight="1" x14ac:dyDescent="0.25">
      <c r="K24" s="10"/>
      <c r="S24" s="11"/>
      <c r="T24" s="11"/>
      <c r="U24" s="11"/>
      <c r="V24" s="10"/>
      <c r="W24" s="11"/>
    </row>
    <row r="25" spans="1:23" ht="15" customHeight="1" x14ac:dyDescent="0.25">
      <c r="K25" s="10"/>
      <c r="S25" s="11"/>
      <c r="T25" s="11"/>
      <c r="U25" s="11"/>
      <c r="V25" s="10"/>
      <c r="W25" s="11"/>
    </row>
    <row r="26" spans="1:23" ht="15" customHeight="1" x14ac:dyDescent="0.25">
      <c r="K26" s="10"/>
      <c r="S26" s="11"/>
      <c r="T26" s="11"/>
      <c r="U26" s="11"/>
      <c r="V26" s="10"/>
      <c r="W26" s="11"/>
    </row>
    <row r="27" spans="1:23" ht="15" customHeight="1" x14ac:dyDescent="0.25">
      <c r="K27" s="10"/>
      <c r="S27" s="11"/>
      <c r="T27" s="11"/>
      <c r="U27" s="11"/>
      <c r="V27" s="10"/>
      <c r="W27" s="11"/>
    </row>
    <row r="28" spans="1:23" ht="15" customHeight="1" x14ac:dyDescent="0.25">
      <c r="K28" s="10"/>
      <c r="S28" s="11"/>
      <c r="T28" s="11"/>
      <c r="U28" s="11"/>
      <c r="V28" s="10"/>
      <c r="W28" s="11"/>
    </row>
    <row r="29" spans="1:23" x14ac:dyDescent="0.25">
      <c r="K29" s="10"/>
      <c r="S29" s="11"/>
      <c r="T29" s="11"/>
      <c r="U29" s="11"/>
      <c r="V29" s="10"/>
      <c r="W29" s="11"/>
    </row>
    <row r="30" spans="1:23" x14ac:dyDescent="0.25">
      <c r="K30" s="10"/>
      <c r="S30" s="11"/>
      <c r="T30" s="11"/>
      <c r="U30" s="11"/>
      <c r="V30" s="10"/>
      <c r="W30" s="11"/>
    </row>
    <row r="31" spans="1:23" x14ac:dyDescent="0.25">
      <c r="K31" s="10"/>
      <c r="S31" s="11"/>
      <c r="T31" s="11"/>
      <c r="U31" s="11"/>
      <c r="V31" s="10"/>
      <c r="W31" s="11"/>
    </row>
    <row r="32" spans="1:23" x14ac:dyDescent="0.25">
      <c r="K32" s="10"/>
      <c r="S32" s="11"/>
      <c r="T32" s="11"/>
      <c r="U32" s="11"/>
      <c r="V32" s="10"/>
      <c r="W32" s="11"/>
    </row>
    <row r="33" spans="1:23" x14ac:dyDescent="0.25">
      <c r="K33" s="10"/>
      <c r="S33" s="11"/>
      <c r="T33" s="11"/>
      <c r="U33" s="11"/>
      <c r="V33" s="10"/>
      <c r="W33" s="11"/>
    </row>
    <row r="34" spans="1:23" x14ac:dyDescent="0.25">
      <c r="K34" s="10"/>
      <c r="S34" s="11"/>
      <c r="T34" s="11"/>
      <c r="U34" s="11"/>
      <c r="V34" s="10"/>
      <c r="W34" s="11"/>
    </row>
    <row r="35" spans="1:23" x14ac:dyDescent="0.25">
      <c r="K35" s="10"/>
      <c r="S35" s="11"/>
      <c r="T35" s="11"/>
      <c r="U35" s="11"/>
      <c r="V35" s="10"/>
      <c r="W35" s="11"/>
    </row>
    <row r="36" spans="1:23" x14ac:dyDescent="0.25">
      <c r="K36" s="10"/>
      <c r="S36" s="11"/>
      <c r="T36" s="11"/>
      <c r="U36" s="11"/>
      <c r="V36" s="10"/>
      <c r="W36" s="11"/>
    </row>
    <row r="37" spans="1:23" x14ac:dyDescent="0.25">
      <c r="K37" s="10"/>
      <c r="S37" s="11"/>
      <c r="T37" s="11"/>
      <c r="U37" s="11"/>
      <c r="V37" s="10"/>
      <c r="W37" s="11"/>
    </row>
    <row r="38" spans="1:23" x14ac:dyDescent="0.25">
      <c r="K38" s="10"/>
      <c r="S38" s="11"/>
      <c r="T38" s="11"/>
      <c r="U38" s="11"/>
      <c r="V38" s="10"/>
      <c r="W38" s="11"/>
    </row>
    <row r="39" spans="1:23" x14ac:dyDescent="0.25">
      <c r="A39" s="11"/>
      <c r="B39" s="11"/>
      <c r="K39" s="10"/>
      <c r="S39" s="11"/>
      <c r="T39" s="11"/>
      <c r="U39" s="11"/>
      <c r="V39" s="10"/>
      <c r="W39" s="11"/>
    </row>
    <row r="40" spans="1:23" x14ac:dyDescent="0.25">
      <c r="K40" s="10"/>
      <c r="S40" s="11"/>
      <c r="T40" s="11"/>
      <c r="U40" s="11"/>
      <c r="V40" s="10"/>
      <c r="W40" s="11"/>
    </row>
    <row r="41" spans="1:23" x14ac:dyDescent="0.25">
      <c r="K41" s="10"/>
      <c r="S41" s="11"/>
      <c r="T41" s="11"/>
      <c r="U41" s="11"/>
      <c r="V41" s="10"/>
      <c r="W41" s="11"/>
    </row>
    <row r="42" spans="1:23" x14ac:dyDescent="0.25">
      <c r="K42" s="10"/>
      <c r="S42" s="11"/>
      <c r="T42" s="11"/>
      <c r="U42" s="11"/>
      <c r="V42" s="10"/>
      <c r="W42" s="11"/>
    </row>
    <row r="43" spans="1:23" x14ac:dyDescent="0.25">
      <c r="K43" s="10"/>
      <c r="S43" s="11"/>
      <c r="T43" s="11"/>
      <c r="U43" s="11"/>
      <c r="V43" s="10"/>
      <c r="W43" s="11"/>
    </row>
    <row r="44" spans="1:23" x14ac:dyDescent="0.25">
      <c r="K44" s="10"/>
      <c r="S44" s="11"/>
      <c r="T44" s="11"/>
      <c r="U44" s="11"/>
      <c r="V44" s="10"/>
      <c r="W44" s="11"/>
    </row>
    <row r="45" spans="1:23" x14ac:dyDescent="0.25">
      <c r="K45" s="10"/>
      <c r="S45" s="11"/>
      <c r="T45" s="11"/>
      <c r="U45" s="11"/>
      <c r="V45" s="10"/>
      <c r="W45" s="11"/>
    </row>
    <row r="46" spans="1:23" x14ac:dyDescent="0.25">
      <c r="K46" s="10"/>
      <c r="S46" s="11"/>
      <c r="T46" s="11"/>
      <c r="U46" s="11"/>
      <c r="V46" s="10"/>
      <c r="W46" s="11"/>
    </row>
    <row r="47" spans="1:23" x14ac:dyDescent="0.25">
      <c r="K47" s="10"/>
      <c r="S47" s="11"/>
      <c r="T47" s="11"/>
      <c r="U47" s="11"/>
      <c r="V47" s="10"/>
      <c r="W47" s="11"/>
    </row>
    <row r="48" spans="1:23" x14ac:dyDescent="0.25">
      <c r="K48" s="10"/>
      <c r="S48" s="11"/>
      <c r="T48" s="11"/>
      <c r="U48" s="11"/>
      <c r="V48" s="10"/>
      <c r="W48" s="11"/>
    </row>
    <row r="49" spans="11:23" x14ac:dyDescent="0.25">
      <c r="K49" s="10"/>
      <c r="S49" s="11"/>
      <c r="T49" s="11"/>
      <c r="U49" s="11"/>
      <c r="V49" s="10"/>
      <c r="W49" s="11"/>
    </row>
  </sheetData>
  <sheetProtection algorithmName="SHA-512" hashValue="B17FxjbGhbZmclRUW+rxLFJpMf0tqgpA1dQWXfleU6pUJETjIVnE+lOJvIbVYPc6rhvnwbJtCN0a8Uhcacmu9Q==" saltValue="11Z1LKYwUO4QAy1gotd3vQ==" spinCount="100000" sheet="1" objects="1" scenarios="1" formatCells="0" formatColumns="0" formatRows="0"/>
  <hyperlinks>
    <hyperlink ref="J1" location="TOC!A1" display="Return to TOC" xr:uid="{0D7FA22E-5BA5-43E2-ADFA-0D06650F8C96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W-Bahnemann-Ch61</vt:lpstr>
      <vt:lpstr>W-Bahnemann-Ch62</vt:lpstr>
      <vt:lpstr>W-Bahnemann-Ch63</vt:lpstr>
      <vt:lpstr>W-Bahnemann-Ch64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2023-08-26T10:24:19Z</dcterms:modified>
</cp:coreProperties>
</file>