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Jonathan\Documents\BattleActs\Exam 8\Excel Files\"/>
    </mc:Choice>
  </mc:AlternateContent>
  <xr:revisionPtr revIDLastSave="0" documentId="13_ncr:1_{E752A2EE-68FF-40F2-B447-CFC68485EFA9}" xr6:coauthVersionLast="47" xr6:coauthVersionMax="47" xr10:uidLastSave="{00000000-0000-0000-0000-000000000000}"/>
  <bookViews>
    <workbookView xWindow="28680" yWindow="-120" windowWidth="19440" windowHeight="15000" xr2:uid="{43A4E4BA-D1D1-43EE-86A3-A1B772ABC5AA}"/>
  </bookViews>
  <sheets>
    <sheet name="TOC" sheetId="2" r:id="rId1"/>
    <sheet name="Bahnemann1" sheetId="3" r:id="rId2"/>
    <sheet name="Bahnemann2" sheetId="8" r:id="rId3"/>
    <sheet name="Bahnemann3" sheetId="9" r:id="rId4"/>
    <sheet name="Bahnemann4" sheetId="10" r:id="rId5"/>
    <sheet name="Bahnemann5" sheetId="11" r:id="rId6"/>
    <sheet name="Bahnemann6" sheetId="12" r:id="rId7"/>
    <sheet name="Bahnemann7" sheetId="15" r:id="rId8"/>
    <sheet name="Bahnemann8" sheetId="16" r:id="rId9"/>
    <sheet name="Bahnemann9" sheetId="14" r:id="rId10"/>
    <sheet name="Bahnemann10" sheetId="17" r:id="rId11"/>
    <sheet name="Bahnemann11" sheetId="18" r:id="rId12"/>
    <sheet name="Bahnemann12" sheetId="19" r:id="rId13"/>
    <sheet name="Bahnemann13" sheetId="20" r:id="rId14"/>
    <sheet name="Bahnemann14" sheetId="21" r:id="rId15"/>
    <sheet name="Bahnemann15" sheetId="22" r:id="rId16"/>
    <sheet name="Bahnemann16" sheetId="13" r:id="rId17"/>
    <sheet name="Bahnemann17" sheetId="23" r:id="rId18"/>
    <sheet name="Bahnemann18" sheetId="24" r:id="rId19"/>
    <sheet name="Bahnemann19" sheetId="25" r:id="rId20"/>
    <sheet name="Bahnemann20" sheetId="26" r:id="rId21"/>
    <sheet name="Bahnemann21" sheetId="27" r:id="rId22"/>
    <sheet name="Bahnemann22" sheetId="28" r:id="rId23"/>
    <sheet name="Bahnemann23" sheetId="29" r:id="rId24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7" i="29" l="1"/>
  <c r="J6" i="29"/>
  <c r="H2" i="29"/>
  <c r="I18" i="28"/>
  <c r="I14" i="28"/>
  <c r="J12" i="28"/>
  <c r="I2" i="28"/>
  <c r="I3" i="28" s="1"/>
  <c r="S44" i="27"/>
  <c r="S47" i="27"/>
  <c r="R47" i="27"/>
  <c r="N49" i="27"/>
  <c r="N42" i="27"/>
  <c r="N46" i="27"/>
  <c r="H9" i="29" l="1"/>
  <c r="H11" i="29" s="1"/>
  <c r="N32" i="27"/>
  <c r="N26" i="27"/>
  <c r="N25" i="27"/>
  <c r="N31" i="27" s="1"/>
  <c r="N33" i="27" s="1"/>
  <c r="L22" i="27"/>
  <c r="M26" i="27" s="1"/>
  <c r="L26" i="27"/>
  <c r="L25" i="27"/>
  <c r="N15" i="27"/>
  <c r="N14" i="27"/>
  <c r="K18" i="27" s="1"/>
  <c r="N35" i="27" s="1"/>
  <c r="M11" i="27"/>
  <c r="L15" i="27"/>
  <c r="L14" i="27"/>
  <c r="L9" i="27"/>
  <c r="K15" i="27" s="1"/>
  <c r="M15" i="27" s="1"/>
  <c r="L7" i="27"/>
  <c r="K14" i="27" s="1"/>
  <c r="M14" i="27" s="1"/>
  <c r="M25" i="27" l="1"/>
  <c r="J16" i="26" l="1"/>
  <c r="I20" i="26"/>
  <c r="I18" i="26"/>
  <c r="M14" i="26"/>
  <c r="M13" i="26"/>
  <c r="L14" i="26"/>
  <c r="L13" i="26"/>
  <c r="K14" i="26"/>
  <c r="J10" i="26"/>
  <c r="K8" i="26"/>
  <c r="K7" i="26"/>
  <c r="J8" i="26"/>
  <c r="J7" i="26"/>
  <c r="I15" i="25"/>
  <c r="I12" i="25"/>
  <c r="I13" i="25" s="1"/>
  <c r="J10" i="25"/>
  <c r="J9" i="25"/>
  <c r="J8" i="25"/>
  <c r="J4" i="25"/>
  <c r="J5" i="25"/>
  <c r="J6" i="25"/>
  <c r="J3" i="25"/>
  <c r="I4" i="25"/>
  <c r="I5" i="25"/>
  <c r="I6" i="25"/>
  <c r="I3" i="25"/>
  <c r="I13" i="24"/>
  <c r="J13" i="24" s="1"/>
  <c r="I12" i="24"/>
  <c r="I11" i="24"/>
  <c r="J12" i="24"/>
  <c r="K12" i="24"/>
  <c r="J11" i="24"/>
  <c r="K11" i="24"/>
  <c r="I22" i="26" l="1"/>
  <c r="K13" i="24"/>
  <c r="J15" i="24"/>
  <c r="K16" i="24"/>
  <c r="J16" i="24"/>
  <c r="J17" i="24" s="1"/>
  <c r="J18" i="24" s="1"/>
  <c r="K15" i="24"/>
  <c r="K17" i="24" s="1"/>
  <c r="K18" i="24" s="1"/>
  <c r="J20" i="24" l="1"/>
  <c r="J7" i="23" l="1"/>
  <c r="J5" i="23"/>
  <c r="J4" i="23"/>
  <c r="J3" i="23"/>
  <c r="L12" i="22" l="1"/>
  <c r="L15" i="22" s="1"/>
  <c r="L11" i="22"/>
  <c r="L14" i="22" s="1"/>
  <c r="L5" i="22"/>
  <c r="L4" i="22"/>
  <c r="N16" i="22" l="1"/>
  <c r="P8" i="21" l="1"/>
  <c r="P7" i="21"/>
  <c r="P6" i="21"/>
  <c r="M8" i="21"/>
  <c r="M7" i="21"/>
  <c r="M6" i="21"/>
  <c r="J8" i="21"/>
  <c r="J7" i="21"/>
  <c r="J6" i="21"/>
  <c r="K5" i="20" l="1"/>
  <c r="K6" i="20"/>
  <c r="K4" i="20"/>
  <c r="J6" i="20"/>
  <c r="J5" i="20"/>
  <c r="J4" i="20"/>
  <c r="J3" i="20"/>
  <c r="M10" i="19"/>
  <c r="K10" i="19"/>
  <c r="M8" i="19"/>
  <c r="K8" i="19"/>
  <c r="M4" i="19"/>
  <c r="K4" i="19"/>
  <c r="K16" i="18"/>
  <c r="J13" i="18"/>
  <c r="J14" i="18" s="1"/>
  <c r="J12" i="18"/>
  <c r="J11" i="18"/>
  <c r="J7" i="18"/>
  <c r="J6" i="18"/>
  <c r="P9" i="18"/>
  <c r="P8" i="18"/>
  <c r="P7" i="18"/>
  <c r="O9" i="18"/>
  <c r="O8" i="18"/>
  <c r="O7" i="18"/>
  <c r="N9" i="18"/>
  <c r="N8" i="18"/>
  <c r="N7" i="18"/>
  <c r="M9" i="18"/>
  <c r="M8" i="18"/>
  <c r="M7" i="18"/>
  <c r="J27" i="17"/>
  <c r="J25" i="17"/>
  <c r="J23" i="17"/>
  <c r="J22" i="17"/>
  <c r="L17" i="17"/>
  <c r="L18" i="17"/>
  <c r="L19" i="17"/>
  <c r="L20" i="17"/>
  <c r="L16" i="17"/>
  <c r="K17" i="17"/>
  <c r="K18" i="17"/>
  <c r="K19" i="17"/>
  <c r="K20" i="17"/>
  <c r="K16" i="17"/>
  <c r="J13" i="17"/>
  <c r="J11" i="17"/>
  <c r="K6" i="17"/>
  <c r="K7" i="17"/>
  <c r="K8" i="17"/>
  <c r="K9" i="17"/>
  <c r="K5" i="17"/>
  <c r="J2" i="17"/>
  <c r="J8" i="18" l="1"/>
  <c r="J9" i="18" s="1"/>
  <c r="I27" i="16" l="1"/>
  <c r="I28" i="16"/>
  <c r="I30" i="16" s="1"/>
  <c r="J21" i="16"/>
  <c r="K19" i="16" l="1"/>
  <c r="K21" i="16"/>
  <c r="I11" i="16"/>
  <c r="I16" i="16" s="1"/>
  <c r="J9" i="16"/>
  <c r="J8" i="16"/>
  <c r="I6" i="16"/>
  <c r="I20" i="15"/>
  <c r="K18" i="15"/>
  <c r="K17" i="15"/>
  <c r="K16" i="15"/>
  <c r="K15" i="15"/>
  <c r="K14" i="15"/>
  <c r="K13" i="15"/>
  <c r="J14" i="15"/>
  <c r="J15" i="15"/>
  <c r="J16" i="15"/>
  <c r="J17" i="15"/>
  <c r="J13" i="15"/>
  <c r="J9" i="15"/>
  <c r="J5" i="15"/>
  <c r="J6" i="15"/>
  <c r="J7" i="15"/>
  <c r="J8" i="15"/>
  <c r="J4" i="15"/>
  <c r="K33" i="14" l="1"/>
  <c r="L37" i="14" s="1"/>
  <c r="K32" i="14"/>
  <c r="N27" i="14"/>
  <c r="M18" i="14"/>
  <c r="K18" i="14"/>
  <c r="L82" i="13" l="1"/>
  <c r="K77" i="13"/>
  <c r="L74" i="13"/>
  <c r="R89" i="13"/>
  <c r="Q89" i="13"/>
  <c r="R75" i="13"/>
  <c r="R76" i="13"/>
  <c r="R77" i="13"/>
  <c r="R74" i="13"/>
  <c r="R80" i="13" s="1"/>
  <c r="R84" i="13"/>
  <c r="R85" i="13"/>
  <c r="R86" i="13"/>
  <c r="R83" i="13"/>
  <c r="Q84" i="13"/>
  <c r="Q85" i="13"/>
  <c r="Q86" i="13"/>
  <c r="Q83" i="13"/>
  <c r="Q75" i="13"/>
  <c r="Q76" i="13"/>
  <c r="Q77" i="13"/>
  <c r="Q74" i="13"/>
  <c r="Q80" i="13"/>
  <c r="J50" i="13"/>
  <c r="J49" i="13"/>
  <c r="J47" i="13"/>
  <c r="J48" i="13"/>
  <c r="K53" i="13"/>
  <c r="K50" i="13"/>
  <c r="K49" i="13"/>
  <c r="K48" i="13"/>
  <c r="K47" i="13"/>
  <c r="L37" i="13"/>
  <c r="L34" i="13"/>
  <c r="L33" i="13"/>
  <c r="L32" i="13"/>
  <c r="L31" i="13"/>
  <c r="K21" i="13"/>
  <c r="K16" i="13"/>
  <c r="K17" i="13"/>
  <c r="K18" i="13"/>
  <c r="K15" i="13"/>
  <c r="J16" i="13"/>
  <c r="J17" i="13"/>
  <c r="J18" i="13"/>
  <c r="J15" i="13"/>
  <c r="J7" i="13"/>
  <c r="K3" i="13"/>
  <c r="K2" i="13"/>
  <c r="K52" i="13"/>
  <c r="N34" i="13"/>
  <c r="N33" i="13"/>
  <c r="N32" i="13"/>
  <c r="N31" i="13"/>
  <c r="K36" i="13"/>
  <c r="K38" i="13" s="1"/>
  <c r="L41" i="13" s="1"/>
  <c r="K20" i="13"/>
  <c r="L4" i="13"/>
  <c r="L18" i="12"/>
  <c r="L9" i="12"/>
  <c r="K8" i="12"/>
  <c r="K20" i="12" s="1"/>
  <c r="N4" i="12"/>
  <c r="K11" i="12" s="1"/>
  <c r="M22" i="12" s="1"/>
  <c r="M24" i="12" s="1"/>
  <c r="O2" i="12"/>
  <c r="K54" i="13" l="1"/>
  <c r="L56" i="13" s="1"/>
  <c r="J63" i="13"/>
  <c r="K22" i="13"/>
  <c r="M11" i="13"/>
  <c r="R67" i="13" l="1"/>
  <c r="R69" i="13" s="1"/>
  <c r="M25" i="13"/>
  <c r="Q16" i="11" l="1"/>
  <c r="M20" i="11" s="1"/>
  <c r="P12" i="11"/>
  <c r="O8" i="11"/>
  <c r="O2" i="11"/>
  <c r="K23" i="10"/>
  <c r="K22" i="10"/>
  <c r="K25" i="10"/>
  <c r="I27" i="10" s="1"/>
  <c r="P6" i="10"/>
  <c r="P7" i="10"/>
  <c r="P8" i="10"/>
  <c r="P5" i="10"/>
  <c r="J11" i="10"/>
  <c r="O9" i="10"/>
  <c r="O6" i="10"/>
  <c r="O7" i="10"/>
  <c r="O8" i="10"/>
  <c r="O5" i="10"/>
  <c r="N9" i="10"/>
  <c r="M9" i="10"/>
  <c r="L9" i="10"/>
  <c r="K9" i="10"/>
  <c r="J6" i="10"/>
  <c r="J7" i="10"/>
  <c r="J8" i="10"/>
  <c r="J5" i="10"/>
  <c r="L6" i="10"/>
  <c r="M6" i="10" s="1"/>
  <c r="L7" i="10"/>
  <c r="M7" i="10" s="1"/>
  <c r="L8" i="10"/>
  <c r="M8" i="10" s="1"/>
  <c r="L5" i="10"/>
  <c r="M5" i="10" s="1"/>
  <c r="K6" i="10"/>
  <c r="K7" i="10"/>
  <c r="K8" i="10"/>
  <c r="K5" i="10"/>
  <c r="N10" i="11" l="1"/>
  <c r="J23" i="11" s="1"/>
  <c r="F15" i="10" l="1"/>
  <c r="E15" i="10"/>
  <c r="B14" i="10"/>
  <c r="B13" i="10"/>
  <c r="B12" i="10"/>
  <c r="Q50" i="9"/>
  <c r="Q49" i="9"/>
  <c r="Q48" i="9"/>
  <c r="Q47" i="9"/>
  <c r="P49" i="9"/>
  <c r="R49" i="9" s="1"/>
  <c r="P48" i="9"/>
  <c r="P50" i="9" s="1"/>
  <c r="P47" i="9"/>
  <c r="R47" i="9"/>
  <c r="L50" i="9"/>
  <c r="L49" i="9"/>
  <c r="M49" i="9" s="1"/>
  <c r="L48" i="9"/>
  <c r="L47" i="9"/>
  <c r="M47" i="9" s="1"/>
  <c r="K49" i="9"/>
  <c r="K48" i="9"/>
  <c r="K47" i="9"/>
  <c r="K50" i="9"/>
  <c r="Q33" i="9"/>
  <c r="R33" i="9" s="1"/>
  <c r="Q32" i="9"/>
  <c r="Q31" i="9"/>
  <c r="Q30" i="9"/>
  <c r="R30" i="9" s="1"/>
  <c r="P33" i="9"/>
  <c r="P31" i="9"/>
  <c r="R31" i="9" s="1"/>
  <c r="P30" i="9"/>
  <c r="Q25" i="9"/>
  <c r="Q24" i="9"/>
  <c r="R24" i="9" s="1"/>
  <c r="Q23" i="9"/>
  <c r="R23" i="9" s="1"/>
  <c r="Q22" i="9"/>
  <c r="R22" i="9" s="1"/>
  <c r="L31" i="9"/>
  <c r="L30" i="9"/>
  <c r="L29" i="9"/>
  <c r="L24" i="9"/>
  <c r="L23" i="9"/>
  <c r="L22" i="9"/>
  <c r="P24" i="9"/>
  <c r="P25" i="9" s="1"/>
  <c r="P23" i="9"/>
  <c r="P22" i="9"/>
  <c r="Q17" i="9"/>
  <c r="Q16" i="9"/>
  <c r="N8" i="10" l="1"/>
  <c r="N6" i="10"/>
  <c r="N5" i="10"/>
  <c r="N7" i="10"/>
  <c r="R48" i="9"/>
  <c r="R50" i="9"/>
  <c r="Q44" i="9" s="1"/>
  <c r="M48" i="9"/>
  <c r="L44" i="9" s="1"/>
  <c r="L53" i="9" s="1"/>
  <c r="M55" i="9" s="1"/>
  <c r="M50" i="9"/>
  <c r="R25" i="9"/>
  <c r="Q19" i="9" s="1"/>
  <c r="P32" i="9"/>
  <c r="R32" i="9" s="1"/>
  <c r="Q27" i="9" s="1"/>
  <c r="K17" i="9" l="1"/>
  <c r="M31" i="9"/>
  <c r="M30" i="9"/>
  <c r="M29" i="9"/>
  <c r="M22" i="9"/>
  <c r="M23" i="9"/>
  <c r="M24" i="9"/>
  <c r="J7" i="9"/>
  <c r="L6" i="9"/>
  <c r="L7" i="9"/>
  <c r="L8" i="9"/>
  <c r="L5" i="9"/>
  <c r="N36" i="8"/>
  <c r="N37" i="8" s="1"/>
  <c r="N35" i="8"/>
  <c r="N34" i="8"/>
  <c r="K36" i="8"/>
  <c r="K37" i="8" s="1"/>
  <c r="K35" i="8"/>
  <c r="K34" i="8"/>
  <c r="J26" i="8"/>
  <c r="J24" i="8"/>
  <c r="K20" i="8"/>
  <c r="J17" i="8"/>
  <c r="K14" i="8"/>
  <c r="J8" i="8"/>
  <c r="J4" i="8"/>
  <c r="L19" i="3"/>
  <c r="K17" i="3"/>
  <c r="K16" i="3"/>
  <c r="K14" i="3"/>
  <c r="K13" i="3"/>
  <c r="K7" i="3"/>
  <c r="L26" i="9" l="1"/>
  <c r="L35" i="9" s="1"/>
  <c r="M37" i="9" s="1"/>
  <c r="L19" i="9"/>
</calcChain>
</file>

<file path=xl/sharedStrings.xml><?xml version="1.0" encoding="utf-8"?>
<sst xmlns="http://schemas.openxmlformats.org/spreadsheetml/2006/main" count="1139" uniqueCount="772">
  <si>
    <t>Problem Set 1 – Solutions</t>
  </si>
  <si>
    <t>Question</t>
  </si>
  <si>
    <t>Sheet</t>
  </si>
  <si>
    <t>Type</t>
  </si>
  <si>
    <t>Reading:</t>
  </si>
  <si>
    <t>Return to TOC</t>
  </si>
  <si>
    <t>Solution</t>
  </si>
  <si>
    <t>Model:</t>
  </si>
  <si>
    <t>Problem Type:</t>
  </si>
  <si>
    <t>Given</t>
  </si>
  <si>
    <t>Find</t>
  </si>
  <si>
    <t>b.)</t>
  </si>
  <si>
    <t>c.)</t>
  </si>
  <si>
    <t>Probability</t>
  </si>
  <si>
    <t>a.)</t>
  </si>
  <si>
    <t>Exam 8: Bahnemann</t>
  </si>
  <si>
    <t>Bahnemann1</t>
  </si>
  <si>
    <t>Bahnemann.Chapter5</t>
  </si>
  <si>
    <t>2012 Exam 8 Q15</t>
  </si>
  <si>
    <t>An actuarial consulting firm is reviewing the inflation assumption used by a large</t>
  </si>
  <si>
    <t>insurer that writes casualty excess of loss coverage. The consulting form has made</t>
  </si>
  <si>
    <t>the following assumptions regarding the insurer's excess casualty book:</t>
  </si>
  <si>
    <t>• Overall inflation is 8.0% and is assumed to have the same multiplicative effect</t>
  </si>
  <si>
    <t>on each size of loss.</t>
  </si>
  <si>
    <t xml:space="preserve">• The unlimited, ground-up loss severity for the book of business follows a </t>
  </si>
  <si>
    <t>lognormal distribution with the expected loss equal to $5,890,000.</t>
  </si>
  <si>
    <t>• The following limited average severities, based on a lognormal distribution, apply</t>
  </si>
  <si>
    <t>to the insurer's excess casualty book:</t>
  </si>
  <si>
    <t>Per-Occurrence</t>
  </si>
  <si>
    <t>Limit, k</t>
  </si>
  <si>
    <t>E[g(x;k)]</t>
  </si>
  <si>
    <t>E[g(x; k/1.08)]</t>
  </si>
  <si>
    <t>a.) Using the consulting firm's assumptions, calculate the average increase in excess</t>
  </si>
  <si>
    <t>losses due to inflation for a policy with a $10,000,000 limit attaching at $30,000,000.</t>
  </si>
  <si>
    <t>b.) The insurer agrees with the consulting firm's overall trend assumption and general</t>
  </si>
  <si>
    <t>methodology, but believes that the average increase calculated in part a.) above is too</t>
  </si>
  <si>
    <t>high. Describe any differences in assumptions the insurer may have with the consulting</t>
  </si>
  <si>
    <t>firm.</t>
  </si>
  <si>
    <t>The combined effect of inflation on claim counts and claim severity is given by</t>
  </si>
  <si>
    <r>
      <t xml:space="preserve">Here </t>
    </r>
    <r>
      <rPr>
        <sz val="11"/>
        <color theme="1"/>
        <rFont val="Calibri"/>
        <family val="2"/>
      </rPr>
      <t>τ</t>
    </r>
    <r>
      <rPr>
        <vertAlign val="subscript"/>
        <sz val="11"/>
        <color theme="1"/>
        <rFont val="Calibri"/>
        <family val="2"/>
      </rPr>
      <t>X</t>
    </r>
    <r>
      <rPr>
        <sz val="11"/>
        <color theme="1"/>
        <rFont val="Calibri"/>
        <family val="2"/>
      </rPr>
      <t xml:space="preserve"> =</t>
    </r>
  </si>
  <si>
    <t>E[X] =</t>
  </si>
  <si>
    <t>A =</t>
  </si>
  <si>
    <t>L =</t>
  </si>
  <si>
    <t>E[X; A+L] =</t>
  </si>
  <si>
    <t>E[X;A] =</t>
  </si>
  <si>
    <r>
      <t>E[X; (A+L)/</t>
    </r>
    <r>
      <rPr>
        <sz val="11"/>
        <color theme="1"/>
        <rFont val="Calibri"/>
        <family val="2"/>
      </rPr>
      <t>τ</t>
    </r>
    <r>
      <rPr>
        <vertAlign val="subscript"/>
        <sz val="11"/>
        <color theme="1"/>
        <rFont val="Calibri"/>
        <family val="2"/>
      </rPr>
      <t>X</t>
    </r>
    <r>
      <rPr>
        <sz val="11"/>
        <color theme="1"/>
        <rFont val="Calibri"/>
        <family val="2"/>
      </rPr>
      <t>] =</t>
    </r>
  </si>
  <si>
    <r>
      <t>E[X; A/</t>
    </r>
    <r>
      <rPr>
        <sz val="11"/>
        <color theme="1"/>
        <rFont val="Calibri"/>
        <family val="2"/>
      </rPr>
      <t>τ</t>
    </r>
    <r>
      <rPr>
        <vertAlign val="subscript"/>
        <sz val="11"/>
        <color theme="1"/>
        <rFont val="Calibri"/>
        <family val="2"/>
      </rPr>
      <t>X</t>
    </r>
    <r>
      <rPr>
        <sz val="11"/>
        <color theme="1"/>
        <rFont val="Calibri"/>
        <family val="2"/>
      </rPr>
      <t>] =</t>
    </r>
  </si>
  <si>
    <t>Overall Inflation</t>
  </si>
  <si>
    <t>If the insurer assumes a heavier tail distribution then more loss would be in the excess layer which</t>
  </si>
  <si>
    <t>limits the impact of excess inflation.</t>
  </si>
  <si>
    <t>shift more losses to the layer which would limit the impact of trend on the layer.</t>
  </si>
  <si>
    <t>• The insurer may assume ground-up losses follow a different distribution that is not lognormal.</t>
  </si>
  <si>
    <t>• The insurer may also have assumed the unlimited ground-up loss severity is higher. This would</t>
  </si>
  <si>
    <t>Impact of inflation on claim layer</t>
  </si>
  <si>
    <t>2012 Exam 8 Q12</t>
  </si>
  <si>
    <t>Undeveloped losses follow a uniform distribution between $0 and $500.</t>
  </si>
  <si>
    <t>multiplied by either 0.75 or 1.25.</t>
  </si>
  <si>
    <t>a.) Calculate the excess ratio at $400 for undeveloped losses.</t>
  </si>
  <si>
    <t>b.) Calculate the excess ratio at $300 for developed losses.</t>
  </si>
  <si>
    <t>between 0.75 and 1.25.</t>
  </si>
  <si>
    <t xml:space="preserve">Suppose instead that loss multipliers are uniformly distributed </t>
  </si>
  <si>
    <t xml:space="preserve">c.) Determine whether the excess ratio at $300 for developed losses </t>
  </si>
  <si>
    <t>will be higher than, equal to, or lower than the excess ratio calculated</t>
  </si>
  <si>
    <r>
      <t xml:space="preserve">in part b.) above. Do </t>
    </r>
    <r>
      <rPr>
        <u/>
        <sz val="11"/>
        <color theme="1"/>
        <rFont val="Calibri"/>
        <family val="2"/>
        <scheme val="minor"/>
      </rPr>
      <t>not</t>
    </r>
    <r>
      <rPr>
        <sz val="11"/>
        <color theme="1"/>
        <rFont val="Calibri"/>
        <family val="2"/>
        <scheme val="minor"/>
      </rPr>
      <t xml:space="preserve"> attempt to calculate the new excess ratio.</t>
    </r>
  </si>
  <si>
    <t>E[X] for undeveloped losses</t>
  </si>
  <si>
    <t>Excess Ratio = (E[X] - E[X;L]) / E[X] = 1 - E[X;L] / E[X]</t>
  </si>
  <si>
    <t>Excess Ratio at $400 for undeveloped losses</t>
  </si>
  <si>
    <t>When losses are developed there is a 50% chance they're uniformly distributed on [0, 375]</t>
  </si>
  <si>
    <t>and a 50% chance they're uniformly distributed on [0, 625]</t>
  </si>
  <si>
    <t>Case: [0, 375]</t>
  </si>
  <si>
    <t xml:space="preserve">Each loss has an equal likelihood of developing such that it is </t>
  </si>
  <si>
    <t>Case: [0, 625]</t>
  </si>
  <si>
    <t>Excess Ratio for case</t>
  </si>
  <si>
    <t>Excess Ratio at $300 for developed losses is the E[X] weighted average of the excess ratios</t>
  </si>
  <si>
    <t>To compare two distributions it's helpful to look at their coefficients of variation.</t>
  </si>
  <si>
    <t>Old distribution</t>
  </si>
  <si>
    <t>E[X^2] =</t>
  </si>
  <si>
    <t>Var(X) =</t>
  </si>
  <si>
    <t>CoV =</t>
  </si>
  <si>
    <t>New distribution</t>
  </si>
  <si>
    <t>Since the coefficient of variation for the loss multipliers for a uniform distribution on [0.75, 1.25] is</t>
  </si>
  <si>
    <t>smaller than that of discrete weights, the impact of dispersion will be less and hence the</t>
  </si>
  <si>
    <t>excess ratio will be lower.</t>
  </si>
  <si>
    <t>Calculate excess ratios for undeveloped and developed losses.</t>
  </si>
  <si>
    <t>The original distribution can only be at the end points of the new distribution which means the</t>
  </si>
  <si>
    <t>new distribution for less dispersion.</t>
  </si>
  <si>
    <t>Less dispersion means lower excess ratios.</t>
  </si>
  <si>
    <t>2014 Exam 8 Q6</t>
  </si>
  <si>
    <t>Losses on a policy have the following distribution:</t>
  </si>
  <si>
    <t>• 60% probability of a loss between $0 and $250,000</t>
  </si>
  <si>
    <t>• 30% probability of a loss between $250,000 and $500,000</t>
  </si>
  <si>
    <t>• 10% probability of a loss between $500,000 and $1,000,000</t>
  </si>
  <si>
    <t>Losses are uniformly distributed with each range.</t>
  </si>
  <si>
    <t>Assume a 20% trend is applied uniformly to all losses.</t>
  </si>
  <si>
    <t>a.) Produce a table which represents the cumulative loss distribution</t>
  </si>
  <si>
    <t>b.) Calculate the implied trend for the layer $500,000 excess of $500,000.</t>
  </si>
  <si>
    <t>Calculate the CDF and implied layer trend due to inflation</t>
  </si>
  <si>
    <t xml:space="preserve">Cumulative </t>
  </si>
  <si>
    <t xml:space="preserve">Probability </t>
  </si>
  <si>
    <t>of Loss</t>
  </si>
  <si>
    <t>Size of Loss</t>
  </si>
  <si>
    <t>Before</t>
  </si>
  <si>
    <t>After</t>
  </si>
  <si>
    <t>Inflation</t>
  </si>
  <si>
    <t xml:space="preserve">described above before and after the 20% trend and describe how the </t>
  </si>
  <si>
    <t>probability varies between the points in your table.</t>
  </si>
  <si>
    <t>E[X; 1,000,000] =</t>
  </si>
  <si>
    <t>Layer</t>
  </si>
  <si>
    <t>Expected Loss</t>
  </si>
  <si>
    <t>in Layer</t>
  </si>
  <si>
    <t xml:space="preserve">Average </t>
  </si>
  <si>
    <t>0 - 250k</t>
  </si>
  <si>
    <t xml:space="preserve">250k - 500k </t>
  </si>
  <si>
    <t>500k - 1m</t>
  </si>
  <si>
    <t>E[X; 500,000] =</t>
  </si>
  <si>
    <t>Since the distribution is uniform, the CDF consists of straight lines between the points.</t>
  </si>
  <si>
    <t>1,000,000 / 1.2 =</t>
  </si>
  <si>
    <t>500,000 / 1.2 =</t>
  </si>
  <si>
    <t>Detrending</t>
  </si>
  <si>
    <t>E[X; 1,000,000 / 1.2] =</t>
  </si>
  <si>
    <t>500k - 833.3k</t>
  </si>
  <si>
    <t>833.3k - 1m</t>
  </si>
  <si>
    <t>E[X; 500,000 / 1.2] =</t>
  </si>
  <si>
    <t xml:space="preserve">250k - 416.6k </t>
  </si>
  <si>
    <t>416.6k - 500k</t>
  </si>
  <si>
    <t>The implied trend percentage is</t>
  </si>
  <si>
    <t>The implied trend factor for the combined effect of inflation on claim counts and claim severity is given by</t>
  </si>
  <si>
    <t>Implied Trend Factor =</t>
  </si>
  <si>
    <t>E[X'; 1,000,000] =</t>
  </si>
  <si>
    <t>0 - 300k</t>
  </si>
  <si>
    <t xml:space="preserve">300k - 600k </t>
  </si>
  <si>
    <t>600k - 1m</t>
  </si>
  <si>
    <t>1m - 1.2m</t>
  </si>
  <si>
    <t>E[X'; 500,000] =</t>
  </si>
  <si>
    <t xml:space="preserve">300k - 500k </t>
  </si>
  <si>
    <t>500k - 600k</t>
  </si>
  <si>
    <t>600k - 1.2m</t>
  </si>
  <si>
    <t>Alice: "Equivalently you may do the following:"</t>
  </si>
  <si>
    <t>where X' is the distribution after the inflationary trend has been applied.</t>
  </si>
  <si>
    <t>2017 Exam 8 Q14</t>
  </si>
  <si>
    <t>A reinsurer has been supplied the following information from a large</t>
  </si>
  <si>
    <t>insurance company:</t>
  </si>
  <si>
    <t>Range</t>
  </si>
  <si>
    <t xml:space="preserve">Expected # </t>
  </si>
  <si>
    <t>of Claims</t>
  </si>
  <si>
    <t>Expected</t>
  </si>
  <si>
    <t>Ultimate Losses</t>
  </si>
  <si>
    <t>Claim</t>
  </si>
  <si>
    <t>Size</t>
  </si>
  <si>
    <t>to</t>
  </si>
  <si>
    <t>Total</t>
  </si>
  <si>
    <t>The reinsurer will pay all losses above a $5,000,000 per claim retention.</t>
  </si>
  <si>
    <t xml:space="preserve">a.) Construct a table of data which can be used to graph the excess </t>
  </si>
  <si>
    <t>severity function for claim sizes $1,000,000; $2,000,000; $3,000,000;</t>
  </si>
  <si>
    <t>and $4,000,000.</t>
  </si>
  <si>
    <t xml:space="preserve">The reinsurer is entering into an excess of loss contract with the </t>
  </si>
  <si>
    <t>primary insurance company.</t>
  </si>
  <si>
    <t>b.) Calculate the reinsurer's expected losses under the proposed contract.</t>
  </si>
  <si>
    <t>and</t>
  </si>
  <si>
    <t>above</t>
  </si>
  <si>
    <t>Group</t>
  </si>
  <si>
    <t># Claims</t>
  </si>
  <si>
    <t>Total Loss</t>
  </si>
  <si>
    <t>Severity</t>
  </si>
  <si>
    <t>F(x)</t>
  </si>
  <si>
    <t>E[X;x]</t>
  </si>
  <si>
    <t>e(x)</t>
  </si>
  <si>
    <t>Label the claim size ranges 1 through 5.</t>
  </si>
  <si>
    <t>Upper Bound, x</t>
  </si>
  <si>
    <t>NA</t>
  </si>
  <si>
    <t>exponential distribution above $1 million, with mean 2,250,000.</t>
  </si>
  <si>
    <t>This means e(5m) = e(4m) = … = e(1m) = 2,250,000.</t>
  </si>
  <si>
    <t>The reinsurer pays all losses above $5,000,000, so we need the expected number of claims over $5M.</t>
  </si>
  <si>
    <t>In part (a) we found information for losses in excess of 1,000,000 so</t>
  </si>
  <si>
    <t>E[N|X&gt;5M] = P(X&gt;5M | X&gt;1M) * E[N|X&gt;1M]</t>
  </si>
  <si>
    <t>P(X&gt;5M | X&gt;1M) = S(5M) / S(1M) where S is the survival function for the exponential distribution.</t>
  </si>
  <si>
    <t>So P(X&gt;5M | X&gt; 1M) =</t>
  </si>
  <si>
    <t>E[N|X&gt;1M] =</t>
  </si>
  <si>
    <t>So E[N|X&gt;5M] =</t>
  </si>
  <si>
    <t>From part (a) the excess severity distribution, e(x), is flat which means losses follow an</t>
  </si>
  <si>
    <t>Multiplying this by the expected excess severity gives the reinsurer's expected loss as</t>
  </si>
  <si>
    <t>Understanding the excess severity distribution</t>
  </si>
  <si>
    <t>2017 Exam 8 Q8</t>
  </si>
  <si>
    <t>L</t>
  </si>
  <si>
    <t>F(L)</t>
  </si>
  <si>
    <t>E[X; L]</t>
  </si>
  <si>
    <t>limit of 5,000.</t>
  </si>
  <si>
    <t>An insurer sells coverage with an attachment point of 5,000 and a layer</t>
  </si>
  <si>
    <t xml:space="preserve">The following table represents the expected cumulative severity </t>
  </si>
  <si>
    <t xml:space="preserve">distribution and limited expected severity for the current year at </t>
  </si>
  <si>
    <t>various limits.</t>
  </si>
  <si>
    <t>• The actuary expects a 10% severity increase for all claim sizes next year.</t>
  </si>
  <si>
    <t>a.) Calculate the percent change in frequency of claims in the layer.</t>
  </si>
  <si>
    <t>b.) Calculate the percent change in pure premiums in the layer.</t>
  </si>
  <si>
    <t>Current Layer Frequency = F(10,000) - F(5,000) =</t>
  </si>
  <si>
    <t>Due to the severity increase, a claim that was 10,000 this year is now 11,000.</t>
  </si>
  <si>
    <t>Hence</t>
  </si>
  <si>
    <t>Future layer frequency = F(9,091) - F(4,545) =</t>
  </si>
  <si>
    <t>So the change in layer frequency is</t>
  </si>
  <si>
    <t xml:space="preserve">Current Layer Severity = </t>
  </si>
  <si>
    <t xml:space="preserve">Future Layer Severity = </t>
  </si>
  <si>
    <t>Change in layer severity =</t>
  </si>
  <si>
    <t>This means the layer 5,000 to 10,000 next year corresponds to the layer 5,000/1.1 to 10,000/1.1 this year.</t>
  </si>
  <si>
    <t>Change in layer pure premium = (1 + layer change in frequency)*(1 + layer change in severity) - 1</t>
  </si>
  <si>
    <t>Impact of inflation on layer frequency and pure premium.</t>
  </si>
  <si>
    <r>
      <t xml:space="preserve">   • Claim counts (N) follow a Poisson distribution with </t>
    </r>
    <r>
      <rPr>
        <sz val="11"/>
        <color theme="1"/>
        <rFont val="Calibri"/>
        <family val="2"/>
      </rPr>
      <t>λ = 5,000</t>
    </r>
  </si>
  <si>
    <r>
      <t xml:space="preserve">   • Claim size (X) follows a Pareto distribution with </t>
    </r>
    <r>
      <rPr>
        <sz val="11"/>
        <color theme="1"/>
        <rFont val="Calibri"/>
        <family val="2"/>
      </rPr>
      <t>α = 2 and β = 6,000</t>
    </r>
  </si>
  <si>
    <t>The insurance company pays claims in excess of $10,000.</t>
  </si>
  <si>
    <t>Given the following:</t>
  </si>
  <si>
    <t xml:space="preserve">   • For a Poisson distribution:</t>
  </si>
  <si>
    <t xml:space="preserve">   • For a Pareto distribution:</t>
  </si>
  <si>
    <t>Assume claim size is subject to a uniform annual inflation rate of 3%.</t>
  </si>
  <si>
    <t xml:space="preserve">An insurance company observes the following ground-up claim </t>
  </si>
  <si>
    <t>experience for a book of business:</t>
  </si>
  <si>
    <t>a.) Calculate the expected number of claims in excess of $10,000.</t>
  </si>
  <si>
    <t xml:space="preserve">b.) Calculate the rate at which ground-up claims must change in order for </t>
  </si>
  <si>
    <t>there to be no change in expected annual total aggregate excess losses.</t>
  </si>
  <si>
    <t>P(X &gt; 10,000) = 1 - F(10,000)</t>
  </si>
  <si>
    <t>E[N &gt; $10,000] = E[N] * P(X &gt; 10,000) =</t>
  </si>
  <si>
    <t>claims in excess of $10,000.</t>
  </si>
  <si>
    <t>Using N has a Poisson distribution with mean 5,000.</t>
  </si>
  <si>
    <t>Initial expected excess loss, E[S] = E[N] * (E[X] - E[X; 10,000])</t>
  </si>
  <si>
    <t>E[X; 10,000] =</t>
  </si>
  <si>
    <t xml:space="preserve">E[S] = </t>
  </si>
  <si>
    <t>Let Y = (1 + 3%) * X</t>
  </si>
  <si>
    <t>E[T] = E[N'] * (E[Y] - E[Y; 10,000])</t>
  </si>
  <si>
    <t>where E[N'] is the new expected number of claims over $10,000.</t>
  </si>
  <si>
    <t>E[Y] - E[Y; 10,000] = 1.03*(E[X] - E[X; 10,000/1.03])</t>
  </si>
  <si>
    <t xml:space="preserve">E[X; 10,000/1.03] = </t>
  </si>
  <si>
    <t xml:space="preserve">E[Y] = </t>
  </si>
  <si>
    <t>Want no change, i.e. E[T] = E[S]</t>
  </si>
  <si>
    <t>This means E[N'] = E[S] / E[Y] =</t>
  </si>
  <si>
    <t>Rate of change = E[N'] / E[N] -1 =</t>
  </si>
  <si>
    <t>Impact of inflation on claim counts and aggregate losses</t>
  </si>
  <si>
    <t>A single annual policy will cover all of the tournaments throughout a given year.</t>
  </si>
  <si>
    <t>n</t>
  </si>
  <si>
    <t>P(n)</t>
  </si>
  <si>
    <t>3 or more</t>
  </si>
  <si>
    <t>x</t>
  </si>
  <si>
    <t>P(x)</t>
  </si>
  <si>
    <t>The expenses and profit for this policy are:</t>
  </si>
  <si>
    <t>Fixed Expenses</t>
  </si>
  <si>
    <t>None</t>
  </si>
  <si>
    <t>General Expenses</t>
  </si>
  <si>
    <t>of premium</t>
  </si>
  <si>
    <t>Commission</t>
  </si>
  <si>
    <t>Taxes</t>
  </si>
  <si>
    <t>Underwriting Profit</t>
  </si>
  <si>
    <t>The above assumptions apply to all program structures.</t>
  </si>
  <si>
    <t xml:space="preserve">     i. $45,000</t>
  </si>
  <si>
    <t xml:space="preserve">    ii. $32,000</t>
  </si>
  <si>
    <t xml:space="preserve">   iii. $19,000</t>
  </si>
  <si>
    <t>and the same distribution assumptions would apply.</t>
  </si>
  <si>
    <t>Bahnemann.Chapter5 &amp; Bahnemann.Chapter6</t>
  </si>
  <si>
    <t xml:space="preserve">A certain golf course holds a series of tournaments throughout the year, </t>
  </si>
  <si>
    <t xml:space="preserve">during which prizes are awarded if a player hits a hole-in-one. </t>
  </si>
  <si>
    <t xml:space="preserve">The prize amounts vary based on the difficulty of the hole, but </t>
  </si>
  <si>
    <t>are consistent across tournaments.</t>
  </si>
  <si>
    <t xml:space="preserve">The insurer would pay the full prize amount directly to the winning player, </t>
  </si>
  <si>
    <t>and seek recoveries of any applicable deductible from the golf course.</t>
  </si>
  <si>
    <t>The course has approached an insurer to design a policy which would protect</t>
  </si>
  <si>
    <t>the course from large prize payouts.</t>
  </si>
  <si>
    <t xml:space="preserve">The total number of holes-in-one in a given year (n), across all tournaments, </t>
  </si>
  <si>
    <t>has the following probability distribution:</t>
  </si>
  <si>
    <t xml:space="preserve">Given that a hole-in-one has occurred, the prize amount (x) has the following </t>
  </si>
  <si>
    <t>probability distribution:</t>
  </si>
  <si>
    <t>a.) Calculate the annual guaranteed cost premium for this policy.</t>
  </si>
  <si>
    <t xml:space="preserve">b.) Calculate the annual premium for this policy under a $100,000 </t>
  </si>
  <si>
    <t>per-occurrence deductible.</t>
  </si>
  <si>
    <t xml:space="preserve">c.) Calculate the annual premium for this policy under a $1,000,000 annual </t>
  </si>
  <si>
    <t>aggregate deductible and no per-occurrence deductible.</t>
  </si>
  <si>
    <t xml:space="preserve">d.) Calculate the annual premium for this policy under a $250,000 </t>
  </si>
  <si>
    <t>franchise deductible.</t>
  </si>
  <si>
    <t xml:space="preserve">e.) Explain which of the deductible structures above would generate the </t>
  </si>
  <si>
    <t>greatest credit risk to the insurer and estimate the magnitude of that risk.</t>
  </si>
  <si>
    <t xml:space="preserve">The insurer has allocated $45,000 of capital to support the guaranteed cost </t>
  </si>
  <si>
    <t>policy in part (a) above.</t>
  </si>
  <si>
    <t xml:space="preserve">coverage to other golf courses. The insurer will offer varying per-occurrence </t>
  </si>
  <si>
    <t xml:space="preserve">limits with no aggregate limits, the prize amounts would remain the same, </t>
  </si>
  <si>
    <r>
      <t>risk-loaded ILF for a $500,000 policy limit. 4_x000D__x0000__x0000__x0000__x0000_0</t>
    </r>
    <r>
      <rPr>
        <sz val="11"/>
        <color theme="1"/>
        <rFont val="Calibri"/>
        <family val="2"/>
      </rPr>
      <t/>
    </r>
  </si>
  <si>
    <t>You may assume:</t>
  </si>
  <si>
    <t xml:space="preserve"> ρ(100,000) =</t>
  </si>
  <si>
    <t>k =</t>
  </si>
  <si>
    <t xml:space="preserve">f.) Recommend and justify which of the three options below would be the </t>
  </si>
  <si>
    <t xml:space="preserve">most appropriate capital requirement to support the per-occurrence </t>
  </si>
  <si>
    <t>deductible policy in part (b) above:</t>
  </si>
  <si>
    <t>Working with different types of deductibles</t>
  </si>
  <si>
    <t>E[N] =</t>
  </si>
  <si>
    <t>E[S] = E[N] * E[X] =</t>
  </si>
  <si>
    <t>This is the loss cost. Now load for expenses.</t>
  </si>
  <si>
    <t>Expense multiplier = 1/(1 - general expense - commission - taxes - underwriting)</t>
  </si>
  <si>
    <t>Note there are no fixed expenses.</t>
  </si>
  <si>
    <t>Guaranteed Cost Premium =</t>
  </si>
  <si>
    <t>$100,000 per-occurrence deductible gives X</t>
  </si>
  <si>
    <t>Then load for expenses</t>
  </si>
  <si>
    <t xml:space="preserve">Deductible Premium = </t>
  </si>
  <si>
    <t>$1,000,000 aggregate deductible, no per-occurrence deductible.</t>
  </si>
  <si>
    <t xml:space="preserve">To exceed the aggregate deductible we need at least one claim of </t>
  </si>
  <si>
    <t>$1,000,000 and one other claim.</t>
  </si>
  <si>
    <t>1st Claim</t>
  </si>
  <si>
    <t>2nd Claim</t>
  </si>
  <si>
    <t>P(X)</t>
  </si>
  <si>
    <t># Ways</t>
  </si>
  <si>
    <t>Payout</t>
  </si>
  <si>
    <t>P(2+ claims) =</t>
  </si>
  <si>
    <t>E[S] =</t>
  </si>
  <si>
    <t>Load for expenses</t>
  </si>
  <si>
    <t>Deductible Premium =</t>
  </si>
  <si>
    <t>$250,000 Franchise Deductible</t>
  </si>
  <si>
    <t>Eliminates claims below $250,000 but pays out in full on those above.</t>
  </si>
  <si>
    <t>Gives distribution</t>
  </si>
  <si>
    <t>X</t>
  </si>
  <si>
    <t>The $1 million aggregate deductible generates the most credit risk</t>
  </si>
  <si>
    <t>because the insurer payouts all claims and then seeks to recover the deductible from the insured.</t>
  </si>
  <si>
    <t>The magnitude of the credit risk is the expected loss below the deductible,</t>
  </si>
  <si>
    <t>which is the difference between the guaranteed cost policy expected loss</t>
  </si>
  <si>
    <t>and the aggregate deductible expected loss, i.e.</t>
  </si>
  <si>
    <t xml:space="preserve">The capital required under the policy with a per-occurrence deductible </t>
  </si>
  <si>
    <t>is less than needed for the guaranteed cost policy because the insured covers part of the risk.</t>
  </si>
  <si>
    <r>
      <t xml:space="preserve">Solving for </t>
    </r>
    <r>
      <rPr>
        <sz val="11"/>
        <color theme="1"/>
        <rFont val="Calibri"/>
        <family val="2"/>
      </rPr>
      <t>δ yields δ =</t>
    </r>
  </si>
  <si>
    <r>
      <t>Now we calculate E[X</t>
    </r>
    <r>
      <rPr>
        <vertAlign val="super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>; 500,000] and E[X; 500,000] and apply the formula.</t>
    </r>
  </si>
  <si>
    <t xml:space="preserve">ρ(500,000) = </t>
  </si>
  <si>
    <r>
      <t xml:space="preserve">Here, </t>
    </r>
    <r>
      <rPr>
        <i/>
        <sz val="11"/>
        <color theme="1"/>
        <rFont val="Calibri"/>
        <family val="2"/>
        <scheme val="minor"/>
      </rPr>
      <t xml:space="preserve">l </t>
    </r>
    <r>
      <rPr>
        <sz val="11"/>
        <color theme="1"/>
        <rFont val="Calibri"/>
        <family val="2"/>
        <scheme val="minor"/>
      </rPr>
      <t>= 500,000 and b = 100,000</t>
    </r>
  </si>
  <si>
    <t xml:space="preserve">Risk Loaded ILF = </t>
  </si>
  <si>
    <t xml:space="preserve">g.) Using $100,000 as a basic limit, use the variance method to calculate the </t>
  </si>
  <si>
    <t xml:space="preserve">Based on the success of this program, the insurer wishes to expand this </t>
  </si>
  <si>
    <t>d.)</t>
  </si>
  <si>
    <t>e.)</t>
  </si>
  <si>
    <t>f.)</t>
  </si>
  <si>
    <t>The ratio of expected loss for the per-occurrence deductible to the guaranteed cost policy is</t>
  </si>
  <si>
    <t>Multiplying this by the $45,000 required capital for the guaranteed cost policy gives</t>
  </si>
  <si>
    <t>So at least this amount but less than $45,000 is required, therefore recommend option (ii) $32,000.</t>
  </si>
  <si>
    <t>g.)</t>
  </si>
  <si>
    <t>X; 100,000</t>
  </si>
  <si>
    <r>
      <t>X</t>
    </r>
    <r>
      <rPr>
        <vertAlign val="super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>; 100,000</t>
    </r>
  </si>
  <si>
    <t>E[X; 100,000]</t>
  </si>
  <si>
    <r>
      <t>E[X</t>
    </r>
    <r>
      <rPr>
        <vertAlign val="super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>; 100,000]</t>
    </r>
  </si>
  <si>
    <t>X; 500,000</t>
  </si>
  <si>
    <r>
      <t>X</t>
    </r>
    <r>
      <rPr>
        <vertAlign val="super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>; 500,000</t>
    </r>
  </si>
  <si>
    <t>E[X; 500,000]</t>
  </si>
  <si>
    <r>
      <t>E[X</t>
    </r>
    <r>
      <rPr>
        <vertAlign val="super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>; 500,000]</t>
    </r>
  </si>
  <si>
    <t>2018 Exam 8 Q2</t>
  </si>
  <si>
    <t>2018 Exam 8 Q1</t>
  </si>
  <si>
    <t>An insurance company is planning to expand into a new territory and has decided to review its historical</t>
  </si>
  <si>
    <t>loss experience in order to determine whether it will require additional capital to support the expansion.</t>
  </si>
  <si>
    <t>The actuarial consultant has decided that a prospective loss ratio of 20% for LOB 1 is appropriate, but</t>
  </si>
  <si>
    <t xml:space="preserve">that the gross capital required to support the expansion is $8,000,000 based on the insurance </t>
  </si>
  <si>
    <t xml:space="preserve">The cumulative distribution function of a lognormal distribution is </t>
  </si>
  <si>
    <r>
      <t xml:space="preserve">where </t>
    </r>
    <r>
      <rPr>
        <sz val="11"/>
        <color theme="1"/>
        <rFont val="Calibri"/>
        <family val="2"/>
      </rPr>
      <t xml:space="preserve">φ is the standard normal CDF, and μ and σ are the mean and </t>
    </r>
  </si>
  <si>
    <t>standard deviation of the associated normal distribution.</t>
  </si>
  <si>
    <t xml:space="preserve">The mean and variance of a lognormal distribution are given below, as well as a table of values from </t>
  </si>
  <si>
    <t>the standard normal distribution function:</t>
  </si>
  <si>
    <t>φ(x)</t>
  </si>
  <si>
    <t>lognormally distributed:</t>
  </si>
  <si>
    <t>The insurance company is planning to write $10,000,000 of new business for LOB 1 in the new territory.</t>
  </si>
  <si>
    <t xml:space="preserve">company's requirement to hold capital at a 1-in-100 year return period. </t>
  </si>
  <si>
    <t>Assume that aggregate LOB 1 ground-up losses are lognormally distributed.</t>
  </si>
  <si>
    <t xml:space="preserve">   i. Attaching a 2,000,000 xs 6,000,000 Aggregate Excess of Loss treaty</t>
  </si>
  <si>
    <t xml:space="preserve">  ii. A negative ceded profit a 25% quota share treaty which has a 20% ceding commission.</t>
  </si>
  <si>
    <t>This is part of an IQ question. We have revised and abbreviated it here to focus on the Bahnemann material.</t>
  </si>
  <si>
    <t xml:space="preserve">The insurance company has engaged an actuarial consultant to provide insights into a prospective loss </t>
  </si>
  <si>
    <t xml:space="preserve">ratio for the new territory. </t>
  </si>
  <si>
    <t>d.) Determine the coefficient of variation for LOB 1, assuming it is less than 100%.</t>
  </si>
  <si>
    <t>e.) Calculate the probability of each of the following for LOB 1 assuming aggregate losses are</t>
  </si>
  <si>
    <t>Working with log-normal distributions</t>
  </si>
  <si>
    <t xml:space="preserve">This means </t>
  </si>
  <si>
    <t>A 1-in-100 year capital requirement means P(X &gt; 8million) = 0.01</t>
  </si>
  <si>
    <t>So 1 - F(8 million) = 0.01, i.e. F(8 million) = 0.99</t>
  </si>
  <si>
    <t xml:space="preserve">Thus </t>
  </si>
  <si>
    <r>
      <t xml:space="preserve">Rearranging the second equation to get an expression for </t>
    </r>
    <r>
      <rPr>
        <sz val="11"/>
        <color theme="1"/>
        <rFont val="Calibri"/>
        <family val="2"/>
      </rPr>
      <t>μ and substituting</t>
    </r>
  </si>
  <si>
    <t>into the first gives</t>
  </si>
  <si>
    <r>
      <t xml:space="preserve">This yields </t>
    </r>
    <r>
      <rPr>
        <sz val="11"/>
        <color theme="1"/>
        <rFont val="Calibri"/>
        <family val="2"/>
      </rPr>
      <t>σ = 0.7019 or 3.9501</t>
    </r>
  </si>
  <si>
    <r>
      <t xml:space="preserve">Hence </t>
    </r>
    <r>
      <rPr>
        <sz val="11"/>
        <color theme="1"/>
        <rFont val="Calibri"/>
        <family val="2"/>
      </rPr>
      <t>μ = 14.2624 or 6.7071.</t>
    </r>
  </si>
  <si>
    <t>Coefficient of Variation = Standard Deviation (X) / E[X]</t>
  </si>
  <si>
    <t>Case 1:</t>
  </si>
  <si>
    <t>Case 2:</t>
  </si>
  <si>
    <t>We're told the Coefficient of Variation is less than 100% so it must be Case 1.</t>
  </si>
  <si>
    <t>The treaty will attach if the loss exceeds $6 million</t>
  </si>
  <si>
    <t>P(X &gt; 6 million) = 1 - F(6 million)</t>
  </si>
  <si>
    <t>Thus, 25% * $10 million - 20% * 25% * $10 million - 25% * Loss &lt; 0.</t>
  </si>
  <si>
    <t>$10 million of new business for LOB 1 and a 20% prospective loss ratio corresponds to a $2 million expected loss.</t>
  </si>
  <si>
    <t>i.)</t>
  </si>
  <si>
    <t>ii.)</t>
  </si>
  <si>
    <r>
      <t xml:space="preserve">F(6 million) = </t>
    </r>
    <r>
      <rPr>
        <sz val="11"/>
        <color theme="1"/>
        <rFont val="Calibri"/>
        <family val="2"/>
      </rPr>
      <t>φ([ln(6,000,000) - 14.2624] / 0.7019 ) = φ(1.916) = 97.23%</t>
    </r>
  </si>
  <si>
    <t>So P(X &gt; 6 million) = 1 - 97.23% =</t>
  </si>
  <si>
    <t xml:space="preserve">A negative ceded profit occurs when the ceded premium less ceding commission is less than the ceded loss. </t>
  </si>
  <si>
    <t>There is no profit commission when you break even or make a loss.</t>
  </si>
  <si>
    <t>Ceded Premium</t>
  </si>
  <si>
    <t>Ceding Commission</t>
  </si>
  <si>
    <t>25%*Loss</t>
  </si>
  <si>
    <t>Ceded Loss</t>
  </si>
  <si>
    <t>So Loss &gt;</t>
  </si>
  <si>
    <t>We're told $8 million is a 1-in-100 year loss so the probability of a negative ceded profit is 1%.</t>
  </si>
  <si>
    <t>Calculate the layer inflation</t>
  </si>
  <si>
    <t>An insurance company purchases Workers' Compensation excess of</t>
  </si>
  <si>
    <t>loss coverage of $500,000 excess of $500,000 per claim.</t>
  </si>
  <si>
    <t>Losses in the current year are as follows:</t>
  </si>
  <si>
    <t>Loss #</t>
  </si>
  <si>
    <t>Number</t>
  </si>
  <si>
    <t>Loss</t>
  </si>
  <si>
    <t>An actuary estimates the ground-up inflation rate to be 9%.</t>
  </si>
  <si>
    <t>Calculate the inflation rate in the excess layer.</t>
  </si>
  <si>
    <t>Ground-up</t>
  </si>
  <si>
    <t>Incurred Loss</t>
  </si>
  <si>
    <t>Before Inflation</t>
  </si>
  <si>
    <t>Loss in Layer</t>
  </si>
  <si>
    <t>After Inflation</t>
  </si>
  <si>
    <t>Inflation rate in the excess layer</t>
  </si>
  <si>
    <t>2004 Exam 9 Q5</t>
  </si>
  <si>
    <t>2006 Exam 9 Q8</t>
  </si>
  <si>
    <t>Occurrence</t>
  </si>
  <si>
    <t>Limit</t>
  </si>
  <si>
    <t xml:space="preserve">Probability that a </t>
  </si>
  <si>
    <t>Claim is below the</t>
  </si>
  <si>
    <t>Occurrence Limit</t>
  </si>
  <si>
    <t>Expected Limited</t>
  </si>
  <si>
    <t>Severity for the</t>
  </si>
  <si>
    <t xml:space="preserve">• It is estimated these policies will generate 40 claims in excess of $250,000 </t>
  </si>
  <si>
    <t>in the current year.</t>
  </si>
  <si>
    <t>following two year trends:</t>
  </si>
  <si>
    <t>Claim severity inflation</t>
  </si>
  <si>
    <t>Exposure growth</t>
  </si>
  <si>
    <t>a.) Calculate the expected number of claims exceeding $250,000 after two years.</t>
  </si>
  <si>
    <t xml:space="preserve">b.) Calculate the expected losses for the portfolio in the layer </t>
  </si>
  <si>
    <t>$1,000,000 excess of $250,000 after two years.</t>
  </si>
  <si>
    <t xml:space="preserve">• During the next two years, the portfolio expects to experience the </t>
  </si>
  <si>
    <t>A portfolio of insurance policies currently follows this size of loss distribution:</t>
  </si>
  <si>
    <t xml:space="preserve">The excess claim count effective trend factor is </t>
  </si>
  <si>
    <t>where A is the attachment point.</t>
  </si>
  <si>
    <t>De-trend the attachment point</t>
  </si>
  <si>
    <t>F(250,000) =</t>
  </si>
  <si>
    <t>F(200,000) =</t>
  </si>
  <si>
    <t>excess claim count effective trend</t>
  </si>
  <si>
    <t>We expect this many claims to exceed $250,000 after two years.</t>
  </si>
  <si>
    <t>Expected losses for the layer after two years.</t>
  </si>
  <si>
    <t>expected excess severity after two years.</t>
  </si>
  <si>
    <t>Current</t>
  </si>
  <si>
    <t>2-yr Detrended</t>
  </si>
  <si>
    <t>A+ L =</t>
  </si>
  <si>
    <t>expected claims over $250,000 after two years [from part a.) above]</t>
  </si>
  <si>
    <t>Apply the claim count trend and exposure trend to the current expected 40 claims.</t>
  </si>
  <si>
    <t>Exposure growth only affects claim frequency, not claim severity.</t>
  </si>
  <si>
    <t>Expected claims and losses in layer after inflation</t>
  </si>
  <si>
    <t>Bahnemann.Chapter6</t>
  </si>
  <si>
    <t>2012 Exam 8 Q22</t>
  </si>
  <si>
    <t>The current deductible pricing for an auto insurer is based on the</t>
  </si>
  <si>
    <t>following claim distribution:</t>
  </si>
  <si>
    <t>Loss Size</t>
  </si>
  <si>
    <t>An actuary wants to review the effect of loss trend on the insurer's</t>
  </si>
  <si>
    <t>loss elimination ratios.</t>
  </si>
  <si>
    <t>a.) Calculate the loss elimination ratio for a straight $500 deductible</t>
  </si>
  <si>
    <t>assuming no trend adjustment.</t>
  </si>
  <si>
    <t>b.) Assuming no frequency trend, calculate the percentage change in</t>
  </si>
  <si>
    <t>the loss elimination ratio for a straight $500 deductible assuming a</t>
  </si>
  <si>
    <t>ground-up loss severity trend of 10%.</t>
  </si>
  <si>
    <t>c.) Explain why the loss cost for a given straight deductible policy can</t>
  </si>
  <si>
    <t>increase by more than the ground-up severity trend.</t>
  </si>
  <si>
    <t>Trend and loss elimination ratios for straight deductibles</t>
  </si>
  <si>
    <t>Expected total losses before deductible</t>
  </si>
  <si>
    <t>After Deductible</t>
  </si>
  <si>
    <t>Expected total losses after deductible</t>
  </si>
  <si>
    <t>Loss elimination ratio for straight $500 deductible.</t>
  </si>
  <si>
    <t>Trended</t>
  </si>
  <si>
    <t>Expected trended total losses before deductible</t>
  </si>
  <si>
    <t>Expected trended total losses after deductible</t>
  </si>
  <si>
    <t>Loss elimination ratio for straight $500 deductible after trend.</t>
  </si>
  <si>
    <t>Percent Change in LER due to severity inflation</t>
  </si>
  <si>
    <t>The severity trend causes new losses to pierce the deductible which reduces the loss elimination ratio.</t>
  </si>
  <si>
    <t>Also, since the deductible is not trended, the loss in excess of the deductible may increase by more than the ground-up</t>
  </si>
  <si>
    <t>severity trend. For example, $500 straight deductible and a $1,000 loss has $500 excess before inflation but the loss</t>
  </si>
  <si>
    <t>becomes $1,100 after inflation which means $600 excess. The change in excess loss is 600/500 - 1 = 20% which is greater than</t>
  </si>
  <si>
    <t>the ground-up 10% trend.</t>
  </si>
  <si>
    <t>2013 Exam 8 Q6</t>
  </si>
  <si>
    <t>The following information</t>
  </si>
  <si>
    <t>Basic limit</t>
  </si>
  <si>
    <t>Selected standard deviation for risk load</t>
  </si>
  <si>
    <t>• Assume there are no expenses.</t>
  </si>
  <si>
    <t>a.) Calculate the risk-loaded increased limit factor for a</t>
  </si>
  <si>
    <t>policy limit of $400,000.</t>
  </si>
  <si>
    <t>Calculate the risk-loaded ILF</t>
  </si>
  <si>
    <r>
      <t xml:space="preserve">Since we assume there are no expenses we have u = 0 and </t>
    </r>
    <r>
      <rPr>
        <sz val="11"/>
        <color theme="1"/>
        <rFont val="Calibri"/>
        <family val="2"/>
      </rPr>
      <t>ε = 0</t>
    </r>
  </si>
  <si>
    <r>
      <t>E[X</t>
    </r>
    <r>
      <rPr>
        <vertAlign val="super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>; L] =</t>
    </r>
  </si>
  <si>
    <t>E[X; L] =</t>
  </si>
  <si>
    <t>Cap @ L</t>
  </si>
  <si>
    <t>Cap @ b</t>
  </si>
  <si>
    <r>
      <t>Loss Size</t>
    </r>
    <r>
      <rPr>
        <vertAlign val="super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 xml:space="preserve"> @ L</t>
    </r>
  </si>
  <si>
    <r>
      <t>Loss Size</t>
    </r>
    <r>
      <rPr>
        <vertAlign val="super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 xml:space="preserve"> @ b</t>
    </r>
  </si>
  <si>
    <t>Std Dev(L) =</t>
  </si>
  <si>
    <t>ρ(L) =</t>
  </si>
  <si>
    <t>E[X; b] =</t>
  </si>
  <si>
    <r>
      <t>E[X</t>
    </r>
    <r>
      <rPr>
        <vertAlign val="super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>; b] =</t>
    </r>
  </si>
  <si>
    <t>Std Dev(b) =</t>
  </si>
  <si>
    <t>ρ(b) =</t>
  </si>
  <si>
    <t>Risk Loaded ILF =</t>
  </si>
  <si>
    <t>2013 Exam 8 Q5</t>
  </si>
  <si>
    <t>The following increased limits factors (ILFs) are used to price</t>
  </si>
  <si>
    <t>a general liability policy:</t>
  </si>
  <si>
    <t>Aggregate</t>
  </si>
  <si>
    <t xml:space="preserve">a.) Calculate the range of possible values for the </t>
  </si>
  <si>
    <t>inthe table pass the two-dimensional consistency test.</t>
  </si>
  <si>
    <t>$50,000 occurrence / $250,000 aggregate ILF such that all the factors</t>
  </si>
  <si>
    <r>
      <t xml:space="preserve">(X - 2) / (50,000 - 25,000) </t>
    </r>
    <r>
      <rPr>
        <sz val="11"/>
        <color theme="1"/>
        <rFont val="Calibri"/>
        <family val="2"/>
      </rPr>
      <t>≥ (2.8 - X) / (100,000 - 50,000) ≥</t>
    </r>
    <r>
      <rPr>
        <sz val="11"/>
        <color theme="1"/>
        <rFont val="Calibri"/>
        <family val="2"/>
        <scheme val="minor"/>
      </rPr>
      <t xml:space="preserve"> (3.15 - 2.8) / (250,000 - 100,000)</t>
    </r>
  </si>
  <si>
    <r>
      <t xml:space="preserve">Hence X </t>
    </r>
    <r>
      <rPr>
        <sz val="11"/>
        <color theme="1"/>
        <rFont val="Calibri"/>
        <family val="2"/>
      </rPr>
      <t>≥</t>
    </r>
  </si>
  <si>
    <r>
      <t xml:space="preserve">and X </t>
    </r>
    <r>
      <rPr>
        <sz val="11"/>
        <color theme="1"/>
        <rFont val="Calibri"/>
        <family val="2"/>
      </rPr>
      <t>≥</t>
    </r>
  </si>
  <si>
    <t>Now hold the occurrence limit constant. This yields:</t>
  </si>
  <si>
    <t>First hold the aggregate limit constant. This yields:</t>
  </si>
  <si>
    <r>
      <t xml:space="preserve">(2.05 - 1.70) / (100,000 - 50,000) </t>
    </r>
    <r>
      <rPr>
        <sz val="11"/>
        <color theme="1"/>
        <rFont val="Calibri"/>
        <family val="2"/>
      </rPr>
      <t>≥ (X - 2.05) / (250,000 - 100,00) ≥ (2.47 - X) / (500,000 - 250,000)</t>
    </r>
  </si>
  <si>
    <r>
      <t xml:space="preserve">Hence X </t>
    </r>
    <r>
      <rPr>
        <sz val="11"/>
        <color theme="1"/>
        <rFont val="Calibri"/>
        <family val="2"/>
      </rPr>
      <t>≤</t>
    </r>
  </si>
  <si>
    <t xml:space="preserve">Therefore </t>
  </si>
  <si>
    <t>≤ X ≤</t>
  </si>
  <si>
    <r>
      <t xml:space="preserve">and X </t>
    </r>
    <r>
      <rPr>
        <sz val="11"/>
        <color theme="1"/>
        <rFont val="Calibri"/>
        <family val="2"/>
      </rPr>
      <t>≤</t>
    </r>
  </si>
  <si>
    <t>Ensure the ILFs pass the consistency test</t>
  </si>
  <si>
    <t>2014 Exam 8 Q7</t>
  </si>
  <si>
    <t>actuarially sound premiums.</t>
  </si>
  <si>
    <t>An insurer currently offers the following coverage limits at</t>
  </si>
  <si>
    <t>Premium</t>
  </si>
  <si>
    <t xml:space="preserve">Next year, underwriting would like to offer additional </t>
  </si>
  <si>
    <t>coverage options. The following premiums are under</t>
  </si>
  <si>
    <t xml:space="preserve">a.) Argue for and against the actuarial soundness of these </t>
  </si>
  <si>
    <t>new premiums as they relate to the lower limit options.</t>
  </si>
  <si>
    <t>Apply the consistency test</t>
  </si>
  <si>
    <t>actuarial review:</t>
  </si>
  <si>
    <t>Consistency Statistic</t>
  </si>
  <si>
    <t>To pass the consistency test the statistics should be in descending order.</t>
  </si>
  <si>
    <t>They aren't because the statistic increases for the $1,000,000 limit option.</t>
  </si>
  <si>
    <t>This means the incremental change in premium for the $1,000,000 limit is</t>
  </si>
  <si>
    <t>higher than it is for a lower limit.</t>
  </si>
  <si>
    <t>Technically, the ILFs are not actuarially sound.</t>
  </si>
  <si>
    <t>However, this may be acceptable if the potential for adverse selection is</t>
  </si>
  <si>
    <t>considered. This may occur when insureds who are more risky purchase</t>
  </si>
  <si>
    <t>higher limits as they know there will be large losses. It can also arise when</t>
  </si>
  <si>
    <t>court cases and settlements look at the policy limits when settling cases.</t>
  </si>
  <si>
    <t>2016 Exam 8 Q8</t>
  </si>
  <si>
    <t>Policy Limit</t>
  </si>
  <si>
    <t>Severity limited to:</t>
  </si>
  <si>
    <t>a.) Demonstrate if anti-selection impacts the ILFs.</t>
  </si>
  <si>
    <t xml:space="preserve">b.) Identify and briefly describe two possible forms of anti-selection for </t>
  </si>
  <si>
    <t>ILFs and give one example for each.</t>
  </si>
  <si>
    <t xml:space="preserve">Given the following average severity, an actuary wants to validate if </t>
  </si>
  <si>
    <t xml:space="preserve">50% of the policies have a $25,000 policy limit and 50% of the policies </t>
  </si>
  <si>
    <t>have a $50,000 policy limit.</t>
  </si>
  <si>
    <t xml:space="preserve">anti-selection impacts its Increased Limits Factors for a given </t>
  </si>
  <si>
    <t>insurance coverage:</t>
  </si>
  <si>
    <t>To determine whether anti-selection is present we can compare the ILFs for the individual policy</t>
  </si>
  <si>
    <t>limits with those obtained using all available policy limits.</t>
  </si>
  <si>
    <t>All Policy Limits ILFs</t>
  </si>
  <si>
    <t>$25k Policy Limit ILFs</t>
  </si>
  <si>
    <t>$50k Policy Limit ILFs</t>
  </si>
  <si>
    <t>It is clear the ILFs under the two individual policy limits are significantly different than those</t>
  </si>
  <si>
    <t>obtained using all available data. This implies anti-selection is present as they should be</t>
  </si>
  <si>
    <t>(approximately) equal otherwise.</t>
  </si>
  <si>
    <t>Adverse Selection:</t>
  </si>
  <si>
    <t>The higher limits generate higher ILFs because higher risk insureds choose higher policy limits.</t>
  </si>
  <si>
    <t>This could be because the more risky insureds are aware of their riskiness and choose high limits</t>
  </si>
  <si>
    <t>to protect themselves.</t>
  </si>
  <si>
    <t>Favourable Selection:</t>
  </si>
  <si>
    <t xml:space="preserve">The higher limits generate lower ILFs. This can be because good risks with a large amount of </t>
  </si>
  <si>
    <t>assets to protect will choose higher limits to get that protection, even though they are not</t>
  </si>
  <si>
    <t>riskier than others.</t>
  </si>
  <si>
    <t>2017 Exam 8 Q7</t>
  </si>
  <si>
    <t>Given the following information:</t>
  </si>
  <si>
    <t>• Allocated loss adjustment expense is 15% of the indemnity amount.</t>
  </si>
  <si>
    <t>• The variance method has been selected to include a risk load in the</t>
  </si>
  <si>
    <r>
      <t xml:space="preserve">   Increased Limits Factors (ILFs) with k = 0.000064 and </t>
    </r>
    <r>
      <rPr>
        <sz val="11"/>
        <color theme="1"/>
        <rFont val="Calibri"/>
        <family val="2"/>
      </rPr>
      <t>δ = 0.</t>
    </r>
  </si>
  <si>
    <t>Limit, L</t>
  </si>
  <si>
    <r>
      <t>E[X</t>
    </r>
    <r>
      <rPr>
        <b/>
        <vertAlign val="superscript"/>
        <sz val="11"/>
        <color theme="1"/>
        <rFont val="Calibri"/>
        <family val="2"/>
        <scheme val="minor"/>
      </rPr>
      <t>2</t>
    </r>
    <r>
      <rPr>
        <b/>
        <sz val="11"/>
        <color theme="1"/>
        <rFont val="Calibri"/>
        <family val="2"/>
        <scheme val="minor"/>
      </rPr>
      <t>; L]</t>
    </r>
  </si>
  <si>
    <t>• The risk loads for each limit.</t>
  </si>
  <si>
    <t>• The ILF with and without risk load for the 5,000 limit.</t>
  </si>
  <si>
    <t>Calculate the risk loaded ILFs</t>
  </si>
  <si>
    <t>Risk Load</t>
  </si>
  <si>
    <t>L = 1,000</t>
  </si>
  <si>
    <t>L = 5,000</t>
  </si>
  <si>
    <t>ILF without risk load</t>
  </si>
  <si>
    <t>ILF with risk load</t>
  </si>
  <si>
    <t>Without risk loads</t>
  </si>
  <si>
    <t>With risk loads</t>
  </si>
  <si>
    <t>Impact to premium from using risk loads</t>
  </si>
  <si>
    <t>a.) Calculate the following:</t>
  </si>
  <si>
    <t xml:space="preserve">b.) Assuming portfolio weights of 75% for a 1,000 limit and 25% for a </t>
  </si>
  <si>
    <t xml:space="preserve">5,000 limit, determine the overall impact on premium by using the ILFs </t>
  </si>
  <si>
    <t>with the risk loads instead of the ILFs without risk loads.</t>
  </si>
  <si>
    <r>
      <t xml:space="preserve">There are no fixed expenses here, so </t>
    </r>
    <r>
      <rPr>
        <sz val="11"/>
        <color theme="1"/>
        <rFont val="Calibri"/>
        <family val="2"/>
      </rPr>
      <t>ε = 0.</t>
    </r>
  </si>
  <si>
    <t>2003 Exam 9 Q37</t>
  </si>
  <si>
    <t>The following information about a Commercial General Liability policy:</t>
  </si>
  <si>
    <t>Severity for a $2,000,000 policy</t>
  </si>
  <si>
    <t>Frequency</t>
  </si>
  <si>
    <t>Increased Limit Factor for $5,000,000 limit policy</t>
  </si>
  <si>
    <t>Basic Limit</t>
  </si>
  <si>
    <t>Pure Premium for $3,000,000 excess of $2,000,000</t>
  </si>
  <si>
    <t>a.) Calculate the pure premium for the basic limits policy.</t>
  </si>
  <si>
    <t>Assume claim frequency is not affected by policy size (limits)</t>
  </si>
  <si>
    <t>Pure premium for a policy with $2,000,000 limit.</t>
  </si>
  <si>
    <t>Pure premium for 3m excess of 2m policy</t>
  </si>
  <si>
    <t>Ground-up pure premium for a $5m policy</t>
  </si>
  <si>
    <t>Back out the ILF to get the pure premium for a basic limits policy</t>
  </si>
  <si>
    <t>Use ILFs to calculate the basic limit pure premium</t>
  </si>
  <si>
    <t>2003 Exam 9 Q43</t>
  </si>
  <si>
    <t>Basic aggregate limit</t>
  </si>
  <si>
    <t>Aggregate limit for policy</t>
  </si>
  <si>
    <t>ALAE</t>
  </si>
  <si>
    <t>ULAE</t>
  </si>
  <si>
    <t>Calculate the risk-adjusted ILF</t>
  </si>
  <si>
    <t>We're given a pure premium distribution. We can tell this because the probability of $0 loss is non-zero.</t>
  </si>
  <si>
    <t>The following ground-up pure premium distribution:</t>
  </si>
  <si>
    <t>Risk Load (% of Standard Deviation of Pure Premium)</t>
  </si>
  <si>
    <t>a.) Calculate the risk-adjusted increased limits factor for the policy.</t>
  </si>
  <si>
    <t>The usual risk-loaded ILF (shown above) assumes frequency is the same across limits. Here,</t>
  </si>
  <si>
    <t xml:space="preserve">we must adapt the approach to compute as a ratio of premiums since the risk load </t>
  </si>
  <si>
    <t>is a percentage of the standard deviation of the pure premium,</t>
  </si>
  <si>
    <t>S</t>
  </si>
  <si>
    <t>S; 5000</t>
  </si>
  <si>
    <t>E[S; L]</t>
  </si>
  <si>
    <r>
      <t>E[S</t>
    </r>
    <r>
      <rPr>
        <vertAlign val="super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>; L]</t>
    </r>
  </si>
  <si>
    <t>Std Dev</t>
  </si>
  <si>
    <t>ILF</t>
  </si>
  <si>
    <t>S; 3000</t>
  </si>
  <si>
    <t>2004 Exam 5 Q39</t>
  </si>
  <si>
    <t>Loss Distribution</t>
  </si>
  <si>
    <t>Loss Amount</t>
  </si>
  <si>
    <t>Policy Deductible</t>
  </si>
  <si>
    <t>Ground-up Premium</t>
  </si>
  <si>
    <t>Ground-up Expected Loss Ratio</t>
  </si>
  <si>
    <t>ALAE (% of Loss)</t>
  </si>
  <si>
    <t>Fixed Expense</t>
  </si>
  <si>
    <t>Variable Expense</t>
  </si>
  <si>
    <t>Profit &amp; Contingency provision</t>
  </si>
  <si>
    <t>• Assume the deductible applies to Loss &amp; ALAE.</t>
  </si>
  <si>
    <t>a.) Calculate the premium for a policy with a $5,000 deductible.</t>
  </si>
  <si>
    <t>The following information:</t>
  </si>
  <si>
    <t>Loss + ALAE</t>
  </si>
  <si>
    <t>Deductible Loss</t>
  </si>
  <si>
    <r>
      <t>E[S</t>
    </r>
    <r>
      <rPr>
        <vertAlign val="subscript"/>
        <sz val="11"/>
        <color theme="1"/>
        <rFont val="Calibri"/>
        <family val="2"/>
        <scheme val="minor"/>
      </rPr>
      <t>D</t>
    </r>
    <r>
      <rPr>
        <sz val="11"/>
        <color theme="1"/>
        <rFont val="Calibri"/>
        <family val="2"/>
        <scheme val="minor"/>
      </rPr>
      <t>] =</t>
    </r>
  </si>
  <si>
    <t>Expected deductible layer losses</t>
  </si>
  <si>
    <t>This is the percent of loss we expect the insured to retain via the deductible</t>
  </si>
  <si>
    <t>Ground-up expected loss and ALAE for policy</t>
  </si>
  <si>
    <t>Expected loss &amp; ALAE net of deductible for policy</t>
  </si>
  <si>
    <t>Policy premium</t>
  </si>
  <si>
    <t>Calculate the policy premium</t>
  </si>
  <si>
    <t>2005 Exam 9 Q6</t>
  </si>
  <si>
    <t>The following table of increased limits factors:</t>
  </si>
  <si>
    <t>Policy</t>
  </si>
  <si>
    <t>Increased</t>
  </si>
  <si>
    <t>Limit Factor</t>
  </si>
  <si>
    <t>Annual inflation rate</t>
  </si>
  <si>
    <t>Average loss frequency</t>
  </si>
  <si>
    <t>Expected Severity at $100,000 limit</t>
  </si>
  <si>
    <t>a.) Calculate the increased limit factor adjusted for one year</t>
  </si>
  <si>
    <t>of inflation for a policy limit of $500,000.</t>
  </si>
  <si>
    <t>b.) Calculate the pure premium charge adjusted for one year</t>
  </si>
  <si>
    <t xml:space="preserve">of inflation for a policy covering losses in the layer </t>
  </si>
  <si>
    <t>$2,000,000 excess of $500,000.</t>
  </si>
  <si>
    <t>Today</t>
  </si>
  <si>
    <t>1-yr Later</t>
  </si>
  <si>
    <t>New ILF</t>
  </si>
  <si>
    <t>We detrend the limits:</t>
  </si>
  <si>
    <t>Retention</t>
  </si>
  <si>
    <t>Retention + Limit</t>
  </si>
  <si>
    <t>Detrend</t>
  </si>
  <si>
    <t>Pure premium today for $100,000 limit</t>
  </si>
  <si>
    <t>Pure premium in one year for $100,000 limit</t>
  </si>
  <si>
    <t>Pure premium in one year for $2,000,000 excess of $500,000 policy</t>
  </si>
  <si>
    <t>for $2,000,000 excess of $500,000 policy</t>
  </si>
  <si>
    <t>Layer premiums and inflation</t>
  </si>
  <si>
    <t>2005 Exam 9 Q10</t>
  </si>
  <si>
    <t>2005 Exam 9 Q23</t>
  </si>
  <si>
    <t>2009 Exam 9 Q18</t>
  </si>
  <si>
    <t>• Bill 1 would result in a 10% increase in the claim amount for all claims</t>
  </si>
  <si>
    <t>• Bill 2 would result in a 20% increase in the claim amount for all claims</t>
  </si>
  <si>
    <t>less than $600,000 under the current law, subject to a $600,000 maximum.</t>
  </si>
  <si>
    <t>Under Bill 2, the amounts of all claims valued $600,000 or more would not change.</t>
  </si>
  <si>
    <t>The state legislature is considering two bills for actuarial liability in state X.</t>
  </si>
  <si>
    <t>losses paid by the State Actuarial Reinsurance Company.</t>
  </si>
  <si>
    <t>a.) Based on the information above, evaluate the impact of each bill on the</t>
  </si>
  <si>
    <t>b.) If the state legislature approved Bill 2 and changed the basic limit from</t>
  </si>
  <si>
    <t>$100,000 to $300,000, what would be the new increased limit factor at $1,000,000?</t>
  </si>
  <si>
    <t>The State Actuarial Reinsurance Company covers $700,000 in excess of $300,000 for</t>
  </si>
  <si>
    <t>each actuarial liability claim in state X.</t>
  </si>
  <si>
    <t>factors is appropriate to use for actuarial liability.</t>
  </si>
  <si>
    <t>An analysis performed last year indicates the following set of increased limit</t>
  </si>
  <si>
    <t>We need to calculate the change in expected aggregate losses using</t>
  </si>
  <si>
    <t>LER =</t>
  </si>
  <si>
    <t>Since we are given increased limit factors we must multiply this formula by 1 = E[X; b] / E[X; b] to convert to ILFs.</t>
  </si>
  <si>
    <t>A + L =</t>
  </si>
  <si>
    <t>ILF(L)</t>
  </si>
  <si>
    <t>Bill 1</t>
  </si>
  <si>
    <r>
      <t>τ</t>
    </r>
    <r>
      <rPr>
        <vertAlign val="subscript"/>
        <sz val="11"/>
        <color theme="1"/>
        <rFont val="Calibri"/>
        <family val="2"/>
      </rPr>
      <t>X</t>
    </r>
    <r>
      <rPr>
        <sz val="11"/>
        <color theme="1"/>
        <rFont val="Calibri"/>
        <family val="2"/>
      </rPr>
      <t xml:space="preserve"> = </t>
    </r>
  </si>
  <si>
    <r>
      <t xml:space="preserve">Limit / </t>
    </r>
    <r>
      <rPr>
        <sz val="11"/>
        <color theme="1"/>
        <rFont val="Calibri"/>
        <family val="2"/>
      </rPr>
      <t>τ</t>
    </r>
    <r>
      <rPr>
        <vertAlign val="subscript"/>
        <sz val="11"/>
        <color theme="1"/>
        <rFont val="Calibri"/>
        <family val="2"/>
        <scheme val="minor"/>
      </rPr>
      <t>X</t>
    </r>
  </si>
  <si>
    <r>
      <t>ILF(L/</t>
    </r>
    <r>
      <rPr>
        <sz val="11"/>
        <color theme="1"/>
        <rFont val="Calibri"/>
        <family val="2"/>
      </rPr>
      <t>τ</t>
    </r>
    <r>
      <rPr>
        <vertAlign val="subscript"/>
        <sz val="11"/>
        <color theme="1"/>
        <rFont val="Calibri"/>
        <family val="2"/>
      </rPr>
      <t>X</t>
    </r>
    <r>
      <rPr>
        <sz val="11"/>
        <color theme="1"/>
        <rFont val="Calibri"/>
        <family val="2"/>
      </rPr>
      <t>)</t>
    </r>
  </si>
  <si>
    <t>Aggregate Loss Inflation</t>
  </si>
  <si>
    <t>Bill 2</t>
  </si>
  <si>
    <t>Here there is no inflation for claims over $600,000, while those under increase by 20%.</t>
  </si>
  <si>
    <t>(for claims under $600,000)</t>
  </si>
  <si>
    <t>Since we've split the current claims into two disjoint layers we can measure the increase in expected losses</t>
  </si>
  <si>
    <t>in each layer and then sum.</t>
  </si>
  <si>
    <t>New loss (as a ratio to E[X; b])</t>
  </si>
  <si>
    <t>Old loss (as a ratio to E[X; b])</t>
  </si>
  <si>
    <t>Bills 1 and 2 have an almost identical impact with Bill 1's impact being slightly higher (likely due to the ILF rounding present).</t>
  </si>
  <si>
    <t>Bill 1 impact  &lt; = Bill 2 impact</t>
  </si>
  <si>
    <t>ILF($1,000,000) = E[X; $1,000,000] / E[X; b]</t>
  </si>
  <si>
    <t>As a ratio to E[X; $100,000]</t>
  </si>
  <si>
    <t>New ILF ($1,000,000) =</t>
  </si>
  <si>
    <t>We want E[X'; $1,000,000] / E[X'; $300,000] where X' is the loss distribution after Bill 2.</t>
  </si>
  <si>
    <t xml:space="preserve">After Bill 2, E[X'; $1,000,000] = </t>
  </si>
  <si>
    <t>After Bill 2, E[X'; $300,000] =</t>
  </si>
  <si>
    <t>(because the E[X; $100,000]'s cancel out.)</t>
  </si>
  <si>
    <t>Here we've detrended the limit before applying the inflationary trend</t>
  </si>
  <si>
    <t>New Limit</t>
  </si>
  <si>
    <t xml:space="preserve">Here, we've split $1,000,000 into $0 to $600,000 and $600,000+. </t>
  </si>
  <si>
    <t>We've detrended the lower layer before applying the inflationary trend.</t>
  </si>
  <si>
    <t>Impact of inflation on increased limits factors</t>
  </si>
  <si>
    <t>1st Moment</t>
  </si>
  <si>
    <t>2nd Moment</t>
  </si>
  <si>
    <t>Limited Severity</t>
  </si>
  <si>
    <t>An insurance company has determined its general liability claims are</t>
  </si>
  <si>
    <t>accurately modeled by a Poisson frequency distribution and a log-normal</t>
  </si>
  <si>
    <t>severity distribution have the following limited first and second moments.</t>
  </si>
  <si>
    <t>Mean of Poisson distribution</t>
  </si>
  <si>
    <t>Basic occurrence limits</t>
  </si>
  <si>
    <t>Pure Premium Risk Load for basic limit policies</t>
  </si>
  <si>
    <t>a.) Calculate the risk-adjusted increased limit factor for a policy having a</t>
  </si>
  <si>
    <t>$5,000,000 per-occurrence limit.</t>
  </si>
  <si>
    <t>Pure premium for basic limit risk</t>
  </si>
  <si>
    <t>• The insurance company uses the Miccolis Variance Approach to price</t>
  </si>
  <si>
    <t>its risk loads.</t>
  </si>
  <si>
    <t>Miccolis Variance Approach</t>
  </si>
  <si>
    <r>
      <t xml:space="preserve">Since we have a Poisson distribution we have Var(N) = E[N] so </t>
    </r>
    <r>
      <rPr>
        <sz val="11"/>
        <color theme="1"/>
        <rFont val="Calibri"/>
        <family val="2"/>
      </rPr>
      <t>δ = 0.</t>
    </r>
  </si>
  <si>
    <t>where</t>
  </si>
  <si>
    <t>Using the basic limit risk load we get</t>
  </si>
  <si>
    <t>Risk Load for $5,000,000 policy</t>
  </si>
  <si>
    <t>ILF for $5,000,000 policy</t>
  </si>
  <si>
    <r>
      <t xml:space="preserve">Risk-adjusted ILF(Limit) = (E[X; Limit] + </t>
    </r>
    <r>
      <rPr>
        <sz val="11"/>
        <color theme="1"/>
        <rFont val="Calibri"/>
        <family val="2"/>
      </rPr>
      <t>τ(Limit)) / (E[X; b] + τ</t>
    </r>
    <r>
      <rPr>
        <sz val="11"/>
        <color theme="1"/>
        <rFont val="Calibri"/>
        <family val="2"/>
        <scheme val="minor"/>
      </rPr>
      <t>(b))</t>
    </r>
  </si>
  <si>
    <r>
      <rPr>
        <sz val="11"/>
        <color theme="1"/>
        <rFont val="Calibri"/>
        <family val="2"/>
      </rPr>
      <t>τ(b)</t>
    </r>
    <r>
      <rPr>
        <sz val="11"/>
        <color theme="1"/>
        <rFont val="Calibri"/>
        <family val="2"/>
        <scheme val="minor"/>
      </rPr>
      <t>, Risk Load for basic limit risk</t>
    </r>
  </si>
  <si>
    <t>Calculate the risk-adjusted increase limit factor</t>
  </si>
  <si>
    <t>The following information is available for general liability</t>
  </si>
  <si>
    <r>
      <t>E[X</t>
    </r>
    <r>
      <rPr>
        <vertAlign val="super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>; L]</t>
    </r>
  </si>
  <si>
    <t>insurance policies:</t>
  </si>
  <si>
    <t>k</t>
  </si>
  <si>
    <t>E[N]</t>
  </si>
  <si>
    <t>a.) Calculate the difference between the risk-adjusted increased</t>
  </si>
  <si>
    <t>limit factor and the unadjusted increased limit factor for a policy</t>
  </si>
  <si>
    <t>with a limit of $2,000,000.</t>
  </si>
  <si>
    <t>Unadjusted ILF for $2,000,000</t>
  </si>
  <si>
    <t>• Claim counts follow a Poisson distribution</t>
  </si>
  <si>
    <t>• The company's risk load is k * Var(S) / E[N]</t>
  </si>
  <si>
    <t>k*Var(S) / E[N] =</t>
  </si>
  <si>
    <t>Risk-adjusted ILF for $2,000,000</t>
  </si>
  <si>
    <t>Difference between risk-adjusted and unadjusted ILF</t>
  </si>
  <si>
    <t>risk load at basic limit</t>
  </si>
  <si>
    <t>risk load at $2,000,000 policy limit</t>
  </si>
  <si>
    <t>Bahnemann2</t>
  </si>
  <si>
    <t>Bahnemann3</t>
  </si>
  <si>
    <t>Bahnemann4</t>
  </si>
  <si>
    <t>Bahnemann5</t>
  </si>
  <si>
    <t>Bahnemann6</t>
  </si>
  <si>
    <t>Bahnemann7</t>
  </si>
  <si>
    <t>Bahnemann8</t>
  </si>
  <si>
    <t>Bahnemann9</t>
  </si>
  <si>
    <t>Bahnemann10</t>
  </si>
  <si>
    <t>Bahnemann11</t>
  </si>
  <si>
    <t>Bahnemann12</t>
  </si>
  <si>
    <t>Bahnemann13</t>
  </si>
  <si>
    <t>Bahnemann14</t>
  </si>
  <si>
    <t>Bahnemann15</t>
  </si>
  <si>
    <t>Bahnemann16</t>
  </si>
  <si>
    <t>Bahnemann17</t>
  </si>
  <si>
    <t>Bahnemann18</t>
  </si>
  <si>
    <t>Bahnemann19</t>
  </si>
  <si>
    <t>Bahnemann20</t>
  </si>
  <si>
    <t>Bahnemann21</t>
  </si>
  <si>
    <t>Bahnemann22</t>
  </si>
  <si>
    <t>Bahnemann23</t>
  </si>
  <si>
    <t>Calculate excess ratios for undeveloped and developed losses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</si>
</sst>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">
    <numFmt numFmtId="6" formatCode="&quot;$&quot;#,##0_);[Red]\(&quot;$&quot;#,##0\)"/>
    <numFmt numFmtId="8" formatCode="&quot;$&quot;#,##0.00_);[Red]\(&quot;$&quot;#,##0.00\)"/>
    <numFmt numFmtId="164" formatCode="0.000"/>
    <numFmt numFmtId="165" formatCode="0.0%"/>
    <numFmt numFmtId="166" formatCode="0.0000"/>
    <numFmt numFmtId="167" formatCode="#,##0.000"/>
    <numFmt numFmtId="168" formatCode="0.0000000"/>
    <numFmt numFmtId="169" formatCode="0.0"/>
    <numFmt numFmtId="170" formatCode="&quot;$&quot;#,##0"/>
    <numFmt numFmtId="171" formatCode="0.00000"/>
    <numFmt numFmtId="172" formatCode="&quot;$&quot;#,##0.00"/>
    <numFmt numFmtId="173" formatCode="0.000000000"/>
    <numFmt numFmtId="174" formatCode="0.0000000000"/>
  </numFmts>
  <fonts count="1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i/>
      <sz val="11"/>
      <color rgb="FFFF0000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  <font>
      <sz val="11"/>
      <color theme="1"/>
      <name val="Calibri"/>
      <family val="2"/>
    </font>
    <font>
      <vertAlign val="subscript"/>
      <sz val="11"/>
      <color theme="1"/>
      <name val="Calibri"/>
      <family val="2"/>
    </font>
    <font>
      <b/>
      <i/>
      <sz val="11"/>
      <color theme="1"/>
      <name val="Calibri"/>
      <family val="2"/>
      <scheme val="minor"/>
    </font>
    <font>
      <b/>
      <i/>
      <sz val="11"/>
      <color theme="4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1"/>
      <color theme="1"/>
      <name val="Calibri"/>
      <family val="2"/>
    </font>
    <font>
      <b/>
      <vertAlign val="superscript"/>
      <sz val="11"/>
      <color theme="1"/>
      <name val="Calibri"/>
      <family val="2"/>
      <scheme val="minor"/>
    </font>
    <font>
      <vertAlign val="subscript"/>
      <sz val="11"/>
      <color theme="1"/>
      <name val="Calibri"/>
      <family val="2"/>
      <scheme val="minor"/>
    </font>
    <font>
      <sz val="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59999389629810485"/>
        <bgColor indexed="64"/>
      </patternFill>
    </fill>
  </fills>
  <borders count="2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4" fillId="0" borderId="0" applyNumberFormat="0" applyFill="0" applyBorder="0" applyAlignment="0" applyProtection="0"/>
    <xf numFmtId="9" fontId="7" fillId="0" borderId="0" applyFont="0" applyFill="0" applyBorder="0" applyAlignment="0" applyProtection="0"/>
  </cellStyleXfs>
  <cellXfs count="267">
    <xf numFmtId="0" fontId="0" fillId="0" borderId="0" xfId="0"/>
    <xf numFmtId="0" fontId="0" fillId="0" borderId="0" xfId="0" applyAlignment="1">
      <alignment horizontal="left"/>
    </xf>
    <xf numFmtId="0" fontId="2" fillId="0" borderId="0" xfId="0" applyFont="1" applyAlignment="1">
      <alignment horizontal="center"/>
    </xf>
    <xf numFmtId="0" fontId="1" fillId="0" borderId="1" xfId="0" applyFont="1" applyBorder="1" applyAlignment="1">
      <alignment horizontal="center"/>
    </xf>
    <xf numFmtId="0" fontId="4" fillId="0" borderId="0" xfId="1" applyFill="1" applyAlignment="1">
      <alignment horizontal="center"/>
    </xf>
    <xf numFmtId="0" fontId="0" fillId="0" borderId="0" xfId="0" applyAlignment="1">
      <alignment horizontal="center"/>
    </xf>
    <xf numFmtId="0" fontId="1" fillId="2" borderId="2" xfId="0" applyFont="1" applyFill="1" applyBorder="1" applyProtection="1">
      <protection locked="0"/>
    </xf>
    <xf numFmtId="0" fontId="0" fillId="2" borderId="3" xfId="0" applyFill="1" applyBorder="1" applyProtection="1">
      <protection locked="0"/>
    </xf>
    <xf numFmtId="0" fontId="5" fillId="2" borderId="3" xfId="0" applyFont="1" applyFill="1" applyBorder="1" applyProtection="1">
      <protection locked="0"/>
    </xf>
    <xf numFmtId="0" fontId="0" fillId="0" borderId="0" xfId="0" applyAlignment="1" applyProtection="1">
      <alignment horizontal="center"/>
      <protection locked="0"/>
    </xf>
    <xf numFmtId="0" fontId="6" fillId="0" borderId="0" xfId="0" applyFont="1" applyProtection="1">
      <protection locked="0"/>
    </xf>
    <xf numFmtId="0" fontId="1" fillId="2" borderId="5" xfId="0" applyFont="1" applyFill="1" applyBorder="1" applyProtection="1">
      <protection locked="0"/>
    </xf>
    <xf numFmtId="0" fontId="0" fillId="2" borderId="6" xfId="0" applyFill="1" applyBorder="1" applyProtection="1">
      <protection locked="0"/>
    </xf>
    <xf numFmtId="3" fontId="0" fillId="2" borderId="5" xfId="0" applyNumberFormat="1" applyFill="1" applyBorder="1" applyProtection="1">
      <protection locked="0"/>
    </xf>
    <xf numFmtId="3" fontId="0" fillId="2" borderId="6" xfId="0" applyNumberFormat="1" applyFill="1" applyBorder="1" applyProtection="1">
      <protection locked="0"/>
    </xf>
    <xf numFmtId="3" fontId="1" fillId="2" borderId="5" xfId="0" applyNumberFormat="1" applyFont="1" applyFill="1" applyBorder="1" applyProtection="1">
      <protection locked="0"/>
    </xf>
    <xf numFmtId="0" fontId="0" fillId="2" borderId="6" xfId="0" applyFill="1" applyBorder="1"/>
    <xf numFmtId="164" fontId="0" fillId="0" borderId="0" xfId="0" applyNumberFormat="1" applyAlignment="1">
      <alignment horizontal="center"/>
    </xf>
    <xf numFmtId="0" fontId="0" fillId="2" borderId="5" xfId="0" applyFill="1" applyBorder="1"/>
    <xf numFmtId="0" fontId="0" fillId="2" borderId="7" xfId="0" applyFill="1" applyBorder="1"/>
    <xf numFmtId="0" fontId="0" fillId="2" borderId="8" xfId="0" applyFill="1" applyBorder="1"/>
    <xf numFmtId="0" fontId="0" fillId="2" borderId="9" xfId="0" applyFill="1" applyBorder="1"/>
    <xf numFmtId="0" fontId="0" fillId="2" borderId="10" xfId="0" applyFill="1" applyBorder="1" applyAlignment="1">
      <alignment horizontal="center"/>
    </xf>
    <xf numFmtId="0" fontId="0" fillId="2" borderId="11" xfId="0" applyFill="1" applyBorder="1" applyAlignment="1">
      <alignment horizontal="center"/>
    </xf>
    <xf numFmtId="0" fontId="0" fillId="2" borderId="12" xfId="0" applyFill="1" applyBorder="1" applyAlignment="1">
      <alignment horizontal="center"/>
    </xf>
    <xf numFmtId="0" fontId="0" fillId="2" borderId="13" xfId="0" applyFill="1" applyBorder="1" applyAlignment="1">
      <alignment horizontal="center"/>
    </xf>
    <xf numFmtId="0" fontId="0" fillId="2" borderId="14" xfId="0" applyFill="1" applyBorder="1" applyAlignment="1">
      <alignment horizontal="center"/>
    </xf>
    <xf numFmtId="0" fontId="0" fillId="2" borderId="15" xfId="0" applyFill="1" applyBorder="1" applyAlignment="1">
      <alignment horizontal="center"/>
    </xf>
    <xf numFmtId="3" fontId="0" fillId="2" borderId="18" xfId="0" applyNumberFormat="1" applyFill="1" applyBorder="1" applyAlignment="1">
      <alignment horizontal="center"/>
    </xf>
    <xf numFmtId="3" fontId="0" fillId="2" borderId="15" xfId="0" applyNumberFormat="1" applyFill="1" applyBorder="1" applyAlignment="1">
      <alignment horizontal="center"/>
    </xf>
    <xf numFmtId="0" fontId="0" fillId="3" borderId="0" xfId="0" applyFill="1" applyAlignment="1">
      <alignment horizontal="center"/>
    </xf>
    <xf numFmtId="0" fontId="0" fillId="0" borderId="16" xfId="0" applyBorder="1" applyAlignment="1">
      <alignment horizontal="center"/>
    </xf>
    <xf numFmtId="0" fontId="0" fillId="0" borderId="17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8" xfId="0" applyBorder="1" applyAlignment="1">
      <alignment horizontal="center"/>
    </xf>
    <xf numFmtId="3" fontId="0" fillId="2" borderId="17" xfId="0" applyNumberFormat="1" applyFill="1" applyBorder="1" applyAlignment="1">
      <alignment horizontal="center"/>
    </xf>
    <xf numFmtId="3" fontId="0" fillId="2" borderId="13" xfId="0" applyNumberFormat="1" applyFill="1" applyBorder="1" applyAlignment="1">
      <alignment horizontal="center"/>
    </xf>
    <xf numFmtId="0" fontId="0" fillId="2" borderId="8" xfId="0" applyFill="1" applyBorder="1" applyProtection="1">
      <protection locked="0"/>
    </xf>
    <xf numFmtId="0" fontId="0" fillId="0" borderId="15" xfId="0" applyBorder="1" applyAlignment="1">
      <alignment horizontal="center"/>
    </xf>
    <xf numFmtId="6" fontId="0" fillId="0" borderId="0" xfId="0" applyNumberFormat="1"/>
    <xf numFmtId="3" fontId="0" fillId="0" borderId="0" xfId="0" applyNumberFormat="1"/>
    <xf numFmtId="3" fontId="0" fillId="0" borderId="17" xfId="0" applyNumberFormat="1" applyBorder="1" applyAlignment="1">
      <alignment horizontal="center"/>
    </xf>
    <xf numFmtId="3" fontId="0" fillId="0" borderId="13" xfId="0" applyNumberFormat="1" applyBorder="1" applyAlignment="1">
      <alignment horizontal="center"/>
    </xf>
    <xf numFmtId="3" fontId="0" fillId="0" borderId="18" xfId="0" applyNumberFormat="1" applyBorder="1" applyAlignment="1">
      <alignment horizontal="center"/>
    </xf>
    <xf numFmtId="3" fontId="0" fillId="0" borderId="15" xfId="0" applyNumberFormat="1" applyBorder="1" applyAlignment="1">
      <alignment horizontal="center"/>
    </xf>
    <xf numFmtId="0" fontId="0" fillId="2" borderId="0" xfId="0" applyFill="1" applyProtection="1">
      <protection locked="0"/>
    </xf>
    <xf numFmtId="3" fontId="0" fillId="2" borderId="0" xfId="0" applyNumberFormat="1" applyFill="1" applyProtection="1">
      <protection locked="0"/>
    </xf>
    <xf numFmtId="0" fontId="0" fillId="2" borderId="0" xfId="0" applyFill="1"/>
    <xf numFmtId="6" fontId="0" fillId="2" borderId="16" xfId="0" applyNumberFormat="1" applyFill="1" applyBorder="1" applyAlignment="1">
      <alignment horizontal="center"/>
    </xf>
    <xf numFmtId="6" fontId="0" fillId="2" borderId="12" xfId="0" applyNumberFormat="1" applyFill="1" applyBorder="1" applyAlignment="1">
      <alignment horizontal="center"/>
    </xf>
    <xf numFmtId="0" fontId="0" fillId="2" borderId="0" xfId="0" applyFill="1" applyAlignment="1">
      <alignment horizontal="left" indent="1"/>
    </xf>
    <xf numFmtId="165" fontId="0" fillId="3" borderId="0" xfId="2" applyNumberFormat="1" applyFont="1" applyFill="1" applyAlignment="1">
      <alignment horizontal="center"/>
    </xf>
    <xf numFmtId="0" fontId="1" fillId="2" borderId="5" xfId="0" applyFont="1" applyFill="1" applyBorder="1"/>
    <xf numFmtId="164" fontId="0" fillId="3" borderId="0" xfId="0" applyNumberFormat="1" applyFill="1" applyAlignment="1">
      <alignment horizontal="center"/>
    </xf>
    <xf numFmtId="0" fontId="0" fillId="0" borderId="10" xfId="0" applyBorder="1" applyAlignment="1">
      <alignment horizontal="centerContinuous"/>
    </xf>
    <xf numFmtId="0" fontId="0" fillId="0" borderId="11" xfId="0" applyBorder="1" applyAlignment="1">
      <alignment horizontal="centerContinuous"/>
    </xf>
    <xf numFmtId="0" fontId="0" fillId="0" borderId="12" xfId="0" applyBorder="1" applyAlignment="1">
      <alignment horizontal="centerContinuous"/>
    </xf>
    <xf numFmtId="0" fontId="0" fillId="0" borderId="13" xfId="0" applyBorder="1" applyAlignment="1">
      <alignment horizontal="centerContinuous"/>
    </xf>
    <xf numFmtId="3" fontId="0" fillId="0" borderId="11" xfId="0" applyNumberFormat="1" applyBorder="1" applyAlignment="1">
      <alignment horizontal="center"/>
    </xf>
    <xf numFmtId="9" fontId="0" fillId="0" borderId="18" xfId="0" applyNumberFormat="1" applyBorder="1" applyAlignment="1">
      <alignment horizontal="center"/>
    </xf>
    <xf numFmtId="9" fontId="0" fillId="0" borderId="15" xfId="0" applyNumberFormat="1" applyBorder="1" applyAlignment="1">
      <alignment horizontal="center"/>
    </xf>
    <xf numFmtId="164" fontId="0" fillId="4" borderId="0" xfId="0" applyNumberFormat="1" applyFill="1" applyAlignment="1">
      <alignment horizontal="center"/>
    </xf>
    <xf numFmtId="3" fontId="0" fillId="4" borderId="0" xfId="0" applyNumberFormat="1" applyFill="1"/>
    <xf numFmtId="10" fontId="0" fillId="3" borderId="0" xfId="2" applyNumberFormat="1" applyFont="1" applyFill="1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9" fontId="0" fillId="0" borderId="14" xfId="0" applyNumberFormat="1" applyBorder="1" applyAlignment="1">
      <alignment horizontal="center"/>
    </xf>
    <xf numFmtId="3" fontId="0" fillId="0" borderId="14" xfId="0" applyNumberFormat="1" applyBorder="1" applyAlignment="1">
      <alignment horizontal="center"/>
    </xf>
    <xf numFmtId="0" fontId="12" fillId="0" borderId="0" xfId="0" applyFont="1"/>
    <xf numFmtId="6" fontId="0" fillId="0" borderId="0" xfId="0" applyNumberFormat="1" applyAlignment="1">
      <alignment horizontal="center"/>
    </xf>
    <xf numFmtId="6" fontId="0" fillId="0" borderId="17" xfId="0" applyNumberFormat="1" applyBorder="1" applyAlignment="1">
      <alignment horizontal="center"/>
    </xf>
    <xf numFmtId="0" fontId="0" fillId="2" borderId="20" xfId="0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0" fillId="2" borderId="0" xfId="0" applyFill="1" applyAlignment="1">
      <alignment horizontal="center"/>
    </xf>
    <xf numFmtId="6" fontId="0" fillId="2" borderId="17" xfId="0" applyNumberFormat="1" applyFill="1" applyBorder="1" applyAlignment="1">
      <alignment horizontal="center"/>
    </xf>
    <xf numFmtId="0" fontId="0" fillId="2" borderId="18" xfId="0" applyFill="1" applyBorder="1" applyAlignment="1">
      <alignment horizontal="center"/>
    </xf>
    <xf numFmtId="0" fontId="0" fillId="2" borderId="17" xfId="0" applyFill="1" applyBorder="1" applyAlignment="1">
      <alignment horizontal="center"/>
    </xf>
    <xf numFmtId="0" fontId="0" fillId="2" borderId="21" xfId="0" applyFill="1" applyBorder="1" applyAlignment="1">
      <alignment horizontal="centerContinuous"/>
    </xf>
    <xf numFmtId="0" fontId="0" fillId="2" borderId="22" xfId="0" applyFill="1" applyBorder="1" applyAlignment="1">
      <alignment horizontal="centerContinuous"/>
    </xf>
    <xf numFmtId="0" fontId="0" fillId="2" borderId="23" xfId="0" applyFill="1" applyBorder="1" applyAlignment="1">
      <alignment horizontal="centerContinuous"/>
    </xf>
    <xf numFmtId="3" fontId="0" fillId="2" borderId="19" xfId="0" applyNumberFormat="1" applyFill="1" applyBorder="1" applyAlignment="1">
      <alignment horizontal="center"/>
    </xf>
    <xf numFmtId="6" fontId="0" fillId="2" borderId="23" xfId="0" applyNumberFormat="1" applyFill="1" applyBorder="1" applyAlignment="1">
      <alignment horizontal="center"/>
    </xf>
    <xf numFmtId="0" fontId="0" fillId="2" borderId="0" xfId="0" applyFill="1" applyAlignment="1">
      <alignment horizontal="centerContinuous"/>
    </xf>
    <xf numFmtId="166" fontId="0" fillId="0" borderId="0" xfId="0" applyNumberFormat="1" applyAlignment="1">
      <alignment horizontal="center"/>
    </xf>
    <xf numFmtId="6" fontId="0" fillId="0" borderId="1" xfId="0" applyNumberFormat="1" applyBorder="1" applyAlignment="1">
      <alignment horizontal="center"/>
    </xf>
    <xf numFmtId="166" fontId="0" fillId="0" borderId="1" xfId="0" applyNumberFormat="1" applyBorder="1" applyAlignment="1">
      <alignment horizontal="center"/>
    </xf>
    <xf numFmtId="0" fontId="0" fillId="0" borderId="21" xfId="0" applyBorder="1" applyAlignment="1">
      <alignment horizontal="center"/>
    </xf>
    <xf numFmtId="0" fontId="0" fillId="0" borderId="22" xfId="0" applyBorder="1" applyAlignment="1">
      <alignment horizontal="center"/>
    </xf>
    <xf numFmtId="0" fontId="0" fillId="0" borderId="23" xfId="0" applyBorder="1" applyAlignment="1">
      <alignment horizontal="center"/>
    </xf>
    <xf numFmtId="0" fontId="0" fillId="0" borderId="19" xfId="0" applyBorder="1" applyAlignment="1">
      <alignment horizontal="center"/>
    </xf>
    <xf numFmtId="6" fontId="0" fillId="0" borderId="18" xfId="0" applyNumberFormat="1" applyBorder="1" applyAlignment="1">
      <alignment horizontal="center"/>
    </xf>
    <xf numFmtId="6" fontId="0" fillId="0" borderId="15" xfId="0" applyNumberFormat="1" applyBorder="1" applyAlignment="1">
      <alignment horizontal="center"/>
    </xf>
    <xf numFmtId="0" fontId="0" fillId="0" borderId="0" xfId="0" applyProtection="1">
      <protection locked="0"/>
    </xf>
    <xf numFmtId="3" fontId="0" fillId="0" borderId="0" xfId="0" applyNumberFormat="1" applyAlignment="1" applyProtection="1">
      <alignment horizontal="left"/>
      <protection locked="0"/>
    </xf>
    <xf numFmtId="3" fontId="0" fillId="3" borderId="0" xfId="0" applyNumberFormat="1" applyFill="1" applyAlignment="1" applyProtection="1">
      <alignment horizontal="center"/>
      <protection locked="0"/>
    </xf>
    <xf numFmtId="0" fontId="1" fillId="2" borderId="19" xfId="0" applyFont="1" applyFill="1" applyBorder="1" applyAlignment="1">
      <alignment horizontal="center"/>
    </xf>
    <xf numFmtId="0" fontId="0" fillId="2" borderId="19" xfId="0" applyFill="1" applyBorder="1" applyAlignment="1">
      <alignment horizontal="center"/>
    </xf>
    <xf numFmtId="0" fontId="0" fillId="0" borderId="0" xfId="0" applyAlignment="1" applyProtection="1">
      <alignment horizontal="left"/>
      <protection locked="0"/>
    </xf>
    <xf numFmtId="4" fontId="0" fillId="0" borderId="0" xfId="0" applyNumberFormat="1" applyAlignment="1" applyProtection="1">
      <alignment horizontal="left"/>
      <protection locked="0"/>
    </xf>
    <xf numFmtId="10" fontId="0" fillId="3" borderId="0" xfId="2" applyNumberFormat="1" applyFont="1" applyFill="1" applyAlignment="1" applyProtection="1">
      <alignment horizontal="center"/>
      <protection locked="0"/>
    </xf>
    <xf numFmtId="4" fontId="0" fillId="4" borderId="0" xfId="0" applyNumberFormat="1" applyFill="1" applyProtection="1">
      <protection locked="0"/>
    </xf>
    <xf numFmtId="10" fontId="0" fillId="4" borderId="0" xfId="2" applyNumberFormat="1" applyFont="1" applyFill="1" applyAlignment="1" applyProtection="1">
      <alignment horizontal="center"/>
      <protection locked="0"/>
    </xf>
    <xf numFmtId="10" fontId="0" fillId="3" borderId="0" xfId="0" applyNumberFormat="1" applyFill="1" applyAlignment="1" applyProtection="1">
      <alignment horizontal="center"/>
      <protection locked="0"/>
    </xf>
    <xf numFmtId="167" fontId="0" fillId="4" borderId="0" xfId="0" applyNumberFormat="1" applyFill="1" applyAlignment="1" applyProtection="1">
      <alignment horizontal="left"/>
      <protection locked="0"/>
    </xf>
    <xf numFmtId="0" fontId="0" fillId="4" borderId="0" xfId="0" applyFill="1" applyAlignment="1" applyProtection="1">
      <alignment horizontal="left"/>
      <protection locked="0"/>
    </xf>
    <xf numFmtId="3" fontId="0" fillId="2" borderId="10" xfId="0" applyNumberFormat="1" applyFill="1" applyBorder="1" applyAlignment="1">
      <alignment horizontal="center"/>
    </xf>
    <xf numFmtId="3" fontId="0" fillId="2" borderId="11" xfId="0" applyNumberFormat="1" applyFill="1" applyBorder="1" applyAlignment="1">
      <alignment horizontal="center"/>
    </xf>
    <xf numFmtId="3" fontId="0" fillId="2" borderId="16" xfId="0" applyNumberFormat="1" applyFill="1" applyBorder="1" applyAlignment="1">
      <alignment horizontal="center"/>
    </xf>
    <xf numFmtId="3" fontId="0" fillId="2" borderId="12" xfId="0" applyNumberFormat="1" applyFill="1" applyBorder="1" applyAlignment="1">
      <alignment horizontal="center"/>
    </xf>
    <xf numFmtId="4" fontId="0" fillId="0" borderId="0" xfId="0" applyNumberFormat="1" applyProtection="1">
      <protection locked="0"/>
    </xf>
    <xf numFmtId="0" fontId="0" fillId="3" borderId="0" xfId="0" applyFill="1" applyAlignment="1" applyProtection="1">
      <alignment horizontal="left"/>
      <protection locked="0"/>
    </xf>
    <xf numFmtId="0" fontId="11" fillId="2" borderId="19" xfId="0" applyFont="1" applyFill="1" applyBorder="1" applyAlignment="1">
      <alignment horizontal="center"/>
    </xf>
    <xf numFmtId="2" fontId="0" fillId="2" borderId="19" xfId="0" applyNumberFormat="1" applyFill="1" applyBorder="1" applyAlignment="1">
      <alignment horizontal="center"/>
    </xf>
    <xf numFmtId="6" fontId="0" fillId="2" borderId="19" xfId="0" applyNumberFormat="1" applyFill="1" applyBorder="1" applyAlignment="1">
      <alignment horizontal="center"/>
    </xf>
    <xf numFmtId="3" fontId="0" fillId="2" borderId="0" xfId="0" applyNumberFormat="1" applyFill="1" applyAlignment="1">
      <alignment horizontal="center"/>
    </xf>
    <xf numFmtId="168" fontId="0" fillId="2" borderId="8" xfId="0" applyNumberFormat="1" applyFill="1" applyBorder="1" applyAlignment="1">
      <alignment horizontal="center"/>
    </xf>
    <xf numFmtId="0" fontId="0" fillId="2" borderId="8" xfId="0" applyFill="1" applyBorder="1" applyAlignment="1">
      <alignment horizontal="center"/>
    </xf>
    <xf numFmtId="0" fontId="0" fillId="2" borderId="10" xfId="0" applyFill="1" applyBorder="1" applyAlignment="1">
      <alignment horizontal="centerContinuous"/>
    </xf>
    <xf numFmtId="0" fontId="0" fillId="2" borderId="20" xfId="0" applyFill="1" applyBorder="1" applyAlignment="1">
      <alignment horizontal="centerContinuous"/>
    </xf>
    <xf numFmtId="0" fontId="0" fillId="2" borderId="20" xfId="0" applyFill="1" applyBorder="1"/>
    <xf numFmtId="0" fontId="0" fillId="2" borderId="11" xfId="0" applyFill="1" applyBorder="1"/>
    <xf numFmtId="0" fontId="0" fillId="2" borderId="16" xfId="0" applyFill="1" applyBorder="1" applyAlignment="1">
      <alignment horizontal="centerContinuous"/>
    </xf>
    <xf numFmtId="0" fontId="0" fillId="2" borderId="17" xfId="0" applyFill="1" applyBorder="1"/>
    <xf numFmtId="0" fontId="0" fillId="2" borderId="12" xfId="0" applyFill="1" applyBorder="1" applyAlignment="1">
      <alignment horizontal="centerContinuous"/>
    </xf>
    <xf numFmtId="0" fontId="0" fillId="2" borderId="1" xfId="0" applyFill="1" applyBorder="1" applyAlignment="1">
      <alignment horizontal="centerContinuous"/>
    </xf>
    <xf numFmtId="0" fontId="0" fillId="2" borderId="1" xfId="0" applyFill="1" applyBorder="1"/>
    <xf numFmtId="0" fontId="0" fillId="2" borderId="13" xfId="0" applyFill="1" applyBorder="1"/>
    <xf numFmtId="9" fontId="0" fillId="2" borderId="14" xfId="0" applyNumberFormat="1" applyFill="1" applyBorder="1" applyAlignment="1">
      <alignment horizontal="center"/>
    </xf>
    <xf numFmtId="9" fontId="0" fillId="2" borderId="18" xfId="0" applyNumberFormat="1" applyFill="1" applyBorder="1" applyAlignment="1">
      <alignment horizontal="center"/>
    </xf>
    <xf numFmtId="9" fontId="0" fillId="2" borderId="15" xfId="0" applyNumberFormat="1" applyFill="1" applyBorder="1" applyAlignment="1">
      <alignment horizontal="center"/>
    </xf>
    <xf numFmtId="0" fontId="1" fillId="0" borderId="19" xfId="0" applyFont="1" applyBorder="1" applyAlignment="1" applyProtection="1">
      <alignment horizontal="center"/>
      <protection locked="0"/>
    </xf>
    <xf numFmtId="6" fontId="0" fillId="0" borderId="19" xfId="0" applyNumberFormat="1" applyBorder="1" applyAlignment="1" applyProtection="1">
      <alignment horizontal="center"/>
      <protection locked="0"/>
    </xf>
    <xf numFmtId="2" fontId="0" fillId="0" borderId="19" xfId="0" applyNumberFormat="1" applyBorder="1" applyAlignment="1" applyProtection="1">
      <alignment horizontal="center"/>
      <protection locked="0"/>
    </xf>
    <xf numFmtId="6" fontId="0" fillId="0" borderId="0" xfId="0" applyNumberFormat="1" applyAlignment="1" applyProtection="1">
      <alignment horizontal="center"/>
      <protection locked="0"/>
    </xf>
    <xf numFmtId="2" fontId="0" fillId="0" borderId="0" xfId="0" applyNumberFormat="1" applyProtection="1">
      <protection locked="0"/>
    </xf>
    <xf numFmtId="0" fontId="0" fillId="0" borderId="19" xfId="0" applyBorder="1" applyAlignment="1" applyProtection="1">
      <alignment horizontal="center"/>
      <protection locked="0"/>
    </xf>
    <xf numFmtId="0" fontId="9" fillId="0" borderId="0" xfId="0" applyFont="1" applyProtection="1">
      <protection locked="0"/>
    </xf>
    <xf numFmtId="3" fontId="0" fillId="3" borderId="0" xfId="0" applyNumberFormat="1" applyFill="1" applyAlignment="1" applyProtection="1">
      <alignment horizontal="left"/>
      <protection locked="0"/>
    </xf>
    <xf numFmtId="6" fontId="0" fillId="0" borderId="16" xfId="0" applyNumberFormat="1" applyBorder="1" applyAlignment="1" applyProtection="1">
      <alignment horizontal="center"/>
      <protection locked="0"/>
    </xf>
    <xf numFmtId="2" fontId="0" fillId="0" borderId="17" xfId="0" applyNumberFormat="1" applyBorder="1" applyAlignment="1" applyProtection="1">
      <alignment horizontal="center"/>
      <protection locked="0"/>
    </xf>
    <xf numFmtId="6" fontId="0" fillId="0" borderId="12" xfId="0" applyNumberFormat="1" applyBorder="1" applyAlignment="1" applyProtection="1">
      <alignment horizontal="center"/>
      <protection locked="0"/>
    </xf>
    <xf numFmtId="2" fontId="0" fillId="0" borderId="13" xfId="0" applyNumberFormat="1" applyBorder="1" applyAlignment="1" applyProtection="1">
      <alignment horizontal="center"/>
      <protection locked="0"/>
    </xf>
    <xf numFmtId="0" fontId="1" fillId="0" borderId="23" xfId="0" applyFont="1" applyBorder="1" applyAlignment="1" applyProtection="1">
      <alignment horizontal="center"/>
      <protection locked="0"/>
    </xf>
    <xf numFmtId="6" fontId="0" fillId="0" borderId="18" xfId="0" applyNumberFormat="1" applyBorder="1" applyAlignment="1" applyProtection="1">
      <alignment horizontal="center"/>
      <protection locked="0"/>
    </xf>
    <xf numFmtId="6" fontId="0" fillId="0" borderId="15" xfId="0" applyNumberFormat="1" applyBorder="1" applyAlignment="1" applyProtection="1">
      <alignment horizontal="center"/>
      <protection locked="0"/>
    </xf>
    <xf numFmtId="0" fontId="0" fillId="0" borderId="21" xfId="0" applyBorder="1" applyAlignment="1" applyProtection="1">
      <alignment horizontal="center"/>
      <protection locked="0"/>
    </xf>
    <xf numFmtId="0" fontId="0" fillId="0" borderId="22" xfId="0" applyBorder="1" applyAlignment="1" applyProtection="1">
      <alignment horizontal="center"/>
      <protection locked="0"/>
    </xf>
    <xf numFmtId="0" fontId="0" fillId="0" borderId="23" xfId="0" applyBorder="1" applyAlignment="1" applyProtection="1">
      <alignment horizontal="center"/>
      <protection locked="0"/>
    </xf>
    <xf numFmtId="6" fontId="0" fillId="0" borderId="10" xfId="0" applyNumberFormat="1" applyBorder="1" applyAlignment="1" applyProtection="1">
      <alignment horizontal="center"/>
      <protection locked="0"/>
    </xf>
    <xf numFmtId="6" fontId="0" fillId="0" borderId="20" xfId="0" applyNumberFormat="1" applyBorder="1" applyAlignment="1" applyProtection="1">
      <alignment horizontal="center"/>
      <protection locked="0"/>
    </xf>
    <xf numFmtId="6" fontId="0" fillId="0" borderId="11" xfId="0" applyNumberFormat="1" applyBorder="1" applyAlignment="1" applyProtection="1">
      <alignment horizontal="center"/>
      <protection locked="0"/>
    </xf>
    <xf numFmtId="6" fontId="0" fillId="0" borderId="17" xfId="0" applyNumberFormat="1" applyBorder="1" applyAlignment="1" applyProtection="1">
      <alignment horizontal="center"/>
      <protection locked="0"/>
    </xf>
    <xf numFmtId="6" fontId="0" fillId="0" borderId="1" xfId="0" applyNumberFormat="1" applyBorder="1" applyAlignment="1" applyProtection="1">
      <alignment horizontal="center"/>
      <protection locked="0"/>
    </xf>
    <xf numFmtId="6" fontId="0" fillId="0" borderId="13" xfId="0" applyNumberFormat="1" applyBorder="1" applyAlignment="1" applyProtection="1">
      <alignment horizontal="center"/>
      <protection locked="0"/>
    </xf>
    <xf numFmtId="166" fontId="0" fillId="0" borderId="10" xfId="0" applyNumberFormat="1" applyBorder="1" applyAlignment="1" applyProtection="1">
      <alignment horizontal="center"/>
      <protection locked="0"/>
    </xf>
    <xf numFmtId="0" fontId="0" fillId="0" borderId="11" xfId="0" applyBorder="1" applyAlignment="1" applyProtection="1">
      <alignment horizontal="center"/>
      <protection locked="0"/>
    </xf>
    <xf numFmtId="0" fontId="0" fillId="0" borderId="16" xfId="0" applyBorder="1" applyAlignment="1" applyProtection="1">
      <alignment horizontal="center"/>
      <protection locked="0"/>
    </xf>
    <xf numFmtId="0" fontId="0" fillId="0" borderId="17" xfId="0" applyBorder="1" applyAlignment="1" applyProtection="1">
      <alignment horizontal="center"/>
      <protection locked="0"/>
    </xf>
    <xf numFmtId="0" fontId="0" fillId="0" borderId="12" xfId="0" applyBorder="1" applyAlignment="1" applyProtection="1">
      <alignment horizontal="center"/>
      <protection locked="0"/>
    </xf>
    <xf numFmtId="0" fontId="0" fillId="0" borderId="13" xfId="0" applyBorder="1" applyAlignment="1" applyProtection="1">
      <alignment horizontal="center"/>
      <protection locked="0"/>
    </xf>
    <xf numFmtId="4" fontId="0" fillId="3" borderId="0" xfId="0" applyNumberFormat="1" applyFill="1" applyAlignment="1" applyProtection="1">
      <alignment horizontal="left"/>
      <protection locked="0"/>
    </xf>
    <xf numFmtId="4" fontId="0" fillId="3" borderId="0" xfId="0" applyNumberFormat="1" applyFill="1" applyAlignment="1" applyProtection="1">
      <alignment horizontal="center"/>
      <protection locked="0"/>
    </xf>
    <xf numFmtId="0" fontId="0" fillId="3" borderId="0" xfId="0" applyFill="1" applyProtection="1">
      <protection locked="0"/>
    </xf>
    <xf numFmtId="6" fontId="0" fillId="0" borderId="14" xfId="0" applyNumberFormat="1" applyBorder="1" applyAlignment="1" applyProtection="1">
      <alignment horizontal="center"/>
      <protection locked="0"/>
    </xf>
    <xf numFmtId="6" fontId="0" fillId="0" borderId="23" xfId="0" applyNumberFormat="1" applyBorder="1" applyAlignment="1" applyProtection="1">
      <alignment horizontal="center"/>
      <protection locked="0"/>
    </xf>
    <xf numFmtId="164" fontId="0" fillId="3" borderId="0" xfId="0" applyNumberFormat="1" applyFill="1" applyAlignment="1" applyProtection="1">
      <alignment horizontal="center"/>
      <protection locked="0"/>
    </xf>
    <xf numFmtId="0" fontId="15" fillId="2" borderId="19" xfId="0" applyFont="1" applyFill="1" applyBorder="1" applyAlignment="1">
      <alignment horizontal="center"/>
    </xf>
    <xf numFmtId="10" fontId="0" fillId="2" borderId="19" xfId="0" applyNumberFormat="1" applyFill="1" applyBorder="1" applyAlignment="1">
      <alignment horizontal="center"/>
    </xf>
    <xf numFmtId="0" fontId="1" fillId="2" borderId="0" xfId="0" applyFont="1" applyFill="1" applyAlignment="1">
      <alignment horizontal="center"/>
    </xf>
    <xf numFmtId="6" fontId="1" fillId="2" borderId="0" xfId="0" applyNumberFormat="1" applyFont="1" applyFill="1" applyAlignment="1">
      <alignment horizontal="center"/>
    </xf>
    <xf numFmtId="38" fontId="1" fillId="2" borderId="0" xfId="0" applyNumberFormat="1" applyFont="1" applyFill="1" applyAlignment="1">
      <alignment horizontal="center"/>
    </xf>
    <xf numFmtId="0" fontId="14" fillId="2" borderId="0" xfId="0" applyFont="1" applyFill="1"/>
    <xf numFmtId="165" fontId="0" fillId="3" borderId="0" xfId="2" applyNumberFormat="1" applyFont="1" applyFill="1" applyAlignment="1" applyProtection="1">
      <alignment horizontal="center"/>
      <protection locked="0"/>
    </xf>
    <xf numFmtId="165" fontId="0" fillId="0" borderId="0" xfId="2" applyNumberFormat="1" applyFont="1" applyAlignment="1" applyProtection="1">
      <alignment horizontal="center"/>
      <protection locked="0"/>
    </xf>
    <xf numFmtId="0" fontId="0" fillId="3" borderId="0" xfId="0" applyFill="1"/>
    <xf numFmtId="0" fontId="0" fillId="2" borderId="16" xfId="0" applyFill="1" applyBorder="1" applyAlignment="1">
      <alignment horizontal="center"/>
    </xf>
    <xf numFmtId="6" fontId="0" fillId="2" borderId="13" xfId="0" applyNumberFormat="1" applyFill="1" applyBorder="1" applyAlignment="1">
      <alignment horizontal="center"/>
    </xf>
    <xf numFmtId="0" fontId="1" fillId="2" borderId="7" xfId="0" applyFont="1" applyFill="1" applyBorder="1"/>
    <xf numFmtId="6" fontId="0" fillId="0" borderId="23" xfId="0" applyNumberFormat="1" applyBorder="1" applyAlignment="1">
      <alignment horizontal="center"/>
    </xf>
    <xf numFmtId="3" fontId="0" fillId="0" borderId="0" xfId="0" applyNumberFormat="1" applyAlignment="1">
      <alignment horizontal="center"/>
    </xf>
    <xf numFmtId="165" fontId="0" fillId="0" borderId="0" xfId="0" applyNumberFormat="1" applyAlignment="1">
      <alignment horizontal="center"/>
    </xf>
    <xf numFmtId="165" fontId="0" fillId="2" borderId="18" xfId="0" applyNumberFormat="1" applyFill="1" applyBorder="1" applyAlignment="1">
      <alignment horizontal="center"/>
    </xf>
    <xf numFmtId="165" fontId="0" fillId="2" borderId="15" xfId="0" applyNumberFormat="1" applyFill="1" applyBorder="1" applyAlignment="1">
      <alignment horizontal="center"/>
    </xf>
    <xf numFmtId="0" fontId="0" fillId="2" borderId="8" xfId="0" applyFill="1" applyBorder="1" applyAlignment="1">
      <alignment horizontal="left" indent="2"/>
    </xf>
    <xf numFmtId="165" fontId="0" fillId="0" borderId="0" xfId="2" applyNumberFormat="1" applyFont="1" applyAlignment="1">
      <alignment horizontal="center"/>
    </xf>
    <xf numFmtId="169" fontId="0" fillId="0" borderId="0" xfId="0" applyNumberFormat="1"/>
    <xf numFmtId="169" fontId="0" fillId="3" borderId="0" xfId="0" applyNumberFormat="1" applyFill="1" applyAlignment="1">
      <alignment horizontal="center"/>
    </xf>
    <xf numFmtId="8" fontId="0" fillId="0" borderId="0" xfId="0" applyNumberFormat="1"/>
    <xf numFmtId="6" fontId="0" fillId="3" borderId="0" xfId="0" applyNumberFormat="1" applyFill="1" applyAlignment="1">
      <alignment horizontal="center"/>
    </xf>
    <xf numFmtId="0" fontId="0" fillId="0" borderId="0" xfId="0" applyAlignment="1">
      <alignment horizontal="right"/>
    </xf>
    <xf numFmtId="6" fontId="0" fillId="2" borderId="0" xfId="0" applyNumberFormat="1" applyFill="1" applyAlignment="1">
      <alignment horizontal="center"/>
    </xf>
    <xf numFmtId="0" fontId="0" fillId="2" borderId="21" xfId="0" applyFill="1" applyBorder="1" applyAlignment="1">
      <alignment horizontal="center"/>
    </xf>
    <xf numFmtId="0" fontId="0" fillId="2" borderId="23" xfId="0" applyFill="1" applyBorder="1" applyAlignment="1">
      <alignment horizontal="center"/>
    </xf>
    <xf numFmtId="6" fontId="0" fillId="2" borderId="18" xfId="0" applyNumberFormat="1" applyFill="1" applyBorder="1" applyAlignment="1">
      <alignment horizontal="center"/>
    </xf>
    <xf numFmtId="6" fontId="0" fillId="2" borderId="15" xfId="0" applyNumberFormat="1" applyFill="1" applyBorder="1" applyAlignment="1">
      <alignment horizontal="center"/>
    </xf>
    <xf numFmtId="170" fontId="0" fillId="0" borderId="0" xfId="0" applyNumberFormat="1"/>
    <xf numFmtId="10" fontId="0" fillId="4" borderId="0" xfId="2" applyNumberFormat="1" applyFont="1" applyFill="1" applyAlignment="1">
      <alignment horizontal="center"/>
    </xf>
    <xf numFmtId="6" fontId="0" fillId="0" borderId="16" xfId="0" applyNumberFormat="1" applyBorder="1" applyAlignment="1">
      <alignment horizontal="center"/>
    </xf>
    <xf numFmtId="6" fontId="0" fillId="0" borderId="12" xfId="0" applyNumberFormat="1" applyBorder="1" applyAlignment="1">
      <alignment horizontal="center"/>
    </xf>
    <xf numFmtId="6" fontId="0" fillId="0" borderId="13" xfId="0" applyNumberFormat="1" applyBorder="1" applyAlignment="1">
      <alignment horizontal="center"/>
    </xf>
    <xf numFmtId="0" fontId="9" fillId="0" borderId="0" xfId="0" applyFont="1"/>
    <xf numFmtId="9" fontId="0" fillId="2" borderId="0" xfId="0" applyNumberFormat="1" applyFill="1" applyAlignment="1">
      <alignment horizontal="center"/>
    </xf>
    <xf numFmtId="2" fontId="0" fillId="2" borderId="0" xfId="0" applyNumberFormat="1" applyFill="1" applyAlignment="1">
      <alignment horizontal="center"/>
    </xf>
    <xf numFmtId="6" fontId="0" fillId="2" borderId="14" xfId="0" applyNumberFormat="1" applyFill="1" applyBorder="1" applyAlignment="1">
      <alignment horizontal="center"/>
    </xf>
    <xf numFmtId="2" fontId="0" fillId="2" borderId="10" xfId="0" applyNumberFormat="1" applyFill="1" applyBorder="1" applyAlignment="1">
      <alignment horizontal="center"/>
    </xf>
    <xf numFmtId="2" fontId="0" fillId="2" borderId="20" xfId="0" applyNumberFormat="1" applyFill="1" applyBorder="1" applyAlignment="1">
      <alignment horizontal="center"/>
    </xf>
    <xf numFmtId="2" fontId="0" fillId="2" borderId="11" xfId="0" applyNumberFormat="1" applyFill="1" applyBorder="1" applyAlignment="1">
      <alignment horizontal="center"/>
    </xf>
    <xf numFmtId="2" fontId="0" fillId="2" borderId="16" xfId="0" applyNumberFormat="1" applyFill="1" applyBorder="1" applyAlignment="1">
      <alignment horizontal="center"/>
    </xf>
    <xf numFmtId="2" fontId="0" fillId="2" borderId="17" xfId="0" applyNumberFormat="1" applyFill="1" applyBorder="1" applyAlignment="1">
      <alignment horizontal="center"/>
    </xf>
    <xf numFmtId="2" fontId="0" fillId="2" borderId="12" xfId="0" applyNumberFormat="1" applyFill="1" applyBorder="1" applyAlignment="1">
      <alignment horizontal="center"/>
    </xf>
    <xf numFmtId="2" fontId="0" fillId="2" borderId="1" xfId="0" applyNumberFormat="1" applyFill="1" applyBorder="1" applyAlignment="1">
      <alignment horizontal="center"/>
    </xf>
    <xf numFmtId="2" fontId="0" fillId="2" borderId="13" xfId="0" applyNumberFormat="1" applyFill="1" applyBorder="1" applyAlignment="1">
      <alignment horizontal="center"/>
    </xf>
    <xf numFmtId="0" fontId="0" fillId="2" borderId="11" xfId="0" applyFill="1" applyBorder="1" applyAlignment="1">
      <alignment horizontal="centerContinuous"/>
    </xf>
    <xf numFmtId="6" fontId="0" fillId="2" borderId="1" xfId="0" applyNumberFormat="1" applyFill="1" applyBorder="1" applyAlignment="1">
      <alignment horizontal="center"/>
    </xf>
    <xf numFmtId="166" fontId="0" fillId="3" borderId="0" xfId="0" applyNumberFormat="1" applyFill="1" applyAlignment="1">
      <alignment horizontal="center"/>
    </xf>
    <xf numFmtId="0" fontId="9" fillId="3" borderId="0" xfId="0" applyFont="1" applyFill="1" applyAlignment="1">
      <alignment horizontal="center"/>
    </xf>
    <xf numFmtId="0" fontId="1" fillId="2" borderId="21" xfId="0" applyFont="1" applyFill="1" applyBorder="1" applyAlignment="1">
      <alignment horizontal="centerContinuous"/>
    </xf>
    <xf numFmtId="6" fontId="1" fillId="2" borderId="19" xfId="0" applyNumberFormat="1" applyFont="1" applyFill="1" applyBorder="1" applyAlignment="1">
      <alignment horizontal="center"/>
    </xf>
    <xf numFmtId="6" fontId="0" fillId="0" borderId="0" xfId="0" applyNumberFormat="1" applyProtection="1">
      <protection locked="0"/>
    </xf>
    <xf numFmtId="164" fontId="0" fillId="0" borderId="0" xfId="0" applyNumberFormat="1" applyAlignment="1" applyProtection="1">
      <alignment horizontal="center"/>
      <protection locked="0"/>
    </xf>
    <xf numFmtId="0" fontId="1" fillId="0" borderId="0" xfId="0" applyFont="1" applyProtection="1">
      <protection locked="0"/>
    </xf>
    <xf numFmtId="164" fontId="0" fillId="4" borderId="0" xfId="0" applyNumberFormat="1" applyFill="1" applyAlignment="1" applyProtection="1">
      <alignment horizontal="center"/>
      <protection locked="0"/>
    </xf>
    <xf numFmtId="172" fontId="0" fillId="4" borderId="0" xfId="0" applyNumberFormat="1" applyFill="1" applyAlignment="1" applyProtection="1">
      <alignment horizontal="center"/>
      <protection locked="0"/>
    </xf>
    <xf numFmtId="0" fontId="0" fillId="2" borderId="10" xfId="0" applyFill="1" applyBorder="1"/>
    <xf numFmtId="0" fontId="0" fillId="2" borderId="16" xfId="0" applyFill="1" applyBorder="1"/>
    <xf numFmtId="0" fontId="0" fillId="2" borderId="12" xfId="0" applyFill="1" applyBorder="1"/>
    <xf numFmtId="8" fontId="0" fillId="3" borderId="0" xfId="0" applyNumberFormat="1" applyFill="1"/>
    <xf numFmtId="9" fontId="0" fillId="2" borderId="17" xfId="0" applyNumberFormat="1" applyFill="1" applyBorder="1" applyAlignment="1">
      <alignment horizontal="center"/>
    </xf>
    <xf numFmtId="9" fontId="0" fillId="2" borderId="13" xfId="0" applyNumberFormat="1" applyFill="1" applyBorder="1" applyAlignment="1">
      <alignment horizontal="center"/>
    </xf>
    <xf numFmtId="164" fontId="0" fillId="0" borderId="0" xfId="0" applyNumberFormat="1"/>
    <xf numFmtId="2" fontId="0" fillId="0" borderId="0" xfId="0" applyNumberFormat="1" applyAlignment="1">
      <alignment horizontal="center"/>
    </xf>
    <xf numFmtId="0" fontId="8" fillId="2" borderId="0" xfId="0" applyFont="1" applyFill="1" applyAlignment="1">
      <alignment horizontal="centerContinuous"/>
    </xf>
    <xf numFmtId="170" fontId="0" fillId="2" borderId="18" xfId="0" applyNumberFormat="1" applyFill="1" applyBorder="1" applyAlignment="1">
      <alignment horizontal="center"/>
    </xf>
    <xf numFmtId="170" fontId="0" fillId="2" borderId="15" xfId="0" applyNumberFormat="1" applyFill="1" applyBorder="1" applyAlignment="1">
      <alignment horizontal="center"/>
    </xf>
    <xf numFmtId="164" fontId="0" fillId="2" borderId="17" xfId="0" applyNumberFormat="1" applyFill="1" applyBorder="1" applyAlignment="1">
      <alignment horizontal="center"/>
    </xf>
    <xf numFmtId="164" fontId="0" fillId="2" borderId="13" xfId="0" applyNumberFormat="1" applyFill="1" applyBorder="1" applyAlignment="1">
      <alignment horizontal="center"/>
    </xf>
    <xf numFmtId="3" fontId="0" fillId="0" borderId="16" xfId="0" applyNumberFormat="1" applyBorder="1" applyAlignment="1">
      <alignment horizontal="center"/>
    </xf>
    <xf numFmtId="164" fontId="0" fillId="0" borderId="17" xfId="0" applyNumberFormat="1" applyBorder="1" applyAlignment="1">
      <alignment horizontal="center"/>
    </xf>
    <xf numFmtId="3" fontId="0" fillId="0" borderId="12" xfId="0" applyNumberFormat="1" applyBorder="1" applyAlignment="1">
      <alignment horizontal="center"/>
    </xf>
    <xf numFmtId="164" fontId="0" fillId="0" borderId="13" xfId="0" applyNumberFormat="1" applyBorder="1" applyAlignment="1">
      <alignment horizontal="center"/>
    </xf>
    <xf numFmtId="9" fontId="0" fillId="2" borderId="0" xfId="0" applyNumberFormat="1" applyFill="1"/>
    <xf numFmtId="0" fontId="0" fillId="2" borderId="8" xfId="0" applyFill="1" applyBorder="1" applyAlignment="1">
      <alignment horizontal="left" indent="1"/>
    </xf>
    <xf numFmtId="170" fontId="0" fillId="0" borderId="0" xfId="0" applyNumberFormat="1" applyAlignment="1">
      <alignment horizontal="center"/>
    </xf>
    <xf numFmtId="170" fontId="0" fillId="0" borderId="17" xfId="0" applyNumberFormat="1" applyBorder="1" applyAlignment="1">
      <alignment horizontal="center"/>
    </xf>
    <xf numFmtId="170" fontId="0" fillId="0" borderId="13" xfId="0" applyNumberFormat="1" applyBorder="1" applyAlignment="1">
      <alignment horizontal="center"/>
    </xf>
    <xf numFmtId="170" fontId="0" fillId="0" borderId="18" xfId="0" applyNumberFormat="1" applyBorder="1" applyAlignment="1">
      <alignment horizontal="center"/>
    </xf>
    <xf numFmtId="170" fontId="0" fillId="0" borderId="15" xfId="0" applyNumberFormat="1" applyBorder="1" applyAlignment="1">
      <alignment horizontal="center"/>
    </xf>
    <xf numFmtId="6" fontId="0" fillId="0" borderId="10" xfId="0" applyNumberFormat="1" applyBorder="1" applyAlignment="1">
      <alignment horizontal="center"/>
    </xf>
    <xf numFmtId="171" fontId="0" fillId="0" borderId="17" xfId="0" applyNumberFormat="1" applyBorder="1" applyAlignment="1">
      <alignment horizontal="center"/>
    </xf>
    <xf numFmtId="171" fontId="0" fillId="0" borderId="13" xfId="0" applyNumberFormat="1" applyBorder="1" applyAlignment="1">
      <alignment horizontal="center"/>
    </xf>
    <xf numFmtId="6" fontId="0" fillId="0" borderId="14" xfId="0" applyNumberFormat="1" applyBorder="1" applyAlignment="1">
      <alignment horizontal="center"/>
    </xf>
    <xf numFmtId="0" fontId="8" fillId="0" borderId="0" xfId="0" applyFont="1"/>
    <xf numFmtId="165" fontId="0" fillId="4" borderId="0" xfId="2" applyNumberFormat="1" applyFont="1" applyFill="1" applyAlignment="1">
      <alignment horizontal="center"/>
    </xf>
    <xf numFmtId="0" fontId="0" fillId="4" borderId="0" xfId="0" applyFill="1" applyAlignment="1">
      <alignment horizontal="center"/>
    </xf>
    <xf numFmtId="0" fontId="0" fillId="2" borderId="14" xfId="0" applyFill="1" applyBorder="1" applyAlignment="1" applyProtection="1">
      <alignment horizontal="center"/>
      <protection locked="0"/>
    </xf>
    <xf numFmtId="0" fontId="0" fillId="2" borderId="15" xfId="0" applyFill="1" applyBorder="1" applyAlignment="1" applyProtection="1">
      <alignment horizontal="center"/>
      <protection locked="0"/>
    </xf>
    <xf numFmtId="174" fontId="0" fillId="0" borderId="0" xfId="0" applyNumberFormat="1"/>
    <xf numFmtId="173" fontId="0" fillId="2" borderId="18" xfId="0" applyNumberFormat="1" applyFill="1" applyBorder="1" applyAlignment="1">
      <alignment horizontal="center"/>
    </xf>
    <xf numFmtId="169" fontId="0" fillId="2" borderId="15" xfId="0" applyNumberFormat="1" applyFill="1" applyBorder="1" applyAlignment="1">
      <alignment horizontal="center"/>
    </xf>
    <xf numFmtId="164" fontId="0" fillId="4" borderId="0" xfId="0" applyNumberFormat="1" applyFill="1"/>
    <xf numFmtId="0" fontId="4" fillId="0" borderId="0" xfId="1" applyAlignment="1">
      <alignment horizontal="center"/>
    </xf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4" fillId="2" borderId="3" xfId="1" applyFill="1" applyBorder="1" applyAlignment="1" applyProtection="1">
      <alignment horizontal="right"/>
      <protection locked="0"/>
    </xf>
    <xf numFmtId="0" fontId="4" fillId="2" borderId="4" xfId="1" applyFill="1" applyBorder="1" applyAlignment="1" applyProtection="1">
      <alignment horizontal="right"/>
      <protection locked="0"/>
    </xf>
  </cellXfs>
  <cellStyles count="3">
    <cellStyle name="Hyperlink" xfId="1" builtinId="8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31750</xdr:rowOff>
    </xdr:from>
    <xdr:to>
      <xdr:col>2</xdr:col>
      <xdr:colOff>1210522</xdr:colOff>
      <xdr:row>4</xdr:row>
      <xdr:rowOff>70486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B23976-5FBD-4AF3-9E23-573CDB9D377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31750"/>
          <a:ext cx="3334597" cy="800736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oneCellAnchor>
    <xdr:from>
      <xdr:col>8</xdr:col>
      <xdr:colOff>19050</xdr:colOff>
      <xdr:row>1</xdr:row>
      <xdr:rowOff>4762</xdr:rowOff>
    </xdr:from>
    <xdr:ext cx="3250377" cy="357470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id="{2DAE25C8-B1FA-EE70-9F2B-555B8EEA49F5}"/>
                </a:ext>
              </a:extLst>
            </xdr:cNvPr>
            <xdr:cNvSpPr txBox="1"/>
          </xdr:nvSpPr>
          <xdr:spPr>
            <a:xfrm>
              <a:off x="4714875" y="195262"/>
              <a:ext cx="3250377" cy="35747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m:rPr>
                        <m:nor/>
                      </m:rPr>
                      <a:rPr lang="en-US" sz="1100" b="0" i="0">
                        <a:latin typeface="Cambria Math" panose="02040503050406030204" pitchFamily="18" charset="0"/>
                      </a:rPr>
                      <m:t>Increased</m:t>
                    </m:r>
                    <m:r>
                      <m:rPr>
                        <m:nor/>
                      </m:rPr>
                      <a:rPr lang="en-US" sz="1100" b="0" i="0">
                        <a:latin typeface="Cambria Math" panose="02040503050406030204" pitchFamily="18" charset="0"/>
                      </a:rPr>
                      <m:t> </m:t>
                    </m:r>
                    <m:r>
                      <m:rPr>
                        <m:nor/>
                      </m:rPr>
                      <a:rPr lang="en-US" sz="1100" b="0" i="0">
                        <a:latin typeface="Cambria Math" panose="02040503050406030204" pitchFamily="18" charset="0"/>
                      </a:rPr>
                      <m:t>Limit</m:t>
                    </m:r>
                    <m:r>
                      <m:rPr>
                        <m:nor/>
                      </m:rPr>
                      <a:rPr lang="en-US" sz="1100" b="0" i="0">
                        <a:latin typeface="Cambria Math" panose="02040503050406030204" pitchFamily="18" charset="0"/>
                      </a:rPr>
                      <m:t> </m:t>
                    </m:r>
                    <m:r>
                      <m:rPr>
                        <m:nor/>
                      </m:rPr>
                      <a:rPr lang="en-US" sz="1100" b="0" i="0">
                        <a:latin typeface="Cambria Math" panose="02040503050406030204" pitchFamily="18" charset="0"/>
                      </a:rPr>
                      <m:t>Factor</m:t>
                    </m:r>
                    <m:r>
                      <a:rPr lang="en-US" sz="1100" b="0" i="1">
                        <a:latin typeface="Cambria Math" panose="02040503050406030204" pitchFamily="18" charset="0"/>
                      </a:rPr>
                      <m:t>=</m:t>
                    </m:r>
                    <m:f>
                      <m:fPr>
                        <m:ctrlPr>
                          <a:rPr lang="en-US" sz="11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d>
                          <m:dPr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dPr>
                          <m:e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𝐸</m:t>
                            </m:r>
                            <m:d>
                              <m:dPr>
                                <m:begChr m:val="["/>
                                <m:endChr m:val="]"/>
                                <m:ctrlPr>
                                  <a:rPr lang="en-US" sz="1100" b="0" i="1">
                                    <a:latin typeface="Cambria Math" panose="02040503050406030204" pitchFamily="18" charset="0"/>
                                  </a:rPr>
                                </m:ctrlPr>
                              </m:dPr>
                              <m:e>
                                <m:r>
                                  <a:rPr lang="en-US" sz="1100" b="0" i="1">
                                    <a:latin typeface="Cambria Math" panose="02040503050406030204" pitchFamily="18" charset="0"/>
                                  </a:rPr>
                                  <m:t>𝑋</m:t>
                                </m:r>
                                <m:r>
                                  <a:rPr lang="en-US" sz="1100" b="0" i="1">
                                    <a:latin typeface="Cambria Math" panose="02040503050406030204" pitchFamily="18" charset="0"/>
                                  </a:rPr>
                                  <m:t>;</m:t>
                                </m:r>
                                <m:r>
                                  <a:rPr lang="en-US" sz="1100" b="0" i="1">
                                    <a:latin typeface="Cambria Math" panose="02040503050406030204" pitchFamily="18" charset="0"/>
                                  </a:rPr>
                                  <m:t>𝐿</m:t>
                                </m:r>
                              </m:e>
                            </m:d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+</m:t>
                            </m:r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𝜖</m:t>
                            </m:r>
                          </m:e>
                        </m:d>
                        <m:d>
                          <m:dPr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dPr>
                          <m:e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1+</m:t>
                            </m:r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𝑢</m:t>
                            </m:r>
                          </m:e>
                        </m:d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+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𝜌</m:t>
                        </m:r>
                        <m:d>
                          <m:dPr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dPr>
                          <m:e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𝐿</m:t>
                            </m:r>
                          </m:e>
                        </m:d>
                      </m:num>
                      <m:den>
                        <m:d>
                          <m:dPr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dPr>
                          <m:e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𝐸</m:t>
                            </m:r>
                            <m:d>
                              <m:dPr>
                                <m:begChr m:val="["/>
                                <m:endChr m:val="]"/>
                                <m:ctrlPr>
                                  <a:rPr lang="en-US" sz="1100" b="0" i="1">
                                    <a:latin typeface="Cambria Math" panose="02040503050406030204" pitchFamily="18" charset="0"/>
                                  </a:rPr>
                                </m:ctrlPr>
                              </m:dPr>
                              <m:e>
                                <m:r>
                                  <a:rPr lang="en-US" sz="1100" b="0" i="1">
                                    <a:latin typeface="Cambria Math" panose="02040503050406030204" pitchFamily="18" charset="0"/>
                                  </a:rPr>
                                  <m:t>𝑋</m:t>
                                </m:r>
                                <m:r>
                                  <a:rPr lang="en-US" sz="1100" b="0" i="1">
                                    <a:latin typeface="Cambria Math" panose="02040503050406030204" pitchFamily="18" charset="0"/>
                                  </a:rPr>
                                  <m:t>;</m:t>
                                </m:r>
                                <m:r>
                                  <a:rPr lang="en-US" sz="1100" b="0" i="1">
                                    <a:latin typeface="Cambria Math" panose="02040503050406030204" pitchFamily="18" charset="0"/>
                                  </a:rPr>
                                  <m:t>𝑏</m:t>
                                </m:r>
                              </m:e>
                            </m:d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+</m:t>
                            </m:r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𝜖</m:t>
                            </m:r>
                          </m:e>
                        </m:d>
                        <m:d>
                          <m:dPr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dPr>
                          <m:e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1+</m:t>
                            </m:r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𝑢</m:t>
                            </m:r>
                          </m:e>
                        </m:d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+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𝜌</m:t>
                        </m:r>
                        <m:d>
                          <m:dPr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dPr>
                          <m:e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𝑏</m:t>
                            </m:r>
                          </m:e>
                        </m:d>
                      </m:den>
                    </m:f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id="{2DAE25C8-B1FA-EE70-9F2B-555B8EEA49F5}"/>
                </a:ext>
              </a:extLst>
            </xdr:cNvPr>
            <xdr:cNvSpPr txBox="1"/>
          </xdr:nvSpPr>
          <xdr:spPr>
            <a:xfrm>
              <a:off x="4714875" y="195262"/>
              <a:ext cx="3250377" cy="35747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US" sz="1100" b="0" i="0">
                  <a:latin typeface="Cambria Math" panose="02040503050406030204" pitchFamily="18" charset="0"/>
                </a:rPr>
                <a:t>"Increased Limit Factor"=((𝐸[𝑋;𝐿]+𝜖)(1+𝑢)+𝜌(𝐿))/((𝐸[𝑋;𝑏]+𝜖)(1+𝑢)+𝜌(𝑏) )</a:t>
              </a:r>
              <a:endParaRPr lang="en-GB" sz="1100"/>
            </a:p>
          </xdr:txBody>
        </xdr:sp>
      </mc:Fallback>
    </mc:AlternateContent>
    <xdr:clientData/>
  </xdr:oneCellAnchor>
</xdr:wsDr>
</file>

<file path=xl/drawings/drawing11.xml><?xml version="1.0" encoding="utf-8"?>
<xdr:wsDr xmlns:xdr="http://schemas.openxmlformats.org/drawingml/2006/spreadsheetDrawing" xmlns:a="http://schemas.openxmlformats.org/drawingml/2006/main">
  <xdr:oneCellAnchor>
    <xdr:from>
      <xdr:col>10</xdr:col>
      <xdr:colOff>28575</xdr:colOff>
      <xdr:row>1</xdr:row>
      <xdr:rowOff>14287</xdr:rowOff>
    </xdr:from>
    <xdr:ext cx="2229328" cy="175369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id="{4C64F15D-A2AF-48F4-A747-C4F79BA85BB8}"/>
                </a:ext>
              </a:extLst>
            </xdr:cNvPr>
            <xdr:cNvSpPr txBox="1"/>
          </xdr:nvSpPr>
          <xdr:spPr>
            <a:xfrm>
              <a:off x="6019800" y="214312"/>
              <a:ext cx="2229328" cy="17536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US" sz="1100" b="0" i="1">
                        <a:latin typeface="Cambria Math" panose="02040503050406030204" pitchFamily="18" charset="0"/>
                      </a:rPr>
                      <m:t>𝜌</m:t>
                    </m:r>
                    <m:d>
                      <m:dPr>
                        <m:ctrlPr>
                          <a:rPr lang="en-US" sz="1100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𝐿</m:t>
                        </m:r>
                      </m:e>
                    </m:d>
                    <m:r>
                      <a:rPr lang="en-US" sz="1100" b="0" i="1">
                        <a:latin typeface="Cambria Math" panose="02040503050406030204" pitchFamily="18" charset="0"/>
                      </a:rPr>
                      <m:t>=</m:t>
                    </m:r>
                    <m:r>
                      <a:rPr lang="en-US" sz="1100" b="0" i="1">
                        <a:latin typeface="Cambria Math" panose="02040503050406030204" pitchFamily="18" charset="0"/>
                      </a:rPr>
                      <m:t>𝑘</m:t>
                    </m:r>
                    <m:r>
                      <a:rPr lang="en-US" sz="1100" b="0" i="1">
                        <a:latin typeface="Cambria Math" panose="02040503050406030204" pitchFamily="18" charset="0"/>
                      </a:rPr>
                      <m:t>⋅</m:t>
                    </m:r>
                    <m:d>
                      <m:dPr>
                        <m:begChr m:val="["/>
                        <m:endChr m:val="]"/>
                        <m:ctrlPr>
                          <a:rPr lang="en-US" sz="1100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𝐸</m:t>
                        </m:r>
                        <m:d>
                          <m:dPr>
                            <m:begChr m:val="["/>
                            <m:endChr m:val="]"/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dPr>
                          <m:e>
                            <m:sSup>
                              <m:sSupPr>
                                <m:ctrlPr>
                                  <a:rPr lang="en-US" sz="1100" b="0" i="1">
                                    <a:latin typeface="Cambria Math" panose="02040503050406030204" pitchFamily="18" charset="0"/>
                                  </a:rPr>
                                </m:ctrlPr>
                              </m:sSupPr>
                              <m:e>
                                <m:r>
                                  <a:rPr lang="en-US" sz="1100" b="0" i="1">
                                    <a:latin typeface="Cambria Math" panose="02040503050406030204" pitchFamily="18" charset="0"/>
                                  </a:rPr>
                                  <m:t>𝑋</m:t>
                                </m:r>
                              </m:e>
                              <m:sup>
                                <m:r>
                                  <a:rPr lang="en-US" sz="1100" b="0" i="1">
                                    <a:latin typeface="Cambria Math" panose="02040503050406030204" pitchFamily="18" charset="0"/>
                                  </a:rPr>
                                  <m:t>2</m:t>
                                </m:r>
                              </m:sup>
                            </m:sSup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;</m:t>
                            </m:r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𝐿</m:t>
                            </m:r>
                          </m:e>
                        </m:d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+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𝛿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⋅</m:t>
                        </m:r>
                        <m:sSup>
                          <m:sSupPr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sSupPr>
                          <m:e>
                            <m:d>
                              <m:dPr>
                                <m:ctrlPr>
                                  <a:rPr lang="en-US" sz="1100" b="0" i="1">
                                    <a:latin typeface="Cambria Math" panose="02040503050406030204" pitchFamily="18" charset="0"/>
                                  </a:rPr>
                                </m:ctrlPr>
                              </m:dPr>
                              <m:e>
                                <m:r>
                                  <a:rPr lang="en-US" sz="1100" b="0" i="1">
                                    <a:latin typeface="Cambria Math" panose="02040503050406030204" pitchFamily="18" charset="0"/>
                                  </a:rPr>
                                  <m:t>𝐸</m:t>
                                </m:r>
                                <m:d>
                                  <m:dPr>
                                    <m:begChr m:val="["/>
                                    <m:endChr m:val="]"/>
                                    <m:ctrlPr>
                                      <a:rPr lang="en-US" sz="1100" b="0" i="1">
                                        <a:latin typeface="Cambria Math" panose="02040503050406030204" pitchFamily="18" charset="0"/>
                                      </a:rPr>
                                    </m:ctrlPr>
                                  </m:dPr>
                                  <m:e>
                                    <m:r>
                                      <a:rPr lang="en-US" sz="1100" b="0" i="1">
                                        <a:latin typeface="Cambria Math" panose="02040503050406030204" pitchFamily="18" charset="0"/>
                                      </a:rPr>
                                      <m:t>𝑋</m:t>
                                    </m:r>
                                    <m:r>
                                      <a:rPr lang="en-US" sz="1100" b="0" i="1">
                                        <a:latin typeface="Cambria Math" panose="02040503050406030204" pitchFamily="18" charset="0"/>
                                      </a:rPr>
                                      <m:t>;</m:t>
                                    </m:r>
                                    <m:r>
                                      <a:rPr lang="en-US" sz="1100" b="0" i="1">
                                        <a:latin typeface="Cambria Math" panose="02040503050406030204" pitchFamily="18" charset="0"/>
                                      </a:rPr>
                                      <m:t>𝐿</m:t>
                                    </m:r>
                                  </m:e>
                                </m:d>
                              </m:e>
                            </m:d>
                          </m:e>
                          <m:sup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2</m:t>
                            </m:r>
                          </m:sup>
                        </m:sSup>
                      </m:e>
                    </m:d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id="{4C64F15D-A2AF-48F4-A747-C4F79BA85BB8}"/>
                </a:ext>
              </a:extLst>
            </xdr:cNvPr>
            <xdr:cNvSpPr txBox="1"/>
          </xdr:nvSpPr>
          <xdr:spPr>
            <a:xfrm>
              <a:off x="6019800" y="214312"/>
              <a:ext cx="2229328" cy="17536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US" sz="1100" b="0" i="0">
                  <a:latin typeface="Cambria Math" panose="02040503050406030204" pitchFamily="18" charset="0"/>
                </a:rPr>
                <a:t>𝜌(𝐿)=𝑘⋅[𝐸[𝑋^2;𝐿]+𝛿⋅(𝐸[𝑋;𝐿])^2 ]</a:t>
              </a:r>
              <a:endParaRPr lang="en-GB" sz="1100"/>
            </a:p>
          </xdr:txBody>
        </xdr:sp>
      </mc:Fallback>
    </mc:AlternateContent>
    <xdr:clientData/>
  </xdr:oneCellAnchor>
  <xdr:oneCellAnchor>
    <xdr:from>
      <xdr:col>9</xdr:col>
      <xdr:colOff>0</xdr:colOff>
      <xdr:row>5</xdr:row>
      <xdr:rowOff>166687</xdr:rowOff>
    </xdr:from>
    <xdr:ext cx="3361240" cy="358881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3" name="TextBox 2">
              <a:extLst>
                <a:ext uri="{FF2B5EF4-FFF2-40B4-BE49-F238E27FC236}">
                  <a16:creationId xmlns:a16="http://schemas.microsoft.com/office/drawing/2014/main" id="{12D62793-89FB-4720-86F9-A34B6E6E09FF}"/>
                </a:ext>
              </a:extLst>
            </xdr:cNvPr>
            <xdr:cNvSpPr txBox="1"/>
          </xdr:nvSpPr>
          <xdr:spPr>
            <a:xfrm>
              <a:off x="5448300" y="1119187"/>
              <a:ext cx="3361240" cy="358881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m:rPr>
                        <m:nor/>
                      </m:rPr>
                      <a:rPr lang="en-US" sz="1100" b="0" i="0">
                        <a:latin typeface="Cambria Math" panose="02040503050406030204" pitchFamily="18" charset="0"/>
                      </a:rPr>
                      <m:t>Risk</m:t>
                    </m:r>
                    <m:r>
                      <m:rPr>
                        <m:nor/>
                      </m:rPr>
                      <a:rPr lang="en-US" sz="1100" b="0" i="0">
                        <a:latin typeface="Cambria Math" panose="02040503050406030204" pitchFamily="18" charset="0"/>
                      </a:rPr>
                      <m:t> </m:t>
                    </m:r>
                    <m:r>
                      <m:rPr>
                        <m:nor/>
                      </m:rPr>
                      <a:rPr lang="en-US" sz="1100" b="0" i="0">
                        <a:latin typeface="Cambria Math" panose="02040503050406030204" pitchFamily="18" charset="0"/>
                      </a:rPr>
                      <m:t>Loaded</m:t>
                    </m:r>
                    <m:r>
                      <m:rPr>
                        <m:nor/>
                      </m:rPr>
                      <a:rPr lang="en-US" sz="1100" b="0" i="0">
                        <a:latin typeface="Cambria Math" panose="02040503050406030204" pitchFamily="18" charset="0"/>
                      </a:rPr>
                      <m:t> </m:t>
                    </m:r>
                    <m:r>
                      <m:rPr>
                        <m:nor/>
                      </m:rPr>
                      <a:rPr lang="en-US" sz="1100" b="0" i="0">
                        <a:latin typeface="Cambria Math" panose="02040503050406030204" pitchFamily="18" charset="0"/>
                      </a:rPr>
                      <m:t>ILF</m:t>
                    </m:r>
                    <m:r>
                      <a:rPr lang="en-US" sz="1100" b="0" i="1">
                        <a:latin typeface="Cambria Math" panose="02040503050406030204" pitchFamily="18" charset="0"/>
                      </a:rPr>
                      <m:t>= </m:t>
                    </m:r>
                    <m:f>
                      <m:fPr>
                        <m:ctrlPr>
                          <a:rPr lang="en-US" sz="11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(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𝐸</m:t>
                        </m:r>
                        <m:d>
                          <m:dPr>
                            <m:begChr m:val="["/>
                            <m:endChr m:val="]"/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dPr>
                          <m:e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𝑋</m:t>
                            </m:r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;</m:t>
                            </m:r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𝐿</m:t>
                            </m:r>
                          </m:e>
                        </m:d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+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𝜖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)⋅</m:t>
                        </m:r>
                        <m:d>
                          <m:dPr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dPr>
                          <m:e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1+</m:t>
                            </m:r>
                            <m:r>
                              <m:rPr>
                                <m:nor/>
                              </m:rPr>
                              <a:rPr lang="en-US" sz="1100" b="0" i="0">
                                <a:latin typeface="Cambria Math" panose="02040503050406030204" pitchFamily="18" charset="0"/>
                              </a:rPr>
                              <m:t>ALAE</m:t>
                            </m:r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%</m:t>
                            </m:r>
                          </m:e>
                        </m:d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+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𝜌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(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𝐿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)</m:t>
                        </m:r>
                      </m:num>
                      <m:den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(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𝐸</m:t>
                        </m:r>
                        <m:d>
                          <m:dPr>
                            <m:begChr m:val="["/>
                            <m:endChr m:val="]"/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dPr>
                          <m:e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𝑋</m:t>
                            </m:r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;</m:t>
                            </m:r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𝑏</m:t>
                            </m:r>
                          </m:e>
                        </m:d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+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𝜖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)⋅</m:t>
                        </m:r>
                        <m:d>
                          <m:dPr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dPr>
                          <m:e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1+</m:t>
                            </m:r>
                            <m:r>
                              <m:rPr>
                                <m:nor/>
                              </m:rPr>
                              <a:rPr lang="en-US" sz="1100" b="0" i="0">
                                <a:latin typeface="Cambria Math" panose="02040503050406030204" pitchFamily="18" charset="0"/>
                              </a:rPr>
                              <m:t>ALAE</m:t>
                            </m:r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%</m:t>
                            </m:r>
                          </m:e>
                        </m:d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+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𝜌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(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𝑏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)</m:t>
                        </m:r>
                      </m:den>
                    </m:f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3" name="TextBox 2">
              <a:extLst>
                <a:ext uri="{FF2B5EF4-FFF2-40B4-BE49-F238E27FC236}">
                  <a16:creationId xmlns:a16="http://schemas.microsoft.com/office/drawing/2014/main" id="{12D62793-89FB-4720-86F9-A34B6E6E09FF}"/>
                </a:ext>
              </a:extLst>
            </xdr:cNvPr>
            <xdr:cNvSpPr txBox="1"/>
          </xdr:nvSpPr>
          <xdr:spPr>
            <a:xfrm>
              <a:off x="5448300" y="1119187"/>
              <a:ext cx="3361240" cy="358881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US" sz="1100" b="0" i="0">
                  <a:latin typeface="Cambria Math" panose="02040503050406030204" pitchFamily="18" charset="0"/>
                </a:rPr>
                <a:t>"Risk Loaded ILF"=  ((𝐸[𝑋;𝐿]+𝜖)⋅(1+"ALAE" %)+𝜌(𝐿))/((𝐸[𝑋;𝑏]+𝜖)⋅(1+"ALAE" %)+𝜌(𝑏))</a:t>
              </a:r>
              <a:endParaRPr lang="en-GB" sz="1100"/>
            </a:p>
          </xdr:txBody>
        </xdr:sp>
      </mc:Fallback>
    </mc:AlternateContent>
    <xdr:clientData/>
  </xdr:oneCellAnchor>
</xdr:wsDr>
</file>

<file path=xl/drawings/drawing12.xml><?xml version="1.0" encoding="utf-8"?>
<xdr:wsDr xmlns:xdr="http://schemas.openxmlformats.org/drawingml/2006/spreadsheetDrawing" xmlns:a="http://schemas.openxmlformats.org/drawingml/2006/main">
  <xdr:oneCellAnchor>
    <xdr:from>
      <xdr:col>9</xdr:col>
      <xdr:colOff>19050</xdr:colOff>
      <xdr:row>71</xdr:row>
      <xdr:rowOff>176212</xdr:rowOff>
    </xdr:from>
    <xdr:ext cx="2000099" cy="191334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id="{AA51B9DD-E266-44C3-9A48-50625FC64915}"/>
                </a:ext>
              </a:extLst>
            </xdr:cNvPr>
            <xdr:cNvSpPr txBox="1"/>
          </xdr:nvSpPr>
          <xdr:spPr>
            <a:xfrm>
              <a:off x="8429625" y="13854112"/>
              <a:ext cx="2000099" cy="19133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US" sz="1200" b="0" i="1">
                        <a:latin typeface="Cambria Math" panose="02040503050406030204" pitchFamily="18" charset="0"/>
                      </a:rPr>
                      <m:t>𝜌</m:t>
                    </m:r>
                    <m:d>
                      <m:dPr>
                        <m:ctrlPr>
                          <a:rPr lang="en-US" sz="1200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r>
                          <a:rPr lang="en-US" sz="1200" b="0" i="1">
                            <a:latin typeface="Cambria Math" panose="02040503050406030204" pitchFamily="18" charset="0"/>
                          </a:rPr>
                          <m:t>𝑙</m:t>
                        </m:r>
                      </m:e>
                    </m:d>
                    <m:r>
                      <a:rPr lang="en-US" sz="1200" b="0" i="1">
                        <a:latin typeface="Cambria Math" panose="02040503050406030204" pitchFamily="18" charset="0"/>
                      </a:rPr>
                      <m:t>=</m:t>
                    </m:r>
                    <m:r>
                      <a:rPr lang="en-US" sz="1200" b="0" i="1">
                        <a:latin typeface="Cambria Math" panose="02040503050406030204" pitchFamily="18" charset="0"/>
                      </a:rPr>
                      <m:t>𝑘</m:t>
                    </m:r>
                    <m:r>
                      <a:rPr lang="en-US" sz="1200" b="0" i="1">
                        <a:latin typeface="Cambria Math" panose="02040503050406030204" pitchFamily="18" charset="0"/>
                      </a:rPr>
                      <m:t>(</m:t>
                    </m:r>
                    <m:r>
                      <a:rPr lang="en-US" sz="1200" b="0" i="1">
                        <a:latin typeface="Cambria Math" panose="02040503050406030204" pitchFamily="18" charset="0"/>
                      </a:rPr>
                      <m:t>𝐸</m:t>
                    </m:r>
                    <m:d>
                      <m:dPr>
                        <m:begChr m:val="["/>
                        <m:endChr m:val="]"/>
                        <m:ctrlPr>
                          <a:rPr lang="en-US" sz="1200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sSup>
                          <m:sSupPr>
                            <m:ctrlPr>
                              <a:rPr lang="en-US" sz="1200" b="0" i="1">
                                <a:latin typeface="Cambria Math" panose="02040503050406030204" pitchFamily="18" charset="0"/>
                              </a:rPr>
                            </m:ctrlPr>
                          </m:sSupPr>
                          <m:e>
                            <m:r>
                              <a:rPr lang="en-US" sz="1200" b="0" i="1">
                                <a:latin typeface="Cambria Math" panose="02040503050406030204" pitchFamily="18" charset="0"/>
                              </a:rPr>
                              <m:t>𝑋</m:t>
                            </m:r>
                          </m:e>
                          <m:sup>
                            <m:r>
                              <a:rPr lang="en-US" sz="1200" b="0" i="1">
                                <a:latin typeface="Cambria Math" panose="02040503050406030204" pitchFamily="18" charset="0"/>
                              </a:rPr>
                              <m:t>2</m:t>
                            </m:r>
                          </m:sup>
                        </m:sSup>
                        <m:r>
                          <a:rPr lang="en-US" sz="1200" b="0" i="1">
                            <a:latin typeface="Cambria Math" panose="02040503050406030204" pitchFamily="18" charset="0"/>
                          </a:rPr>
                          <m:t>;</m:t>
                        </m:r>
                        <m:r>
                          <a:rPr lang="en-US" sz="1200" b="0" i="1">
                            <a:latin typeface="Cambria Math" panose="02040503050406030204" pitchFamily="18" charset="0"/>
                          </a:rPr>
                          <m:t>𝑙</m:t>
                        </m:r>
                      </m:e>
                    </m:d>
                    <m:r>
                      <a:rPr lang="en-US" sz="1200" b="0" i="1">
                        <a:latin typeface="Cambria Math" panose="02040503050406030204" pitchFamily="18" charset="0"/>
                      </a:rPr>
                      <m:t>+</m:t>
                    </m:r>
                    <m:r>
                      <a:rPr lang="en-US" sz="1200" b="0" i="1">
                        <a:latin typeface="Cambria Math" panose="02040503050406030204" pitchFamily="18" charset="0"/>
                      </a:rPr>
                      <m:t>𝛿</m:t>
                    </m:r>
                    <m:r>
                      <a:rPr lang="en-US" sz="1200" b="0" i="1">
                        <a:latin typeface="Cambria Math" panose="02040503050406030204" pitchFamily="18" charset="0"/>
                      </a:rPr>
                      <m:t>𝐸</m:t>
                    </m:r>
                    <m:sSup>
                      <m:sSupPr>
                        <m:ctrlPr>
                          <a:rPr lang="en-US" sz="1200" b="0" i="1">
                            <a:latin typeface="Cambria Math" panose="02040503050406030204" pitchFamily="18" charset="0"/>
                          </a:rPr>
                        </m:ctrlPr>
                      </m:sSupPr>
                      <m:e>
                        <m:d>
                          <m:dPr>
                            <m:begChr m:val="["/>
                            <m:endChr m:val="]"/>
                            <m:ctrlPr>
                              <a:rPr lang="en-US" sz="1200" b="0" i="1">
                                <a:latin typeface="Cambria Math" panose="02040503050406030204" pitchFamily="18" charset="0"/>
                              </a:rPr>
                            </m:ctrlPr>
                          </m:dPr>
                          <m:e>
                            <m:r>
                              <a:rPr lang="en-US" sz="1200" b="0" i="1">
                                <a:latin typeface="Cambria Math" panose="02040503050406030204" pitchFamily="18" charset="0"/>
                              </a:rPr>
                              <m:t>𝑋</m:t>
                            </m:r>
                            <m:r>
                              <a:rPr lang="en-US" sz="1200" b="0" i="1">
                                <a:latin typeface="Cambria Math" panose="02040503050406030204" pitchFamily="18" charset="0"/>
                              </a:rPr>
                              <m:t>;</m:t>
                            </m:r>
                            <m:r>
                              <a:rPr lang="en-US" sz="1200" b="0" i="1">
                                <a:latin typeface="Cambria Math" panose="02040503050406030204" pitchFamily="18" charset="0"/>
                              </a:rPr>
                              <m:t>𝑙</m:t>
                            </m:r>
                          </m:e>
                        </m:d>
                      </m:e>
                      <m:sup>
                        <m:r>
                          <a:rPr lang="en-US" sz="1200" b="0" i="1">
                            <a:latin typeface="Cambria Math" panose="02040503050406030204" pitchFamily="18" charset="0"/>
                          </a:rPr>
                          <m:t>2</m:t>
                        </m:r>
                      </m:sup>
                    </m:sSup>
                    <m:r>
                      <a:rPr lang="en-US" sz="1200" b="0" i="1">
                        <a:latin typeface="Cambria Math" panose="02040503050406030204" pitchFamily="18" charset="0"/>
                      </a:rPr>
                      <m:t>)</m:t>
                    </m:r>
                  </m:oMath>
                </m:oMathPara>
              </a14:m>
              <a:endParaRPr lang="en-GB" sz="1200"/>
            </a:p>
          </xdr:txBody>
        </xdr:sp>
      </mc:Choice>
      <mc:Fallback xmlns=""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id="{AA51B9DD-E266-44C3-9A48-50625FC64915}"/>
                </a:ext>
              </a:extLst>
            </xdr:cNvPr>
            <xdr:cNvSpPr txBox="1"/>
          </xdr:nvSpPr>
          <xdr:spPr>
            <a:xfrm>
              <a:off x="8429625" y="13854112"/>
              <a:ext cx="2000099" cy="19133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US" sz="1200" b="0" i="0">
                  <a:latin typeface="Cambria Math" panose="02040503050406030204" pitchFamily="18" charset="0"/>
                </a:rPr>
                <a:t>𝜌(𝑙)=𝑘(𝐸[𝑋^2;𝑙]+𝛿𝐸[𝑋;𝑙]^2)</a:t>
              </a:r>
              <a:endParaRPr lang="en-GB" sz="1200"/>
            </a:p>
          </xdr:txBody>
        </xdr:sp>
      </mc:Fallback>
    </mc:AlternateContent>
    <xdr:clientData/>
  </xdr:oneCellAnchor>
  <xdr:oneCellAnchor>
    <xdr:from>
      <xdr:col>9</xdr:col>
      <xdr:colOff>38100</xdr:colOff>
      <xdr:row>77</xdr:row>
      <xdr:rowOff>52387</xdr:rowOff>
    </xdr:from>
    <xdr:ext cx="2149691" cy="357470"/>
    <mc:AlternateContent xmlns:mc="http://schemas.openxmlformats.org/markup-compatibility/2006">
      <mc:Choice xmlns:a14="http://schemas.microsoft.com/office/drawing/2010/main" Requires="a14">
        <xdr:sp macro="" textlink="">
          <xdr:nvSpPr>
            <xdr:cNvPr id="3" name="TextBox 2">
              <a:extLst>
                <a:ext uri="{FF2B5EF4-FFF2-40B4-BE49-F238E27FC236}">
                  <a16:creationId xmlns:a16="http://schemas.microsoft.com/office/drawing/2014/main" id="{16B6A628-5649-491C-B134-C7FC52BBCA00}"/>
                </a:ext>
              </a:extLst>
            </xdr:cNvPr>
            <xdr:cNvSpPr txBox="1"/>
          </xdr:nvSpPr>
          <xdr:spPr>
            <a:xfrm>
              <a:off x="8448675" y="14930437"/>
              <a:ext cx="2149691" cy="35747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m:rPr>
                        <m:nor/>
                      </m:rPr>
                      <a:rPr lang="en-US" sz="1100" b="0" i="0">
                        <a:latin typeface="Cambria Math" panose="02040503050406030204" pitchFamily="18" charset="0"/>
                      </a:rPr>
                      <m:t>Risk</m:t>
                    </m:r>
                    <m:r>
                      <m:rPr>
                        <m:nor/>
                      </m:rPr>
                      <a:rPr lang="en-US" sz="1100" b="0" i="0">
                        <a:latin typeface="Cambria Math" panose="02040503050406030204" pitchFamily="18" charset="0"/>
                      </a:rPr>
                      <m:t> </m:t>
                    </m:r>
                    <m:r>
                      <m:rPr>
                        <m:nor/>
                      </m:rPr>
                      <a:rPr lang="en-US" sz="1100" b="0" i="0">
                        <a:latin typeface="Cambria Math" panose="02040503050406030204" pitchFamily="18" charset="0"/>
                      </a:rPr>
                      <m:t>Loaded</m:t>
                    </m:r>
                    <m:r>
                      <m:rPr>
                        <m:nor/>
                      </m:rPr>
                      <a:rPr lang="en-US" sz="1100" b="0" i="0">
                        <a:latin typeface="Cambria Math" panose="02040503050406030204" pitchFamily="18" charset="0"/>
                      </a:rPr>
                      <m:t> </m:t>
                    </m:r>
                    <m:r>
                      <m:rPr>
                        <m:nor/>
                      </m:rPr>
                      <a:rPr lang="en-US" sz="1100" b="0" i="0">
                        <a:latin typeface="Cambria Math" panose="02040503050406030204" pitchFamily="18" charset="0"/>
                      </a:rPr>
                      <m:t>ILF</m:t>
                    </m:r>
                    <m:r>
                      <a:rPr lang="en-US" sz="1100" b="0" i="1">
                        <a:latin typeface="Cambria Math" panose="02040503050406030204" pitchFamily="18" charset="0"/>
                      </a:rPr>
                      <m:t>= </m:t>
                    </m:r>
                    <m:f>
                      <m:fPr>
                        <m:ctrlPr>
                          <a:rPr lang="en-US" sz="11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𝐸</m:t>
                        </m:r>
                        <m:d>
                          <m:dPr>
                            <m:begChr m:val="["/>
                            <m:endChr m:val="]"/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dPr>
                          <m:e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𝑋</m:t>
                            </m:r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;</m:t>
                            </m:r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𝑙</m:t>
                            </m:r>
                          </m:e>
                        </m:d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+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𝜌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(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𝑙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)</m:t>
                        </m:r>
                      </m:num>
                      <m:den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𝐸</m:t>
                        </m:r>
                        <m:d>
                          <m:dPr>
                            <m:begChr m:val="["/>
                            <m:endChr m:val="]"/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dPr>
                          <m:e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𝑋</m:t>
                            </m:r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;</m:t>
                            </m:r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𝑏</m:t>
                            </m:r>
                          </m:e>
                        </m:d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+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𝜌</m:t>
                        </m:r>
                        <m:d>
                          <m:dPr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dPr>
                          <m:e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𝑏</m:t>
                            </m:r>
                          </m:e>
                        </m:d>
                      </m:den>
                    </m:f>
                  </m:oMath>
                </m:oMathPara>
              </a14:m>
              <a:endParaRPr lang="en-GB" sz="1100"/>
            </a:p>
          </xdr:txBody>
        </xdr:sp>
      </mc:Choice>
      <mc:Fallback>
        <xdr:sp macro="" textlink="">
          <xdr:nvSpPr>
            <xdr:cNvPr id="3" name="TextBox 2">
              <a:extLst>
                <a:ext uri="{FF2B5EF4-FFF2-40B4-BE49-F238E27FC236}">
                  <a16:creationId xmlns:a16="http://schemas.microsoft.com/office/drawing/2014/main" id="{16B6A628-5649-491C-B134-C7FC52BBCA00}"/>
                </a:ext>
              </a:extLst>
            </xdr:cNvPr>
            <xdr:cNvSpPr txBox="1"/>
          </xdr:nvSpPr>
          <xdr:spPr>
            <a:xfrm>
              <a:off x="8448675" y="14930437"/>
              <a:ext cx="2149691" cy="35747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US" sz="1100" b="0" i="0">
                  <a:latin typeface="Cambria Math" panose="02040503050406030204" pitchFamily="18" charset="0"/>
                </a:rPr>
                <a:t>"Risk Loaded ILF"=  (𝐸[𝑋;𝑙]+𝜌(𝑙))/(𝐸[𝑋;𝑏]+𝜌(𝑏) )</a:t>
              </a:r>
              <a:endParaRPr lang="en-GB" sz="1100"/>
            </a:p>
          </xdr:txBody>
        </xdr:sp>
      </mc:Fallback>
    </mc:AlternateContent>
    <xdr:clientData/>
  </xdr:oneCellAnchor>
</xdr:wsDr>
</file>

<file path=xl/drawings/drawing13.xml><?xml version="1.0" encoding="utf-8"?>
<xdr:wsDr xmlns:xdr="http://schemas.openxmlformats.org/drawingml/2006/spreadsheetDrawing" xmlns:a="http://schemas.openxmlformats.org/drawingml/2006/main">
  <xdr:oneCellAnchor>
    <xdr:from>
      <xdr:col>8</xdr:col>
      <xdr:colOff>19050</xdr:colOff>
      <xdr:row>2</xdr:row>
      <xdr:rowOff>19050</xdr:rowOff>
    </xdr:from>
    <xdr:ext cx="2993447" cy="358881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id="{A9481F3D-084B-4FC5-9507-904D3AFB3D77}"/>
                </a:ext>
              </a:extLst>
            </xdr:cNvPr>
            <xdr:cNvSpPr txBox="1"/>
          </xdr:nvSpPr>
          <xdr:spPr>
            <a:xfrm>
              <a:off x="5619750" y="400050"/>
              <a:ext cx="2993447" cy="358881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m:rPr>
                        <m:nor/>
                      </m:rPr>
                      <a:rPr lang="en-US" sz="1100" b="0" i="0">
                        <a:latin typeface="Cambria Math" panose="02040503050406030204" pitchFamily="18" charset="0"/>
                      </a:rPr>
                      <m:t>Risk</m:t>
                    </m:r>
                    <m:r>
                      <m:rPr>
                        <m:nor/>
                      </m:rPr>
                      <a:rPr lang="en-US" sz="1100" b="0" i="0">
                        <a:latin typeface="Cambria Math" panose="02040503050406030204" pitchFamily="18" charset="0"/>
                      </a:rPr>
                      <m:t> </m:t>
                    </m:r>
                    <m:r>
                      <m:rPr>
                        <m:nor/>
                      </m:rPr>
                      <a:rPr lang="en-US" sz="1100" b="0" i="0">
                        <a:latin typeface="Cambria Math" panose="02040503050406030204" pitchFamily="18" charset="0"/>
                      </a:rPr>
                      <m:t>Loaded</m:t>
                    </m:r>
                    <m:r>
                      <m:rPr>
                        <m:nor/>
                      </m:rPr>
                      <a:rPr lang="en-US" sz="1100" b="0" i="0">
                        <a:latin typeface="Cambria Math" panose="02040503050406030204" pitchFamily="18" charset="0"/>
                      </a:rPr>
                      <m:t> </m:t>
                    </m:r>
                    <m:r>
                      <m:rPr>
                        <m:nor/>
                      </m:rPr>
                      <a:rPr lang="en-US" sz="1100" b="0" i="0">
                        <a:latin typeface="Cambria Math" panose="02040503050406030204" pitchFamily="18" charset="0"/>
                      </a:rPr>
                      <m:t>ILF</m:t>
                    </m:r>
                    <m:r>
                      <a:rPr lang="en-US" sz="1100" b="0" i="1">
                        <a:latin typeface="Cambria Math" panose="02040503050406030204" pitchFamily="18" charset="0"/>
                      </a:rPr>
                      <m:t>= </m:t>
                    </m:r>
                    <m:f>
                      <m:fPr>
                        <m:ctrlPr>
                          <a:rPr lang="en-US" sz="11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(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𝐸</m:t>
                        </m:r>
                        <m:d>
                          <m:dPr>
                            <m:begChr m:val="["/>
                            <m:endChr m:val="]"/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dPr>
                          <m:e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𝑋</m:t>
                            </m:r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;</m:t>
                            </m:r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𝐿</m:t>
                            </m:r>
                          </m:e>
                        </m:d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+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𝜖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)⋅</m:t>
                        </m:r>
                        <m:d>
                          <m:dPr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dPr>
                          <m:e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1+</m:t>
                            </m:r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𝑢</m:t>
                            </m:r>
                          </m:e>
                        </m:d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+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𝜌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(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𝐿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)</m:t>
                        </m:r>
                      </m:num>
                      <m:den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(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𝐸</m:t>
                        </m:r>
                        <m:d>
                          <m:dPr>
                            <m:begChr m:val="["/>
                            <m:endChr m:val="]"/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dPr>
                          <m:e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𝑋</m:t>
                            </m:r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;</m:t>
                            </m:r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𝑏</m:t>
                            </m:r>
                          </m:e>
                        </m:d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+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𝜖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)⋅</m:t>
                        </m:r>
                        <m:d>
                          <m:dPr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dPr>
                          <m:e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1+</m:t>
                            </m:r>
                            <m:r>
                              <m:rPr>
                                <m:nor/>
                              </m:rPr>
                              <a:rPr lang="en-US" sz="1100" b="0" i="0">
                                <a:latin typeface="Cambria Math" panose="02040503050406030204" pitchFamily="18" charset="0"/>
                              </a:rPr>
                              <m:t>u</m:t>
                            </m:r>
                          </m:e>
                        </m:d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+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𝜌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(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𝑏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)</m:t>
                        </m:r>
                      </m:den>
                    </m:f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id="{A9481F3D-084B-4FC5-9507-904D3AFB3D77}"/>
                </a:ext>
              </a:extLst>
            </xdr:cNvPr>
            <xdr:cNvSpPr txBox="1"/>
          </xdr:nvSpPr>
          <xdr:spPr>
            <a:xfrm>
              <a:off x="5619750" y="400050"/>
              <a:ext cx="2993447" cy="358881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US" sz="1100" b="0" i="0">
                  <a:latin typeface="Cambria Math" panose="02040503050406030204" pitchFamily="18" charset="0"/>
                </a:rPr>
                <a:t>"Risk Loaded ILF"=  ((𝐸[𝑋;𝐿]+𝜖)⋅(1+𝑢)+𝜌(𝐿))/((𝐸[𝑋;𝑏]+𝜖)⋅(1+"u" )+𝜌(𝑏))</a:t>
              </a:r>
              <a:endParaRPr lang="en-GB" sz="1100"/>
            </a:p>
          </xdr:txBody>
        </xdr:sp>
      </mc:Fallback>
    </mc:AlternateContent>
    <xdr:clientData/>
  </xdr:oneCellAnchor>
</xdr:wsDr>
</file>

<file path=xl/drawings/drawing14.xml><?xml version="1.0" encoding="utf-8"?>
<xdr:wsDr xmlns:xdr="http://schemas.openxmlformats.org/drawingml/2006/spreadsheetDrawing" xmlns:a="http://schemas.openxmlformats.org/drawingml/2006/main">
  <xdr:oneCellAnchor>
    <xdr:from>
      <xdr:col>8</xdr:col>
      <xdr:colOff>28575</xdr:colOff>
      <xdr:row>0</xdr:row>
      <xdr:rowOff>128587</xdr:rowOff>
    </xdr:from>
    <xdr:ext cx="3109954" cy="598882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id="{AAEF766E-B2BA-65B6-EC90-8C241D62E8BE}"/>
                </a:ext>
              </a:extLst>
            </xdr:cNvPr>
            <xdr:cNvSpPr txBox="1"/>
          </xdr:nvSpPr>
          <xdr:spPr>
            <a:xfrm>
              <a:off x="4933950" y="128587"/>
              <a:ext cx="3109954" cy="59888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m:rPr>
                        <m:nor/>
                      </m:rPr>
                      <a:rPr lang="en-US" sz="1100" b="0" i="0">
                        <a:latin typeface="Cambria Math" panose="02040503050406030204" pitchFamily="18" charset="0"/>
                      </a:rPr>
                      <m:t>ILF</m:t>
                    </m:r>
                    <m:r>
                      <m:rPr>
                        <m:nor/>
                      </m:rPr>
                      <a:rPr lang="en-US" sz="1100" b="0" i="0">
                        <a:latin typeface="Cambria Math" panose="02040503050406030204" pitchFamily="18" charset="0"/>
                      </a:rPr>
                      <m:t> </m:t>
                    </m:r>
                    <m:r>
                      <m:rPr>
                        <m:nor/>
                      </m:rPr>
                      <a:rPr lang="en-US" sz="1100" b="0" i="0">
                        <a:latin typeface="Cambria Math" panose="02040503050406030204" pitchFamily="18" charset="0"/>
                      </a:rPr>
                      <m:t>after</m:t>
                    </m:r>
                    <m:r>
                      <m:rPr>
                        <m:nor/>
                      </m:rPr>
                      <a:rPr lang="en-US" sz="1100" b="0" i="0">
                        <a:latin typeface="Cambria Math" panose="02040503050406030204" pitchFamily="18" charset="0"/>
                      </a:rPr>
                      <m:t> </m:t>
                    </m:r>
                    <m:r>
                      <m:rPr>
                        <m:nor/>
                      </m:rPr>
                      <a:rPr lang="en-US" sz="1100" b="0" i="0">
                        <a:latin typeface="Cambria Math" panose="02040503050406030204" pitchFamily="18" charset="0"/>
                      </a:rPr>
                      <m:t>inflation</m:t>
                    </m:r>
                    <m:r>
                      <a:rPr lang="en-US" sz="1100" b="0" i="1">
                        <a:latin typeface="Cambria Math" panose="02040503050406030204" pitchFamily="18" charset="0"/>
                      </a:rPr>
                      <m:t>=</m:t>
                    </m:r>
                    <m:f>
                      <m:fPr>
                        <m:ctrlPr>
                          <a:rPr lang="en-US" sz="11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𝐸</m:t>
                        </m:r>
                        <m:d>
                          <m:dPr>
                            <m:begChr m:val="["/>
                            <m:endChr m:val="]"/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dPr>
                          <m:e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𝜏</m:t>
                            </m:r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𝑋</m:t>
                            </m:r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;</m:t>
                            </m:r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𝐿</m:t>
                            </m:r>
                          </m:e>
                        </m:d>
                      </m:num>
                      <m:den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𝐸</m:t>
                        </m:r>
                        <m:d>
                          <m:dPr>
                            <m:begChr m:val="["/>
                            <m:endChr m:val="]"/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dPr>
                          <m:e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𝜏</m:t>
                            </m:r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𝑋</m:t>
                            </m:r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;</m:t>
                            </m:r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𝑏</m:t>
                            </m:r>
                          </m:e>
                        </m:d>
                      </m:den>
                    </m:f>
                    <m:r>
                      <a:rPr lang="en-US" sz="1100" b="0" i="1">
                        <a:latin typeface="Cambria Math" panose="02040503050406030204" pitchFamily="18" charset="0"/>
                      </a:rPr>
                      <m:t>=</m:t>
                    </m:r>
                    <m:f>
                      <m:fPr>
                        <m:ctrlPr>
                          <a:rPr lang="en-US" sz="11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𝜏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𝐸</m:t>
                        </m:r>
                        <m:d>
                          <m:dPr>
                            <m:begChr m:val="["/>
                            <m:endChr m:val="]"/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dPr>
                          <m:e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𝑋</m:t>
                            </m:r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;</m:t>
                            </m:r>
                            <m:f>
                              <m:fPr>
                                <m:ctrlPr>
                                  <a:rPr lang="en-US" sz="1100" b="0" i="1">
                                    <a:latin typeface="Cambria Math" panose="02040503050406030204" pitchFamily="18" charset="0"/>
                                  </a:rPr>
                                </m:ctrlPr>
                              </m:fPr>
                              <m:num>
                                <m:r>
                                  <a:rPr lang="en-US" sz="1100" b="0" i="1">
                                    <a:latin typeface="Cambria Math" panose="02040503050406030204" pitchFamily="18" charset="0"/>
                                  </a:rPr>
                                  <m:t>𝐿</m:t>
                                </m:r>
                              </m:num>
                              <m:den>
                                <m:r>
                                  <a:rPr lang="en-US" sz="1100" b="0" i="1">
                                    <a:latin typeface="Cambria Math" panose="02040503050406030204" pitchFamily="18" charset="0"/>
                                  </a:rPr>
                                  <m:t>𝜏</m:t>
                                </m:r>
                              </m:den>
                            </m:f>
                          </m:e>
                        </m:d>
                      </m:num>
                      <m:den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𝜏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𝐸</m:t>
                        </m:r>
                        <m:d>
                          <m:dPr>
                            <m:begChr m:val="["/>
                            <m:endChr m:val="]"/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dPr>
                          <m:e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𝑋</m:t>
                            </m:r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;</m:t>
                            </m:r>
                            <m:f>
                              <m:fPr>
                                <m:ctrlPr>
                                  <a:rPr lang="en-US" sz="1100" b="0" i="1">
                                    <a:latin typeface="Cambria Math" panose="02040503050406030204" pitchFamily="18" charset="0"/>
                                  </a:rPr>
                                </m:ctrlPr>
                              </m:fPr>
                              <m:num>
                                <m:r>
                                  <a:rPr lang="en-US" sz="1100" b="0" i="1">
                                    <a:latin typeface="Cambria Math" panose="02040503050406030204" pitchFamily="18" charset="0"/>
                                  </a:rPr>
                                  <m:t>𝑏</m:t>
                                </m:r>
                              </m:num>
                              <m:den>
                                <m:r>
                                  <a:rPr lang="en-US" sz="1100" b="0" i="1">
                                    <a:latin typeface="Cambria Math" panose="02040503050406030204" pitchFamily="18" charset="0"/>
                                  </a:rPr>
                                  <m:t>𝜏</m:t>
                                </m:r>
                              </m:den>
                            </m:f>
                          </m:e>
                        </m:d>
                      </m:den>
                    </m:f>
                    <m:r>
                      <a:rPr lang="en-US" sz="1100" b="0" i="1">
                        <a:latin typeface="Cambria Math" panose="02040503050406030204" pitchFamily="18" charset="0"/>
                      </a:rPr>
                      <m:t>=</m:t>
                    </m:r>
                    <m:f>
                      <m:fPr>
                        <m:ctrlPr>
                          <a:rPr lang="en-US" sz="11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𝐸</m:t>
                        </m:r>
                        <m:d>
                          <m:dPr>
                            <m:begChr m:val="["/>
                            <m:endChr m:val="]"/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dPr>
                          <m:e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𝑋</m:t>
                            </m:r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;</m:t>
                            </m:r>
                            <m:f>
                              <m:fPr>
                                <m:ctrlPr>
                                  <a:rPr lang="en-US" sz="1100" b="0" i="1">
                                    <a:latin typeface="Cambria Math" panose="02040503050406030204" pitchFamily="18" charset="0"/>
                                  </a:rPr>
                                </m:ctrlPr>
                              </m:fPr>
                              <m:num>
                                <m:r>
                                  <a:rPr lang="en-US" sz="1100" b="0" i="1">
                                    <a:latin typeface="Cambria Math" panose="02040503050406030204" pitchFamily="18" charset="0"/>
                                  </a:rPr>
                                  <m:t>𝐿</m:t>
                                </m:r>
                              </m:num>
                              <m:den>
                                <m:r>
                                  <a:rPr lang="en-US" sz="1100" b="0" i="1">
                                    <a:latin typeface="Cambria Math" panose="02040503050406030204" pitchFamily="18" charset="0"/>
                                  </a:rPr>
                                  <m:t>𝜏</m:t>
                                </m:r>
                              </m:den>
                            </m:f>
                          </m:e>
                        </m:d>
                      </m:num>
                      <m:den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𝐸</m:t>
                        </m:r>
                        <m:d>
                          <m:dPr>
                            <m:begChr m:val="["/>
                            <m:endChr m:val="]"/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dPr>
                          <m:e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𝑋</m:t>
                            </m:r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;</m:t>
                            </m:r>
                            <m:f>
                              <m:fPr>
                                <m:ctrlPr>
                                  <a:rPr lang="en-US" sz="1100" b="0" i="1">
                                    <a:latin typeface="Cambria Math" panose="02040503050406030204" pitchFamily="18" charset="0"/>
                                  </a:rPr>
                                </m:ctrlPr>
                              </m:fPr>
                              <m:num>
                                <m:r>
                                  <a:rPr lang="en-US" sz="1100" b="0" i="1">
                                    <a:latin typeface="Cambria Math" panose="02040503050406030204" pitchFamily="18" charset="0"/>
                                  </a:rPr>
                                  <m:t>𝑏</m:t>
                                </m:r>
                              </m:num>
                              <m:den>
                                <m:r>
                                  <a:rPr lang="en-US" sz="1100" b="0" i="1">
                                    <a:latin typeface="Cambria Math" panose="02040503050406030204" pitchFamily="18" charset="0"/>
                                  </a:rPr>
                                  <m:t>𝜏</m:t>
                                </m:r>
                              </m:den>
                            </m:f>
                          </m:e>
                        </m:d>
                      </m:den>
                    </m:f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id="{AAEF766E-B2BA-65B6-EC90-8C241D62E8BE}"/>
                </a:ext>
              </a:extLst>
            </xdr:cNvPr>
            <xdr:cNvSpPr txBox="1"/>
          </xdr:nvSpPr>
          <xdr:spPr>
            <a:xfrm>
              <a:off x="4933950" y="128587"/>
              <a:ext cx="3109954" cy="59888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US" sz="1100" b="0" i="0">
                  <a:latin typeface="Cambria Math" panose="02040503050406030204" pitchFamily="18" charset="0"/>
                </a:rPr>
                <a:t>"ILF after inflation"=𝐸[𝜏𝑋;𝐿]/𝐸[𝜏𝑋;𝑏] =𝜏𝐸[𝑋;𝐿/𝜏]/𝜏𝐸[𝑋;𝑏/𝜏] =𝐸[𝑋;𝐿/𝜏]/𝐸[𝑋;𝑏/𝜏] </a:t>
              </a:r>
              <a:endParaRPr lang="en-GB" sz="1100"/>
            </a:p>
          </xdr:txBody>
        </xdr:sp>
      </mc:Fallback>
    </mc:AlternateContent>
    <xdr:clientData/>
  </xdr:oneCellAnchor>
</xdr:wsDr>
</file>

<file path=xl/drawings/drawing15.xml><?xml version="1.0" encoding="utf-8"?>
<xdr:wsDr xmlns:xdr="http://schemas.openxmlformats.org/drawingml/2006/spreadsheetDrawing" xmlns:a="http://schemas.openxmlformats.org/drawingml/2006/main">
  <xdr:oneCellAnchor>
    <xdr:from>
      <xdr:col>10</xdr:col>
      <xdr:colOff>0</xdr:colOff>
      <xdr:row>2</xdr:row>
      <xdr:rowOff>0</xdr:rowOff>
    </xdr:from>
    <xdr:ext cx="2080698" cy="48378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id="{AF368E0E-52A7-4D61-81BE-B482C51A49C7}"/>
                </a:ext>
              </a:extLst>
            </xdr:cNvPr>
            <xdr:cNvSpPr txBox="1"/>
          </xdr:nvSpPr>
          <xdr:spPr>
            <a:xfrm>
              <a:off x="6172200" y="381000"/>
              <a:ext cx="2080698" cy="48378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acc>
                      <m:accPr>
                        <m:chr m:val="̃"/>
                        <m:ctrlPr>
                          <a:rPr lang="en-US" sz="1100" b="0" i="1">
                            <a:latin typeface="Cambria Math" panose="02040503050406030204" pitchFamily="18" charset="0"/>
                          </a:rPr>
                        </m:ctrlPr>
                      </m:accPr>
                      <m:e>
                        <m:sSub>
                          <m:sSubPr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𝜏</m:t>
                            </m:r>
                          </m:e>
                          <m:sub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𝑆</m:t>
                            </m:r>
                          </m:sub>
                        </m:sSub>
                      </m:e>
                    </m:acc>
                    <m:r>
                      <a:rPr lang="en-US" sz="1100" b="0" i="1">
                        <a:latin typeface="Cambria Math" panose="02040503050406030204" pitchFamily="18" charset="0"/>
                      </a:rPr>
                      <m:t>=</m:t>
                    </m:r>
                    <m:f>
                      <m:fPr>
                        <m:ctrlPr>
                          <a:rPr lang="en-US" sz="11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sSub>
                          <m:sSubPr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𝜏</m:t>
                            </m:r>
                          </m:e>
                          <m:sub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𝑋</m:t>
                            </m:r>
                          </m:sub>
                        </m:sSub>
                        <m:d>
                          <m:dPr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dPr>
                          <m:e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𝐸</m:t>
                            </m:r>
                            <m:d>
                              <m:dPr>
                                <m:begChr m:val="["/>
                                <m:endChr m:val="]"/>
                                <m:ctrlPr>
                                  <a:rPr lang="en-US" sz="1100" b="0" i="1">
                                    <a:latin typeface="Cambria Math" panose="02040503050406030204" pitchFamily="18" charset="0"/>
                                  </a:rPr>
                                </m:ctrlPr>
                              </m:dPr>
                              <m:e>
                                <m:r>
                                  <a:rPr lang="en-US" sz="1100" b="0" i="1">
                                    <a:latin typeface="Cambria Math" panose="02040503050406030204" pitchFamily="18" charset="0"/>
                                  </a:rPr>
                                  <m:t>𝑋</m:t>
                                </m:r>
                                <m:r>
                                  <a:rPr lang="en-US" sz="1100" b="0" i="1">
                                    <a:latin typeface="Cambria Math" panose="02040503050406030204" pitchFamily="18" charset="0"/>
                                  </a:rPr>
                                  <m:t>;</m:t>
                                </m:r>
                                <m:f>
                                  <m:fPr>
                                    <m:ctrlPr>
                                      <a:rPr lang="en-US" sz="1100" b="0" i="1">
                                        <a:latin typeface="Cambria Math" panose="02040503050406030204" pitchFamily="18" charset="0"/>
                                      </a:rPr>
                                    </m:ctrlPr>
                                  </m:fPr>
                                  <m:num>
                                    <m:r>
                                      <a:rPr lang="en-US" sz="1100" b="0" i="1">
                                        <a:latin typeface="Cambria Math" panose="02040503050406030204" pitchFamily="18" charset="0"/>
                                      </a:rPr>
                                      <m:t>𝐴</m:t>
                                    </m:r>
                                    <m:r>
                                      <a:rPr lang="en-US" sz="1100" b="0" i="1">
                                        <a:latin typeface="Cambria Math" panose="02040503050406030204" pitchFamily="18" charset="0"/>
                                      </a:rPr>
                                      <m:t>+</m:t>
                                    </m:r>
                                    <m:r>
                                      <a:rPr lang="en-US" sz="1100" b="0" i="1">
                                        <a:latin typeface="Cambria Math" panose="02040503050406030204" pitchFamily="18" charset="0"/>
                                      </a:rPr>
                                      <m:t>𝐿</m:t>
                                    </m:r>
                                  </m:num>
                                  <m:den>
                                    <m:sSub>
                                      <m:sSubPr>
                                        <m:ctrlPr>
                                          <a:rPr lang="en-US" sz="1100" b="0" i="1">
                                            <a:latin typeface="Cambria Math" panose="02040503050406030204" pitchFamily="18" charset="0"/>
                                          </a:rPr>
                                        </m:ctrlPr>
                                      </m:sSubPr>
                                      <m:e>
                                        <m:r>
                                          <a:rPr lang="en-US" sz="1100" b="0" i="1">
                                            <a:latin typeface="Cambria Math" panose="02040503050406030204" pitchFamily="18" charset="0"/>
                                          </a:rPr>
                                          <m:t>𝜏</m:t>
                                        </m:r>
                                      </m:e>
                                      <m:sub>
                                        <m:r>
                                          <a:rPr lang="en-US" sz="1100" b="0" i="1">
                                            <a:latin typeface="Cambria Math" panose="02040503050406030204" pitchFamily="18" charset="0"/>
                                          </a:rPr>
                                          <m:t>𝑋</m:t>
                                        </m:r>
                                      </m:sub>
                                    </m:sSub>
                                  </m:den>
                                </m:f>
                              </m:e>
                            </m:d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−</m:t>
                            </m:r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𝐸</m:t>
                            </m:r>
                            <m:d>
                              <m:dPr>
                                <m:begChr m:val="["/>
                                <m:endChr m:val="]"/>
                                <m:ctrlPr>
                                  <a:rPr lang="en-US" sz="1100" b="0" i="1">
                                    <a:latin typeface="Cambria Math" panose="02040503050406030204" pitchFamily="18" charset="0"/>
                                  </a:rPr>
                                </m:ctrlPr>
                              </m:dPr>
                              <m:e>
                                <m:r>
                                  <a:rPr lang="en-US" sz="1100" b="0" i="1">
                                    <a:latin typeface="Cambria Math" panose="02040503050406030204" pitchFamily="18" charset="0"/>
                                  </a:rPr>
                                  <m:t>𝑋</m:t>
                                </m:r>
                                <m:r>
                                  <a:rPr lang="en-US" sz="1100" b="0" i="1">
                                    <a:latin typeface="Cambria Math" panose="02040503050406030204" pitchFamily="18" charset="0"/>
                                  </a:rPr>
                                  <m:t>;</m:t>
                                </m:r>
                                <m:f>
                                  <m:fPr>
                                    <m:ctrlPr>
                                      <a:rPr lang="en-US" sz="1100" b="0" i="1">
                                        <a:latin typeface="Cambria Math" panose="02040503050406030204" pitchFamily="18" charset="0"/>
                                      </a:rPr>
                                    </m:ctrlPr>
                                  </m:fPr>
                                  <m:num>
                                    <m:r>
                                      <a:rPr lang="en-US" sz="1100" b="0" i="1">
                                        <a:latin typeface="Cambria Math" panose="02040503050406030204" pitchFamily="18" charset="0"/>
                                      </a:rPr>
                                      <m:t>𝐴</m:t>
                                    </m:r>
                                  </m:num>
                                  <m:den>
                                    <m:sSub>
                                      <m:sSubPr>
                                        <m:ctrlPr>
                                          <a:rPr lang="en-US" sz="1100" b="0" i="1">
                                            <a:latin typeface="Cambria Math" panose="02040503050406030204" pitchFamily="18" charset="0"/>
                                          </a:rPr>
                                        </m:ctrlPr>
                                      </m:sSubPr>
                                      <m:e>
                                        <m:r>
                                          <a:rPr lang="en-US" sz="1100" b="0" i="1">
                                            <a:latin typeface="Cambria Math" panose="02040503050406030204" pitchFamily="18" charset="0"/>
                                          </a:rPr>
                                          <m:t>𝜏</m:t>
                                        </m:r>
                                      </m:e>
                                      <m:sub>
                                        <m:r>
                                          <a:rPr lang="en-US" sz="1100" b="0" i="1">
                                            <a:latin typeface="Cambria Math" panose="02040503050406030204" pitchFamily="18" charset="0"/>
                                          </a:rPr>
                                          <m:t>𝑋</m:t>
                                        </m:r>
                                      </m:sub>
                                    </m:sSub>
                                  </m:den>
                                </m:f>
                              </m:e>
                            </m:d>
                          </m:e>
                        </m:d>
                      </m:num>
                      <m:den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𝐸</m:t>
                        </m:r>
                        <m:d>
                          <m:dPr>
                            <m:begChr m:val="["/>
                            <m:endChr m:val="]"/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dPr>
                          <m:e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𝑋</m:t>
                            </m:r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;</m:t>
                            </m:r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𝐴</m:t>
                            </m:r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+</m:t>
                            </m:r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𝐿</m:t>
                            </m:r>
                          </m:e>
                        </m:d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−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𝐸</m:t>
                        </m:r>
                        <m:d>
                          <m:dPr>
                            <m:begChr m:val="["/>
                            <m:endChr m:val="]"/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dPr>
                          <m:e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𝑋</m:t>
                            </m:r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;</m:t>
                            </m:r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𝐴</m:t>
                            </m:r>
                          </m:e>
                        </m:d>
                      </m:den>
                    </m:f>
                    <m:r>
                      <a:rPr lang="en-US" sz="1100" b="0" i="1">
                        <a:latin typeface="Cambria Math" panose="02040503050406030204" pitchFamily="18" charset="0"/>
                      </a:rPr>
                      <m:t> </m:t>
                    </m:r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id="{AF368E0E-52A7-4D61-81BE-B482C51A49C7}"/>
                </a:ext>
              </a:extLst>
            </xdr:cNvPr>
            <xdr:cNvSpPr txBox="1"/>
          </xdr:nvSpPr>
          <xdr:spPr>
            <a:xfrm>
              <a:off x="6172200" y="381000"/>
              <a:ext cx="2080698" cy="48378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US" sz="1100" b="0" i="0">
                  <a:latin typeface="Cambria Math" panose="02040503050406030204" pitchFamily="18" charset="0"/>
                </a:rPr>
                <a:t>(𝜏_𝑆 ) ̃=(𝜏_𝑋 (𝐸[𝑋;(𝐴+𝐿)/𝜏_𝑋 ]−𝐸[𝑋;𝐴/𝜏_𝑋 ]))/(𝐸[𝑋;𝐴+𝐿]−𝐸[𝑋;𝐴] )  </a:t>
              </a:r>
              <a:endParaRPr lang="en-GB" sz="1100"/>
            </a:p>
          </xdr:txBody>
        </xdr:sp>
      </mc:Fallback>
    </mc:AlternateContent>
    <xdr:clientData/>
  </xdr:oneCellAnchor>
</xdr:wsDr>
</file>

<file path=xl/drawings/drawing16.xml><?xml version="1.0" encoding="utf-8"?>
<xdr:wsDr xmlns:xdr="http://schemas.openxmlformats.org/drawingml/2006/spreadsheetDrawing" xmlns:a="http://schemas.openxmlformats.org/drawingml/2006/main">
  <xdr:oneCellAnchor>
    <xdr:from>
      <xdr:col>10</xdr:col>
      <xdr:colOff>457200</xdr:colOff>
      <xdr:row>3</xdr:row>
      <xdr:rowOff>109537</xdr:rowOff>
    </xdr:from>
    <xdr:ext cx="2709396" cy="352854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id="{2BC2EB25-2E7A-8B2C-29CB-AAAFC6B327E0}"/>
                </a:ext>
              </a:extLst>
            </xdr:cNvPr>
            <xdr:cNvSpPr txBox="1"/>
          </xdr:nvSpPr>
          <xdr:spPr>
            <a:xfrm>
              <a:off x="7362825" y="681037"/>
              <a:ext cx="2709396" cy="35285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US" sz="1100" b="0" i="1">
                        <a:latin typeface="Cambria Math" panose="02040503050406030204" pitchFamily="18" charset="0"/>
                      </a:rPr>
                      <m:t>𝜌</m:t>
                    </m:r>
                    <m:d>
                      <m:dPr>
                        <m:ctrlPr>
                          <a:rPr lang="en-US" sz="1100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𝐿</m:t>
                        </m:r>
                      </m:e>
                    </m:d>
                    <m:r>
                      <a:rPr lang="en-US" sz="1100" b="0" i="1">
                        <a:latin typeface="Cambria Math" panose="02040503050406030204" pitchFamily="18" charset="0"/>
                      </a:rPr>
                      <m:t>=</m:t>
                    </m:r>
                    <m:f>
                      <m:fPr>
                        <m:ctrlPr>
                          <a:rPr lang="en-US" sz="11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𝑘𝑉𝑎𝑟</m:t>
                        </m:r>
                        <m:d>
                          <m:dPr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dPr>
                          <m:e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𝑆</m:t>
                            </m:r>
                          </m:e>
                        </m:d>
                      </m:num>
                      <m:den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𝐸</m:t>
                        </m:r>
                        <m:d>
                          <m:dPr>
                            <m:begChr m:val="["/>
                            <m:endChr m:val="]"/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dPr>
                          <m:e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𝑁</m:t>
                            </m:r>
                          </m:e>
                        </m:d>
                      </m:den>
                    </m:f>
                    <m:r>
                      <a:rPr lang="en-US" sz="1100" b="0" i="1">
                        <a:latin typeface="Cambria Math" panose="02040503050406030204" pitchFamily="18" charset="0"/>
                      </a:rPr>
                      <m:t>=</m:t>
                    </m:r>
                    <m:r>
                      <a:rPr lang="en-US" sz="1100" b="0" i="1">
                        <a:latin typeface="Cambria Math" panose="02040503050406030204" pitchFamily="18" charset="0"/>
                      </a:rPr>
                      <m:t>𝑘</m:t>
                    </m:r>
                    <m:r>
                      <a:rPr lang="en-US" sz="1100" b="0" i="1">
                        <a:latin typeface="Cambria Math" panose="02040503050406030204" pitchFamily="18" charset="0"/>
                      </a:rPr>
                      <m:t>(</m:t>
                    </m:r>
                    <m:r>
                      <a:rPr lang="en-US" sz="1100" b="0" i="1">
                        <a:latin typeface="Cambria Math" panose="02040503050406030204" pitchFamily="18" charset="0"/>
                      </a:rPr>
                      <m:t>𝐸</m:t>
                    </m:r>
                    <m:d>
                      <m:dPr>
                        <m:begChr m:val="["/>
                        <m:endChr m:val="]"/>
                        <m:ctrlPr>
                          <a:rPr lang="en-US" sz="1100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sSup>
                          <m:sSupPr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sSupPr>
                          <m:e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𝑋</m:t>
                            </m:r>
                          </m:e>
                          <m:sup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2</m:t>
                            </m:r>
                          </m:sup>
                        </m:sSup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;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𝐿</m:t>
                        </m:r>
                      </m:e>
                    </m:d>
                    <m:r>
                      <a:rPr lang="en-US" sz="1100" b="0" i="1">
                        <a:latin typeface="Cambria Math" panose="02040503050406030204" pitchFamily="18" charset="0"/>
                      </a:rPr>
                      <m:t>+</m:t>
                    </m:r>
                    <m:r>
                      <a:rPr lang="en-US" sz="1100" b="0" i="1">
                        <a:latin typeface="Cambria Math" panose="02040503050406030204" pitchFamily="18" charset="0"/>
                      </a:rPr>
                      <m:t>𝛿</m:t>
                    </m:r>
                    <m:d>
                      <m:dPr>
                        <m:ctrlPr>
                          <a:rPr lang="en-US" sz="1100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𝐸</m:t>
                        </m:r>
                        <m:sSup>
                          <m:sSupPr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sSupPr>
                          <m:e>
                            <m:d>
                              <m:dPr>
                                <m:begChr m:val="["/>
                                <m:endChr m:val="]"/>
                                <m:ctrlPr>
                                  <a:rPr lang="en-US" sz="1100" b="0" i="1">
                                    <a:latin typeface="Cambria Math" panose="02040503050406030204" pitchFamily="18" charset="0"/>
                                  </a:rPr>
                                </m:ctrlPr>
                              </m:dPr>
                              <m:e>
                                <m:r>
                                  <a:rPr lang="en-US" sz="1100" b="0" i="1">
                                    <a:latin typeface="Cambria Math" panose="02040503050406030204" pitchFamily="18" charset="0"/>
                                  </a:rPr>
                                  <m:t>𝑋</m:t>
                                </m:r>
                                <m:r>
                                  <a:rPr lang="en-US" sz="1100" b="0" i="1">
                                    <a:latin typeface="Cambria Math" panose="02040503050406030204" pitchFamily="18" charset="0"/>
                                  </a:rPr>
                                  <m:t>;</m:t>
                                </m:r>
                                <m:r>
                                  <a:rPr lang="en-US" sz="1100" b="0" i="1">
                                    <a:latin typeface="Cambria Math" panose="02040503050406030204" pitchFamily="18" charset="0"/>
                                  </a:rPr>
                                  <m:t>𝐿</m:t>
                                </m:r>
                              </m:e>
                            </m:d>
                          </m:e>
                          <m:sup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2</m:t>
                            </m:r>
                          </m:sup>
                        </m:sSup>
                      </m:e>
                    </m:d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id="{2BC2EB25-2E7A-8B2C-29CB-AAAFC6B327E0}"/>
                </a:ext>
              </a:extLst>
            </xdr:cNvPr>
            <xdr:cNvSpPr txBox="1"/>
          </xdr:nvSpPr>
          <xdr:spPr>
            <a:xfrm>
              <a:off x="7362825" y="681037"/>
              <a:ext cx="2709396" cy="35285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US" sz="1100" b="0" i="0">
                  <a:latin typeface="Cambria Math" panose="02040503050406030204" pitchFamily="18" charset="0"/>
                </a:rPr>
                <a:t>𝜌(𝐿)=𝑘𝑉𝑎𝑟(𝑆)/𝐸[𝑁] =𝑘(𝐸[𝑋^2;𝐿]+𝛿(𝐸[𝑋;𝐿]^2 )</a:t>
              </a:r>
              <a:endParaRPr lang="en-GB" sz="1100"/>
            </a:p>
          </xdr:txBody>
        </xdr:sp>
      </mc:Fallback>
    </mc:AlternateContent>
    <xdr:clientData/>
  </xdr:oneCellAnchor>
  <xdr:oneCellAnchor>
    <xdr:from>
      <xdr:col>8</xdr:col>
      <xdr:colOff>447675</xdr:colOff>
      <xdr:row>5</xdr:row>
      <xdr:rowOff>109537</xdr:rowOff>
    </xdr:from>
    <xdr:ext cx="1035091" cy="358944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4" name="TextBox 3">
              <a:extLst>
                <a:ext uri="{FF2B5EF4-FFF2-40B4-BE49-F238E27FC236}">
                  <a16:creationId xmlns:a16="http://schemas.microsoft.com/office/drawing/2014/main" id="{6252DD9C-FF0E-CC2E-529A-4F884B133EE3}"/>
                </a:ext>
              </a:extLst>
            </xdr:cNvPr>
            <xdr:cNvSpPr txBox="1"/>
          </xdr:nvSpPr>
          <xdr:spPr>
            <a:xfrm>
              <a:off x="6086475" y="1062037"/>
              <a:ext cx="1035091" cy="35894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US" sz="1100" b="0" i="1">
                        <a:latin typeface="Cambria Math" panose="02040503050406030204" pitchFamily="18" charset="0"/>
                      </a:rPr>
                      <m:t>𝛿</m:t>
                    </m:r>
                    <m:r>
                      <a:rPr lang="en-US" sz="1100" b="0" i="1">
                        <a:latin typeface="Cambria Math" panose="02040503050406030204" pitchFamily="18" charset="0"/>
                      </a:rPr>
                      <m:t>=</m:t>
                    </m:r>
                    <m:f>
                      <m:fPr>
                        <m:ctrlPr>
                          <a:rPr lang="en-US" sz="11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𝑉𝑎𝑟</m:t>
                        </m:r>
                        <m:d>
                          <m:dPr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dPr>
                          <m:e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𝑁</m:t>
                            </m:r>
                          </m:e>
                        </m:d>
                      </m:num>
                      <m:den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𝐸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[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𝑁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]</m:t>
                        </m:r>
                      </m:den>
                    </m:f>
                    <m:r>
                      <a:rPr lang="en-US" sz="1100" b="0" i="1">
                        <a:latin typeface="Cambria Math" panose="02040503050406030204" pitchFamily="18" charset="0"/>
                      </a:rPr>
                      <m:t>−1 </m:t>
                    </m:r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4" name="TextBox 3">
              <a:extLst>
                <a:ext uri="{FF2B5EF4-FFF2-40B4-BE49-F238E27FC236}">
                  <a16:creationId xmlns:a16="http://schemas.microsoft.com/office/drawing/2014/main" id="{6252DD9C-FF0E-CC2E-529A-4F884B133EE3}"/>
                </a:ext>
              </a:extLst>
            </xdr:cNvPr>
            <xdr:cNvSpPr txBox="1"/>
          </xdr:nvSpPr>
          <xdr:spPr>
            <a:xfrm>
              <a:off x="6086475" y="1062037"/>
              <a:ext cx="1035091" cy="35894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US" sz="1100" b="0" i="0">
                  <a:latin typeface="Cambria Math" panose="02040503050406030204" pitchFamily="18" charset="0"/>
                </a:rPr>
                <a:t>𝛿=𝑉𝑎𝑟(𝑁)/(𝐸[𝑁])−1 </a:t>
              </a:r>
              <a:endParaRPr lang="en-GB" sz="1100"/>
            </a:p>
          </xdr:txBody>
        </xdr:sp>
      </mc:Fallback>
    </mc:AlternateContent>
    <xdr:clientData/>
  </xdr:oneCellAnchor>
</xdr:wsDr>
</file>

<file path=xl/drawings/drawing17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85725</xdr:colOff>
      <xdr:row>3</xdr:row>
      <xdr:rowOff>4762</xdr:rowOff>
    </xdr:from>
    <xdr:ext cx="2975302" cy="175369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3" name="TextBox 2">
              <a:extLst>
                <a:ext uri="{FF2B5EF4-FFF2-40B4-BE49-F238E27FC236}">
                  <a16:creationId xmlns:a16="http://schemas.microsoft.com/office/drawing/2014/main" id="{65C87B5C-274D-3E83-6AC9-77280B2E9426}"/>
                </a:ext>
              </a:extLst>
            </xdr:cNvPr>
            <xdr:cNvSpPr txBox="1"/>
          </xdr:nvSpPr>
          <xdr:spPr>
            <a:xfrm>
              <a:off x="5133975" y="576262"/>
              <a:ext cx="2975302" cy="17536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US" sz="1100" b="0" i="1">
                        <a:latin typeface="Cambria Math" panose="02040503050406030204" pitchFamily="18" charset="0"/>
                      </a:rPr>
                      <m:t>𝑉𝑎𝑟</m:t>
                    </m:r>
                    <m:d>
                      <m:dPr>
                        <m:ctrlPr>
                          <a:rPr lang="en-US" sz="1100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𝑆</m:t>
                        </m:r>
                      </m:e>
                    </m:d>
                    <m:r>
                      <a:rPr lang="en-US" sz="1100" b="0" i="1">
                        <a:latin typeface="Cambria Math" panose="02040503050406030204" pitchFamily="18" charset="0"/>
                      </a:rPr>
                      <m:t>=</m:t>
                    </m:r>
                    <m:r>
                      <a:rPr lang="en-US" sz="1100" b="0" i="1">
                        <a:latin typeface="Cambria Math" panose="02040503050406030204" pitchFamily="18" charset="0"/>
                      </a:rPr>
                      <m:t>𝐸</m:t>
                    </m:r>
                    <m:d>
                      <m:dPr>
                        <m:begChr m:val="["/>
                        <m:endChr m:val="]"/>
                        <m:ctrlPr>
                          <a:rPr lang="en-US" sz="1100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𝑁</m:t>
                        </m:r>
                      </m:e>
                    </m:d>
                    <m:r>
                      <a:rPr lang="en-US" sz="1100" b="0" i="1">
                        <a:latin typeface="Cambria Math" panose="02040503050406030204" pitchFamily="18" charset="0"/>
                      </a:rPr>
                      <m:t>⋅</m:t>
                    </m:r>
                    <m:r>
                      <a:rPr lang="en-US" sz="1100" b="0" i="1">
                        <a:latin typeface="Cambria Math" panose="02040503050406030204" pitchFamily="18" charset="0"/>
                      </a:rPr>
                      <m:t>𝑉𝑎𝑟</m:t>
                    </m:r>
                    <m:r>
                      <a:rPr lang="en-US" sz="1100" b="0" i="1">
                        <a:latin typeface="Cambria Math" panose="02040503050406030204" pitchFamily="18" charset="0"/>
                      </a:rPr>
                      <m:t>(</m:t>
                    </m:r>
                    <m:r>
                      <a:rPr lang="en-US" sz="1100" b="0" i="1">
                        <a:latin typeface="Cambria Math" panose="02040503050406030204" pitchFamily="18" charset="0"/>
                      </a:rPr>
                      <m:t>𝑋</m:t>
                    </m:r>
                    <m:r>
                      <a:rPr lang="en-US" sz="1100" b="0" i="1">
                        <a:latin typeface="Cambria Math" panose="02040503050406030204" pitchFamily="18" charset="0"/>
                      </a:rPr>
                      <m:t>;</m:t>
                    </m:r>
                    <m:r>
                      <a:rPr lang="en-US" sz="1100" b="0" i="1">
                        <a:latin typeface="Cambria Math" panose="02040503050406030204" pitchFamily="18" charset="0"/>
                      </a:rPr>
                      <m:t>𝐿</m:t>
                    </m:r>
                    <m:r>
                      <a:rPr lang="en-US" sz="1100" b="0" i="1">
                        <a:latin typeface="Cambria Math" panose="02040503050406030204" pitchFamily="18" charset="0"/>
                      </a:rPr>
                      <m:t>)+</m:t>
                    </m:r>
                    <m:r>
                      <a:rPr lang="en-US" sz="1100" b="0" i="1">
                        <a:latin typeface="Cambria Math" panose="02040503050406030204" pitchFamily="18" charset="0"/>
                      </a:rPr>
                      <m:t>𝑉𝑎𝑟</m:t>
                    </m:r>
                    <m:d>
                      <m:dPr>
                        <m:ctrlPr>
                          <a:rPr lang="en-US" sz="1100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𝑁</m:t>
                        </m:r>
                      </m:e>
                    </m:d>
                    <m:r>
                      <a:rPr lang="en-US" sz="1100" b="0" i="1">
                        <a:latin typeface="Cambria Math" panose="02040503050406030204" pitchFamily="18" charset="0"/>
                      </a:rPr>
                      <m:t>⋅</m:t>
                    </m:r>
                    <m:sSup>
                      <m:sSupPr>
                        <m:ctrlPr>
                          <a:rPr lang="en-US" sz="1100" b="0" i="1">
                            <a:latin typeface="Cambria Math" panose="02040503050406030204" pitchFamily="18" charset="0"/>
                          </a:rPr>
                        </m:ctrlPr>
                      </m:sSupPr>
                      <m:e>
                        <m:d>
                          <m:dPr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dPr>
                          <m:e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𝐸</m:t>
                            </m:r>
                            <m:d>
                              <m:dPr>
                                <m:begChr m:val="["/>
                                <m:endChr m:val="]"/>
                                <m:ctrlPr>
                                  <a:rPr lang="en-US" sz="1100" b="0" i="1">
                                    <a:latin typeface="Cambria Math" panose="02040503050406030204" pitchFamily="18" charset="0"/>
                                  </a:rPr>
                                </m:ctrlPr>
                              </m:dPr>
                              <m:e>
                                <m:r>
                                  <a:rPr lang="en-US" sz="1100" b="0" i="1">
                                    <a:latin typeface="Cambria Math" panose="02040503050406030204" pitchFamily="18" charset="0"/>
                                  </a:rPr>
                                  <m:t>𝑋</m:t>
                                </m:r>
                                <m:r>
                                  <a:rPr lang="en-US" sz="1100" b="0" i="1">
                                    <a:latin typeface="Cambria Math" panose="02040503050406030204" pitchFamily="18" charset="0"/>
                                  </a:rPr>
                                  <m:t>;</m:t>
                                </m:r>
                                <m:r>
                                  <a:rPr lang="en-US" sz="1100" b="0" i="1">
                                    <a:latin typeface="Cambria Math" panose="02040503050406030204" pitchFamily="18" charset="0"/>
                                  </a:rPr>
                                  <m:t>𝐿</m:t>
                                </m:r>
                              </m:e>
                            </m:d>
                          </m:e>
                        </m:d>
                      </m:e>
                      <m:sup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2</m:t>
                        </m:r>
                      </m:sup>
                    </m:sSup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3" name="TextBox 2">
              <a:extLst>
                <a:ext uri="{FF2B5EF4-FFF2-40B4-BE49-F238E27FC236}">
                  <a16:creationId xmlns:a16="http://schemas.microsoft.com/office/drawing/2014/main" id="{65C87B5C-274D-3E83-6AC9-77280B2E9426}"/>
                </a:ext>
              </a:extLst>
            </xdr:cNvPr>
            <xdr:cNvSpPr txBox="1"/>
          </xdr:nvSpPr>
          <xdr:spPr>
            <a:xfrm>
              <a:off x="5133975" y="576262"/>
              <a:ext cx="2975302" cy="17536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US" sz="1100" b="0" i="0">
                  <a:latin typeface="Cambria Math" panose="02040503050406030204" pitchFamily="18" charset="0"/>
                </a:rPr>
                <a:t>𝑉𝑎𝑟(𝑆)=𝐸[𝑁]⋅𝑉𝑎𝑟(𝑋;𝐿)+𝑉𝑎𝑟(𝑁)⋅(𝐸[𝑋;𝐿])^2</a:t>
              </a:r>
              <a:endParaRPr lang="en-GB" sz="1100"/>
            </a:p>
          </xdr:txBody>
        </xdr:sp>
      </mc:Fallback>
    </mc:AlternateContent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9</xdr:col>
      <xdr:colOff>95250</xdr:colOff>
      <xdr:row>2</xdr:row>
      <xdr:rowOff>14287</xdr:rowOff>
    </xdr:from>
    <xdr:ext cx="2080698" cy="48378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id="{2C3C351D-CE87-6CB3-90D2-1ECAA0973B7F}"/>
                </a:ext>
              </a:extLst>
            </xdr:cNvPr>
            <xdr:cNvSpPr txBox="1"/>
          </xdr:nvSpPr>
          <xdr:spPr>
            <a:xfrm>
              <a:off x="6515100" y="395287"/>
              <a:ext cx="2080698" cy="48378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acc>
                      <m:accPr>
                        <m:chr m:val="̃"/>
                        <m:ctrlPr>
                          <a:rPr lang="en-US" sz="1100" b="0" i="1">
                            <a:latin typeface="Cambria Math" panose="02040503050406030204" pitchFamily="18" charset="0"/>
                          </a:rPr>
                        </m:ctrlPr>
                      </m:accPr>
                      <m:e>
                        <m:sSub>
                          <m:sSubPr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𝜏</m:t>
                            </m:r>
                          </m:e>
                          <m:sub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𝑆</m:t>
                            </m:r>
                          </m:sub>
                        </m:sSub>
                      </m:e>
                    </m:acc>
                    <m:r>
                      <a:rPr lang="en-US" sz="1100" b="0" i="1">
                        <a:latin typeface="Cambria Math" panose="02040503050406030204" pitchFamily="18" charset="0"/>
                      </a:rPr>
                      <m:t>=</m:t>
                    </m:r>
                    <m:f>
                      <m:fPr>
                        <m:ctrlPr>
                          <a:rPr lang="en-US" sz="11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sSub>
                          <m:sSubPr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𝜏</m:t>
                            </m:r>
                          </m:e>
                          <m:sub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𝑋</m:t>
                            </m:r>
                          </m:sub>
                        </m:sSub>
                        <m:d>
                          <m:dPr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dPr>
                          <m:e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𝐸</m:t>
                            </m:r>
                            <m:d>
                              <m:dPr>
                                <m:begChr m:val="["/>
                                <m:endChr m:val="]"/>
                                <m:ctrlPr>
                                  <a:rPr lang="en-US" sz="1100" b="0" i="1">
                                    <a:latin typeface="Cambria Math" panose="02040503050406030204" pitchFamily="18" charset="0"/>
                                  </a:rPr>
                                </m:ctrlPr>
                              </m:dPr>
                              <m:e>
                                <m:r>
                                  <a:rPr lang="en-US" sz="1100" b="0" i="1">
                                    <a:latin typeface="Cambria Math" panose="02040503050406030204" pitchFamily="18" charset="0"/>
                                  </a:rPr>
                                  <m:t>𝑋</m:t>
                                </m:r>
                                <m:r>
                                  <a:rPr lang="en-US" sz="1100" b="0" i="1">
                                    <a:latin typeface="Cambria Math" panose="02040503050406030204" pitchFamily="18" charset="0"/>
                                  </a:rPr>
                                  <m:t>;</m:t>
                                </m:r>
                                <m:f>
                                  <m:fPr>
                                    <m:ctrlPr>
                                      <a:rPr lang="en-US" sz="1100" b="0" i="1">
                                        <a:latin typeface="Cambria Math" panose="02040503050406030204" pitchFamily="18" charset="0"/>
                                      </a:rPr>
                                    </m:ctrlPr>
                                  </m:fPr>
                                  <m:num>
                                    <m:r>
                                      <a:rPr lang="en-US" sz="1100" b="0" i="1">
                                        <a:latin typeface="Cambria Math" panose="02040503050406030204" pitchFamily="18" charset="0"/>
                                      </a:rPr>
                                      <m:t>𝐴</m:t>
                                    </m:r>
                                    <m:r>
                                      <a:rPr lang="en-US" sz="1100" b="0" i="1">
                                        <a:latin typeface="Cambria Math" panose="02040503050406030204" pitchFamily="18" charset="0"/>
                                      </a:rPr>
                                      <m:t>+</m:t>
                                    </m:r>
                                    <m:r>
                                      <a:rPr lang="en-US" sz="1100" b="0" i="1">
                                        <a:latin typeface="Cambria Math" panose="02040503050406030204" pitchFamily="18" charset="0"/>
                                      </a:rPr>
                                      <m:t>𝐿</m:t>
                                    </m:r>
                                  </m:num>
                                  <m:den>
                                    <m:sSub>
                                      <m:sSubPr>
                                        <m:ctrlPr>
                                          <a:rPr lang="en-US" sz="1100" b="0" i="1">
                                            <a:latin typeface="Cambria Math" panose="02040503050406030204" pitchFamily="18" charset="0"/>
                                          </a:rPr>
                                        </m:ctrlPr>
                                      </m:sSubPr>
                                      <m:e>
                                        <m:r>
                                          <a:rPr lang="en-US" sz="1100" b="0" i="1">
                                            <a:latin typeface="Cambria Math" panose="02040503050406030204" pitchFamily="18" charset="0"/>
                                          </a:rPr>
                                          <m:t>𝜏</m:t>
                                        </m:r>
                                      </m:e>
                                      <m:sub>
                                        <m:r>
                                          <a:rPr lang="en-US" sz="1100" b="0" i="1">
                                            <a:latin typeface="Cambria Math" panose="02040503050406030204" pitchFamily="18" charset="0"/>
                                          </a:rPr>
                                          <m:t>𝑋</m:t>
                                        </m:r>
                                      </m:sub>
                                    </m:sSub>
                                  </m:den>
                                </m:f>
                              </m:e>
                            </m:d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−</m:t>
                            </m:r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𝐸</m:t>
                            </m:r>
                            <m:d>
                              <m:dPr>
                                <m:begChr m:val="["/>
                                <m:endChr m:val="]"/>
                                <m:ctrlPr>
                                  <a:rPr lang="en-US" sz="1100" b="0" i="1">
                                    <a:latin typeface="Cambria Math" panose="02040503050406030204" pitchFamily="18" charset="0"/>
                                  </a:rPr>
                                </m:ctrlPr>
                              </m:dPr>
                              <m:e>
                                <m:r>
                                  <a:rPr lang="en-US" sz="1100" b="0" i="1">
                                    <a:latin typeface="Cambria Math" panose="02040503050406030204" pitchFamily="18" charset="0"/>
                                  </a:rPr>
                                  <m:t>𝑋</m:t>
                                </m:r>
                                <m:r>
                                  <a:rPr lang="en-US" sz="1100" b="0" i="1">
                                    <a:latin typeface="Cambria Math" panose="02040503050406030204" pitchFamily="18" charset="0"/>
                                  </a:rPr>
                                  <m:t>;</m:t>
                                </m:r>
                                <m:f>
                                  <m:fPr>
                                    <m:ctrlPr>
                                      <a:rPr lang="en-US" sz="1100" b="0" i="1">
                                        <a:latin typeface="Cambria Math" panose="02040503050406030204" pitchFamily="18" charset="0"/>
                                      </a:rPr>
                                    </m:ctrlPr>
                                  </m:fPr>
                                  <m:num>
                                    <m:r>
                                      <a:rPr lang="en-US" sz="1100" b="0" i="1">
                                        <a:latin typeface="Cambria Math" panose="02040503050406030204" pitchFamily="18" charset="0"/>
                                      </a:rPr>
                                      <m:t>𝐴</m:t>
                                    </m:r>
                                  </m:num>
                                  <m:den>
                                    <m:sSub>
                                      <m:sSubPr>
                                        <m:ctrlPr>
                                          <a:rPr lang="en-US" sz="1100" b="0" i="1">
                                            <a:latin typeface="Cambria Math" panose="02040503050406030204" pitchFamily="18" charset="0"/>
                                          </a:rPr>
                                        </m:ctrlPr>
                                      </m:sSubPr>
                                      <m:e>
                                        <m:r>
                                          <a:rPr lang="en-US" sz="1100" b="0" i="1">
                                            <a:latin typeface="Cambria Math" panose="02040503050406030204" pitchFamily="18" charset="0"/>
                                          </a:rPr>
                                          <m:t>𝜏</m:t>
                                        </m:r>
                                      </m:e>
                                      <m:sub>
                                        <m:r>
                                          <a:rPr lang="en-US" sz="1100" b="0" i="1">
                                            <a:latin typeface="Cambria Math" panose="02040503050406030204" pitchFamily="18" charset="0"/>
                                          </a:rPr>
                                          <m:t>𝑋</m:t>
                                        </m:r>
                                      </m:sub>
                                    </m:sSub>
                                  </m:den>
                                </m:f>
                              </m:e>
                            </m:d>
                          </m:e>
                        </m:d>
                      </m:num>
                      <m:den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𝐸</m:t>
                        </m:r>
                        <m:d>
                          <m:dPr>
                            <m:begChr m:val="["/>
                            <m:endChr m:val="]"/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dPr>
                          <m:e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𝑋</m:t>
                            </m:r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;</m:t>
                            </m:r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𝐴</m:t>
                            </m:r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+</m:t>
                            </m:r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𝐿</m:t>
                            </m:r>
                          </m:e>
                        </m:d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−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𝐸</m:t>
                        </m:r>
                        <m:d>
                          <m:dPr>
                            <m:begChr m:val="["/>
                            <m:endChr m:val="]"/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dPr>
                          <m:e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𝑋</m:t>
                            </m:r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;</m:t>
                            </m:r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𝐴</m:t>
                            </m:r>
                          </m:e>
                        </m:d>
                      </m:den>
                    </m:f>
                    <m:r>
                      <a:rPr lang="en-US" sz="1100" b="0" i="1">
                        <a:latin typeface="Cambria Math" panose="02040503050406030204" pitchFamily="18" charset="0"/>
                      </a:rPr>
                      <m:t> </m:t>
                    </m:r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id="{2C3C351D-CE87-6CB3-90D2-1ECAA0973B7F}"/>
                </a:ext>
              </a:extLst>
            </xdr:cNvPr>
            <xdr:cNvSpPr txBox="1"/>
          </xdr:nvSpPr>
          <xdr:spPr>
            <a:xfrm>
              <a:off x="6515100" y="395287"/>
              <a:ext cx="2080698" cy="48378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US" sz="1100" b="0" i="0">
                  <a:latin typeface="Cambria Math" panose="02040503050406030204" pitchFamily="18" charset="0"/>
                </a:rPr>
                <a:t>(𝜏_𝑆 ) ̃=(𝜏_𝑋 (𝐸[𝑋;(𝐴+𝐿)/𝜏_𝑋 ]−𝐸[𝑋;𝐴/𝜏_𝑋 ]))/(𝐸[𝑋;𝐴+𝐿]−𝐸[𝑋;𝐴] )  </a:t>
              </a:r>
              <a:endParaRPr lang="en-GB" sz="1100"/>
            </a:p>
          </xdr:txBody>
        </xdr:sp>
      </mc:Fallback>
    </mc:AlternateContent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9</xdr:col>
      <xdr:colOff>9525</xdr:colOff>
      <xdr:row>4</xdr:row>
      <xdr:rowOff>80962</xdr:rowOff>
    </xdr:from>
    <xdr:ext cx="3704925" cy="43274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id="{148D54E7-DFEC-7ABE-0D13-92492B105E45}"/>
                </a:ext>
              </a:extLst>
            </xdr:cNvPr>
            <xdr:cNvSpPr txBox="1"/>
          </xdr:nvSpPr>
          <xdr:spPr>
            <a:xfrm>
              <a:off x="5457825" y="842962"/>
              <a:ext cx="3704925" cy="43274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m:rPr>
                        <m:nor/>
                      </m:rPr>
                      <a:rPr lang="en-US" sz="1100" b="0" i="0">
                        <a:latin typeface="Cambria Math" panose="02040503050406030204" pitchFamily="18" charset="0"/>
                      </a:rPr>
                      <m:t>Excess</m:t>
                    </m:r>
                    <m:r>
                      <m:rPr>
                        <m:nor/>
                      </m:rPr>
                      <a:rPr lang="en-US" sz="1100" b="0" i="0">
                        <a:latin typeface="Cambria Math" panose="02040503050406030204" pitchFamily="18" charset="0"/>
                      </a:rPr>
                      <m:t> </m:t>
                    </m:r>
                    <m:r>
                      <m:rPr>
                        <m:nor/>
                      </m:rPr>
                      <a:rPr lang="en-US" sz="1100" b="0" i="0">
                        <a:latin typeface="Cambria Math" panose="02040503050406030204" pitchFamily="18" charset="0"/>
                      </a:rPr>
                      <m:t>Ratio</m:t>
                    </m:r>
                    <m:r>
                      <m:rPr>
                        <m:nor/>
                      </m:rPr>
                      <a:rPr lang="en-US" sz="1100" b="0" i="0">
                        <a:latin typeface="Cambria Math" panose="02040503050406030204" pitchFamily="18" charset="0"/>
                      </a:rPr>
                      <m:t> @ $400</m:t>
                    </m:r>
                    <m:r>
                      <a:rPr lang="en-US" sz="1100" b="0" i="1">
                        <a:latin typeface="Cambria Math" panose="02040503050406030204" pitchFamily="18" charset="0"/>
                      </a:rPr>
                      <m:t>=1−</m:t>
                    </m:r>
                    <m:f>
                      <m:fPr>
                        <m:ctrlPr>
                          <a:rPr lang="en-US" sz="11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d>
                          <m:dPr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dPr>
                          <m:e>
                            <m:nary>
                              <m:naryPr>
                                <m:ctrlPr>
                                  <a:rPr lang="en-US" sz="1100" b="0" i="1">
                                    <a:latin typeface="Cambria Math" panose="02040503050406030204" pitchFamily="18" charset="0"/>
                                  </a:rPr>
                                </m:ctrlPr>
                              </m:naryPr>
                              <m:sub>
                                <m:r>
                                  <m:rPr>
                                    <m:brk m:alnAt="23"/>
                                  </m:rPr>
                                  <a:rPr lang="en-US" sz="1100" b="0" i="1">
                                    <a:latin typeface="Cambria Math" panose="02040503050406030204" pitchFamily="18" charset="0"/>
                                  </a:rPr>
                                  <m:t>0</m:t>
                                </m:r>
                              </m:sub>
                              <m:sup>
                                <m:r>
                                  <a:rPr lang="en-US" sz="1100" b="0" i="1">
                                    <a:latin typeface="Cambria Math" panose="02040503050406030204" pitchFamily="18" charset="0"/>
                                  </a:rPr>
                                  <m:t>400</m:t>
                                </m:r>
                              </m:sup>
                              <m:e>
                                <m:f>
                                  <m:fPr>
                                    <m:ctrlPr>
                                      <a:rPr lang="en-US" sz="1100" b="0" i="1">
                                        <a:latin typeface="Cambria Math" panose="02040503050406030204" pitchFamily="18" charset="0"/>
                                      </a:rPr>
                                    </m:ctrlPr>
                                  </m:fPr>
                                  <m:num>
                                    <m:r>
                                      <a:rPr lang="en-US" sz="1100" b="0" i="1">
                                        <a:latin typeface="Cambria Math" panose="02040503050406030204" pitchFamily="18" charset="0"/>
                                      </a:rPr>
                                      <m:t>𝑥</m:t>
                                    </m:r>
                                  </m:num>
                                  <m:den>
                                    <m:r>
                                      <a:rPr lang="en-US" sz="1100" b="0" i="1">
                                        <a:latin typeface="Cambria Math" panose="02040503050406030204" pitchFamily="18" charset="0"/>
                                      </a:rPr>
                                      <m:t>500</m:t>
                                    </m:r>
                                  </m:den>
                                </m:f>
                                <m:r>
                                  <a:rPr lang="en-US" sz="1100" b="0" i="1">
                                    <a:latin typeface="Cambria Math" panose="02040503050406030204" pitchFamily="18" charset="0"/>
                                  </a:rPr>
                                  <m:t>𝑑𝑥</m:t>
                                </m:r>
                                <m:r>
                                  <a:rPr lang="en-US" sz="1100" b="0" i="1">
                                    <a:latin typeface="Cambria Math" panose="02040503050406030204" pitchFamily="18" charset="0"/>
                                  </a:rPr>
                                  <m:t>+400</m:t>
                                </m:r>
                                <m:nary>
                                  <m:naryPr>
                                    <m:ctrlPr>
                                      <a:rPr lang="en-US" sz="1100" b="0" i="1">
                                        <a:latin typeface="Cambria Math" panose="02040503050406030204" pitchFamily="18" charset="0"/>
                                      </a:rPr>
                                    </m:ctrlPr>
                                  </m:naryPr>
                                  <m:sub>
                                    <m:r>
                                      <m:rPr>
                                        <m:brk m:alnAt="23"/>
                                      </m:rPr>
                                      <a:rPr lang="en-US" sz="1100" b="0" i="1">
                                        <a:latin typeface="Cambria Math" panose="02040503050406030204" pitchFamily="18" charset="0"/>
                                      </a:rPr>
                                      <m:t>4</m:t>
                                    </m:r>
                                    <m:r>
                                      <a:rPr lang="en-US" sz="1100" b="0" i="1">
                                        <a:latin typeface="Cambria Math" panose="02040503050406030204" pitchFamily="18" charset="0"/>
                                      </a:rPr>
                                      <m:t>00</m:t>
                                    </m:r>
                                  </m:sub>
                                  <m:sup>
                                    <m:r>
                                      <a:rPr lang="en-US" sz="1100" b="0" i="1">
                                        <a:latin typeface="Cambria Math" panose="02040503050406030204" pitchFamily="18" charset="0"/>
                                      </a:rPr>
                                      <m:t>500</m:t>
                                    </m:r>
                                  </m:sup>
                                  <m:e>
                                    <m:f>
                                      <m:fPr>
                                        <m:ctrlPr>
                                          <a:rPr lang="en-US" sz="1100" b="0" i="1">
                                            <a:latin typeface="Cambria Math" panose="02040503050406030204" pitchFamily="18" charset="0"/>
                                          </a:rPr>
                                        </m:ctrlPr>
                                      </m:fPr>
                                      <m:num>
                                        <m:r>
                                          <a:rPr lang="en-US" sz="1100" b="0" i="1">
                                            <a:latin typeface="Cambria Math" panose="02040503050406030204" pitchFamily="18" charset="0"/>
                                          </a:rPr>
                                          <m:t>1</m:t>
                                        </m:r>
                                      </m:num>
                                      <m:den>
                                        <m:r>
                                          <a:rPr lang="en-US" sz="1100" b="0" i="1">
                                            <a:latin typeface="Cambria Math" panose="02040503050406030204" pitchFamily="18" charset="0"/>
                                          </a:rPr>
                                          <m:t>500</m:t>
                                        </m:r>
                                      </m:den>
                                    </m:f>
                                    <m:r>
                                      <a:rPr lang="en-US" sz="1100" b="0" i="1">
                                        <a:latin typeface="Cambria Math" panose="02040503050406030204" pitchFamily="18" charset="0"/>
                                      </a:rPr>
                                      <m:t>𝑑𝑥</m:t>
                                    </m:r>
                                  </m:e>
                                </m:nary>
                              </m:e>
                            </m:nary>
                          </m:e>
                        </m:d>
                      </m:num>
                      <m:den>
                        <m:r>
                          <a:rPr lang="en-US" sz="1100" b="0" i="0">
                            <a:latin typeface="Cambria Math" panose="02040503050406030204" pitchFamily="18" charset="0"/>
                          </a:rPr>
                          <m:t>250</m:t>
                        </m:r>
                      </m:den>
                    </m:f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id="{148D54E7-DFEC-7ABE-0D13-92492B105E45}"/>
                </a:ext>
              </a:extLst>
            </xdr:cNvPr>
            <xdr:cNvSpPr txBox="1"/>
          </xdr:nvSpPr>
          <xdr:spPr>
            <a:xfrm>
              <a:off x="5457825" y="842962"/>
              <a:ext cx="3704925" cy="43274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US" sz="1100" b="0" i="0">
                  <a:latin typeface="Cambria Math" panose="02040503050406030204" pitchFamily="18" charset="0"/>
                </a:rPr>
                <a:t>"Excess Ratio @ $400"=1−((∫_0^400▒〖𝑥/500 𝑑𝑥+400∫_400^500▒〖1/500 𝑑𝑥〗〗))/250</a:t>
              </a:r>
              <a:endParaRPr lang="en-GB" sz="1100"/>
            </a:p>
          </xdr:txBody>
        </xdr:sp>
      </mc:Fallback>
    </mc:AlternateContent>
    <xdr:clientData/>
  </xdr:oneCellAnchor>
  <xdr:oneCellAnchor>
    <xdr:from>
      <xdr:col>9</xdr:col>
      <xdr:colOff>38100</xdr:colOff>
      <xdr:row>13</xdr:row>
      <xdr:rowOff>100012</xdr:rowOff>
    </xdr:from>
    <xdr:ext cx="3735959" cy="43274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3" name="TextBox 2">
              <a:extLst>
                <a:ext uri="{FF2B5EF4-FFF2-40B4-BE49-F238E27FC236}">
                  <a16:creationId xmlns:a16="http://schemas.microsoft.com/office/drawing/2014/main" id="{84F98A96-75F4-47CA-84EE-E890983B8FE6}"/>
                </a:ext>
              </a:extLst>
            </xdr:cNvPr>
            <xdr:cNvSpPr txBox="1"/>
          </xdr:nvSpPr>
          <xdr:spPr>
            <a:xfrm>
              <a:off x="5486400" y="2576512"/>
              <a:ext cx="3735959" cy="43274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US" sz="1100" b="0" i="1">
                        <a:latin typeface="Cambria Math" panose="02040503050406030204" pitchFamily="18" charset="0"/>
                      </a:rPr>
                      <m:t>𝐸𝑥𝑐𝑒𝑠𝑠</m:t>
                    </m:r>
                    <m:r>
                      <a:rPr lang="en-US" sz="1100" b="0" i="1">
                        <a:latin typeface="Cambria Math" panose="02040503050406030204" pitchFamily="18" charset="0"/>
                      </a:rPr>
                      <m:t> </m:t>
                    </m:r>
                    <m:r>
                      <a:rPr lang="en-US" sz="1100" b="0" i="1">
                        <a:latin typeface="Cambria Math" panose="02040503050406030204" pitchFamily="18" charset="0"/>
                      </a:rPr>
                      <m:t>𝑅𝑎𝑡𝑖𝑜</m:t>
                    </m:r>
                    <m:r>
                      <a:rPr lang="en-US" sz="1100" b="0" i="1">
                        <a:latin typeface="Cambria Math" panose="02040503050406030204" pitchFamily="18" charset="0"/>
                      </a:rPr>
                      <m:t> @ $300=1−</m:t>
                    </m:r>
                    <m:f>
                      <m:fPr>
                        <m:ctrlPr>
                          <a:rPr lang="en-US" sz="11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d>
                          <m:dPr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dPr>
                          <m:e>
                            <m:nary>
                              <m:naryPr>
                                <m:ctrlPr>
                                  <a:rPr lang="en-US" sz="1100" b="0" i="1">
                                    <a:latin typeface="Cambria Math" panose="02040503050406030204" pitchFamily="18" charset="0"/>
                                  </a:rPr>
                                </m:ctrlPr>
                              </m:naryPr>
                              <m:sub>
                                <m:r>
                                  <m:rPr>
                                    <m:brk m:alnAt="23"/>
                                  </m:rPr>
                                  <a:rPr lang="en-US" sz="1100" b="0" i="1">
                                    <a:latin typeface="Cambria Math" panose="02040503050406030204" pitchFamily="18" charset="0"/>
                                  </a:rPr>
                                  <m:t>0</m:t>
                                </m:r>
                              </m:sub>
                              <m:sup>
                                <m:r>
                                  <a:rPr lang="en-US" sz="1100" b="0" i="1">
                                    <a:latin typeface="Cambria Math" panose="02040503050406030204" pitchFamily="18" charset="0"/>
                                  </a:rPr>
                                  <m:t>300</m:t>
                                </m:r>
                              </m:sup>
                              <m:e>
                                <m:f>
                                  <m:fPr>
                                    <m:ctrlPr>
                                      <a:rPr lang="en-US" sz="1100" b="0" i="1">
                                        <a:latin typeface="Cambria Math" panose="02040503050406030204" pitchFamily="18" charset="0"/>
                                      </a:rPr>
                                    </m:ctrlPr>
                                  </m:fPr>
                                  <m:num>
                                    <m:r>
                                      <a:rPr lang="en-US" sz="1100" b="0" i="1">
                                        <a:latin typeface="Cambria Math" panose="02040503050406030204" pitchFamily="18" charset="0"/>
                                      </a:rPr>
                                      <m:t>𝑥</m:t>
                                    </m:r>
                                  </m:num>
                                  <m:den>
                                    <m:r>
                                      <a:rPr lang="en-US" sz="1100" b="0" i="1">
                                        <a:latin typeface="Cambria Math" panose="02040503050406030204" pitchFamily="18" charset="0"/>
                                      </a:rPr>
                                      <m:t>375</m:t>
                                    </m:r>
                                  </m:den>
                                </m:f>
                                <m:r>
                                  <a:rPr lang="en-US" sz="1100" b="0" i="1">
                                    <a:latin typeface="Cambria Math" panose="02040503050406030204" pitchFamily="18" charset="0"/>
                                  </a:rPr>
                                  <m:t>𝑑𝑥</m:t>
                                </m:r>
                                <m:r>
                                  <a:rPr lang="en-US" sz="1100" b="0" i="1">
                                    <a:latin typeface="Cambria Math" panose="02040503050406030204" pitchFamily="18" charset="0"/>
                                  </a:rPr>
                                  <m:t>+300</m:t>
                                </m:r>
                                <m:nary>
                                  <m:naryPr>
                                    <m:ctrlPr>
                                      <a:rPr lang="en-US" sz="1100" b="0" i="1">
                                        <a:latin typeface="Cambria Math" panose="02040503050406030204" pitchFamily="18" charset="0"/>
                                      </a:rPr>
                                    </m:ctrlPr>
                                  </m:naryPr>
                                  <m:sub>
                                    <m:r>
                                      <m:rPr>
                                        <m:brk m:alnAt="23"/>
                                      </m:rPr>
                                      <a:rPr lang="en-US" sz="1100" b="0" i="1">
                                        <a:latin typeface="Cambria Math" panose="02040503050406030204" pitchFamily="18" charset="0"/>
                                      </a:rPr>
                                      <m:t>3</m:t>
                                    </m:r>
                                    <m:r>
                                      <a:rPr lang="en-US" sz="1100" b="0" i="1">
                                        <a:latin typeface="Cambria Math" panose="02040503050406030204" pitchFamily="18" charset="0"/>
                                      </a:rPr>
                                      <m:t>00</m:t>
                                    </m:r>
                                  </m:sub>
                                  <m:sup>
                                    <m:r>
                                      <a:rPr lang="en-US" sz="1100" b="0" i="1">
                                        <a:latin typeface="Cambria Math" panose="02040503050406030204" pitchFamily="18" charset="0"/>
                                      </a:rPr>
                                      <m:t>375</m:t>
                                    </m:r>
                                  </m:sup>
                                  <m:e>
                                    <m:f>
                                      <m:fPr>
                                        <m:ctrlPr>
                                          <a:rPr lang="en-US" sz="1100" b="0" i="1">
                                            <a:latin typeface="Cambria Math" panose="02040503050406030204" pitchFamily="18" charset="0"/>
                                          </a:rPr>
                                        </m:ctrlPr>
                                      </m:fPr>
                                      <m:num>
                                        <m:r>
                                          <a:rPr lang="en-US" sz="1100" b="0" i="1">
                                            <a:latin typeface="Cambria Math" panose="02040503050406030204" pitchFamily="18" charset="0"/>
                                          </a:rPr>
                                          <m:t>1</m:t>
                                        </m:r>
                                      </m:num>
                                      <m:den>
                                        <m:r>
                                          <a:rPr lang="en-US" sz="1100" b="0" i="1">
                                            <a:latin typeface="Cambria Math" panose="02040503050406030204" pitchFamily="18" charset="0"/>
                                          </a:rPr>
                                          <m:t>375</m:t>
                                        </m:r>
                                      </m:den>
                                    </m:f>
                                    <m:r>
                                      <a:rPr lang="en-US" sz="1100" b="0" i="1">
                                        <a:latin typeface="Cambria Math" panose="02040503050406030204" pitchFamily="18" charset="0"/>
                                      </a:rPr>
                                      <m:t>𝑑𝑥</m:t>
                                    </m:r>
                                  </m:e>
                                </m:nary>
                              </m:e>
                            </m:nary>
                          </m:e>
                        </m:d>
                      </m:num>
                      <m:den>
                        <m:r>
                          <a:rPr lang="en-US" sz="1100" b="0" i="0">
                            <a:latin typeface="Cambria Math" panose="02040503050406030204" pitchFamily="18" charset="0"/>
                          </a:rPr>
                          <m:t>187.5</m:t>
                        </m:r>
                      </m:den>
                    </m:f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3" name="TextBox 2">
              <a:extLst>
                <a:ext uri="{FF2B5EF4-FFF2-40B4-BE49-F238E27FC236}">
                  <a16:creationId xmlns:a16="http://schemas.microsoft.com/office/drawing/2014/main" id="{84F98A96-75F4-47CA-84EE-E890983B8FE6}"/>
                </a:ext>
              </a:extLst>
            </xdr:cNvPr>
            <xdr:cNvSpPr txBox="1"/>
          </xdr:nvSpPr>
          <xdr:spPr>
            <a:xfrm>
              <a:off x="5486400" y="2576512"/>
              <a:ext cx="3735959" cy="43274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US" sz="1100" b="0" i="0">
                  <a:latin typeface="Cambria Math" panose="02040503050406030204" pitchFamily="18" charset="0"/>
                </a:rPr>
                <a:t>𝐸𝑥𝑐𝑒𝑠𝑠 𝑅𝑎𝑡𝑖𝑜 @ $300=1−((∫24_0^300▒〖𝑥/375 𝑑𝑥+300∫24_300^375▒〖1/375 𝑑𝑥〗〗))/187.5</a:t>
              </a:r>
              <a:endParaRPr lang="en-GB" sz="1100"/>
            </a:p>
          </xdr:txBody>
        </xdr:sp>
      </mc:Fallback>
    </mc:AlternateContent>
    <xdr:clientData/>
  </xdr:oneCellAnchor>
  <xdr:oneCellAnchor>
    <xdr:from>
      <xdr:col>9</xdr:col>
      <xdr:colOff>28575</xdr:colOff>
      <xdr:row>19</xdr:row>
      <xdr:rowOff>161925</xdr:rowOff>
    </xdr:from>
    <xdr:ext cx="3735959" cy="43274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4" name="TextBox 3">
              <a:extLst>
                <a:ext uri="{FF2B5EF4-FFF2-40B4-BE49-F238E27FC236}">
                  <a16:creationId xmlns:a16="http://schemas.microsoft.com/office/drawing/2014/main" id="{CD12616D-0A55-445B-99EE-0F302AEB856F}"/>
                </a:ext>
              </a:extLst>
            </xdr:cNvPr>
            <xdr:cNvSpPr txBox="1"/>
          </xdr:nvSpPr>
          <xdr:spPr>
            <a:xfrm>
              <a:off x="5476875" y="3790950"/>
              <a:ext cx="3735959" cy="43274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US" sz="1100" b="0" i="1">
                        <a:latin typeface="Cambria Math" panose="02040503050406030204" pitchFamily="18" charset="0"/>
                      </a:rPr>
                      <m:t>𝐸𝑥𝑐𝑒𝑠𝑠</m:t>
                    </m:r>
                    <m:r>
                      <a:rPr lang="en-US" sz="1100" b="0" i="1">
                        <a:latin typeface="Cambria Math" panose="02040503050406030204" pitchFamily="18" charset="0"/>
                      </a:rPr>
                      <m:t> </m:t>
                    </m:r>
                    <m:r>
                      <a:rPr lang="en-US" sz="1100" b="0" i="1">
                        <a:latin typeface="Cambria Math" panose="02040503050406030204" pitchFamily="18" charset="0"/>
                      </a:rPr>
                      <m:t>𝑅𝑎𝑡𝑖𝑜</m:t>
                    </m:r>
                    <m:r>
                      <a:rPr lang="en-US" sz="1100" b="0" i="1">
                        <a:latin typeface="Cambria Math" panose="02040503050406030204" pitchFamily="18" charset="0"/>
                      </a:rPr>
                      <m:t> @ $300=1−</m:t>
                    </m:r>
                    <m:f>
                      <m:fPr>
                        <m:ctrlPr>
                          <a:rPr lang="en-US" sz="11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d>
                          <m:dPr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dPr>
                          <m:e>
                            <m:nary>
                              <m:naryPr>
                                <m:ctrlPr>
                                  <a:rPr lang="en-US" sz="1100" b="0" i="1">
                                    <a:latin typeface="Cambria Math" panose="02040503050406030204" pitchFamily="18" charset="0"/>
                                  </a:rPr>
                                </m:ctrlPr>
                              </m:naryPr>
                              <m:sub>
                                <m:r>
                                  <m:rPr>
                                    <m:brk m:alnAt="23"/>
                                  </m:rPr>
                                  <a:rPr lang="en-US" sz="1100" b="0" i="1">
                                    <a:latin typeface="Cambria Math" panose="02040503050406030204" pitchFamily="18" charset="0"/>
                                  </a:rPr>
                                  <m:t>0</m:t>
                                </m:r>
                              </m:sub>
                              <m:sup>
                                <m:r>
                                  <a:rPr lang="en-US" sz="1100" b="0" i="1">
                                    <a:latin typeface="Cambria Math" panose="02040503050406030204" pitchFamily="18" charset="0"/>
                                  </a:rPr>
                                  <m:t>300</m:t>
                                </m:r>
                              </m:sup>
                              <m:e>
                                <m:f>
                                  <m:fPr>
                                    <m:ctrlPr>
                                      <a:rPr lang="en-US" sz="1100" b="0" i="1">
                                        <a:latin typeface="Cambria Math" panose="02040503050406030204" pitchFamily="18" charset="0"/>
                                      </a:rPr>
                                    </m:ctrlPr>
                                  </m:fPr>
                                  <m:num>
                                    <m:r>
                                      <a:rPr lang="en-US" sz="1100" b="0" i="1">
                                        <a:latin typeface="Cambria Math" panose="02040503050406030204" pitchFamily="18" charset="0"/>
                                      </a:rPr>
                                      <m:t>𝑥</m:t>
                                    </m:r>
                                  </m:num>
                                  <m:den>
                                    <m:r>
                                      <a:rPr lang="en-US" sz="1100" b="0" i="1">
                                        <a:latin typeface="Cambria Math" panose="02040503050406030204" pitchFamily="18" charset="0"/>
                                      </a:rPr>
                                      <m:t>625</m:t>
                                    </m:r>
                                  </m:den>
                                </m:f>
                                <m:r>
                                  <a:rPr lang="en-US" sz="1100" b="0" i="1">
                                    <a:latin typeface="Cambria Math" panose="02040503050406030204" pitchFamily="18" charset="0"/>
                                  </a:rPr>
                                  <m:t>𝑑𝑥</m:t>
                                </m:r>
                                <m:r>
                                  <a:rPr lang="en-US" sz="1100" b="0" i="1">
                                    <a:latin typeface="Cambria Math" panose="02040503050406030204" pitchFamily="18" charset="0"/>
                                  </a:rPr>
                                  <m:t>+300</m:t>
                                </m:r>
                                <m:nary>
                                  <m:naryPr>
                                    <m:ctrlPr>
                                      <a:rPr lang="en-US" sz="1100" b="0" i="1">
                                        <a:latin typeface="Cambria Math" panose="02040503050406030204" pitchFamily="18" charset="0"/>
                                      </a:rPr>
                                    </m:ctrlPr>
                                  </m:naryPr>
                                  <m:sub>
                                    <m:r>
                                      <m:rPr>
                                        <m:brk m:alnAt="23"/>
                                      </m:rPr>
                                      <a:rPr lang="en-US" sz="1100" b="0" i="1">
                                        <a:latin typeface="Cambria Math" panose="02040503050406030204" pitchFamily="18" charset="0"/>
                                      </a:rPr>
                                      <m:t>3</m:t>
                                    </m:r>
                                    <m:r>
                                      <a:rPr lang="en-US" sz="1100" b="0" i="1">
                                        <a:latin typeface="Cambria Math" panose="02040503050406030204" pitchFamily="18" charset="0"/>
                                      </a:rPr>
                                      <m:t>00</m:t>
                                    </m:r>
                                  </m:sub>
                                  <m:sup>
                                    <m:r>
                                      <a:rPr lang="en-US" sz="1100" b="0" i="1">
                                        <a:latin typeface="Cambria Math" panose="02040503050406030204" pitchFamily="18" charset="0"/>
                                      </a:rPr>
                                      <m:t>625</m:t>
                                    </m:r>
                                  </m:sup>
                                  <m:e>
                                    <m:f>
                                      <m:fPr>
                                        <m:ctrlPr>
                                          <a:rPr lang="en-US" sz="1100" b="0" i="1">
                                            <a:latin typeface="Cambria Math" panose="02040503050406030204" pitchFamily="18" charset="0"/>
                                          </a:rPr>
                                        </m:ctrlPr>
                                      </m:fPr>
                                      <m:num>
                                        <m:r>
                                          <a:rPr lang="en-US" sz="1100" b="0" i="1">
                                            <a:latin typeface="Cambria Math" panose="02040503050406030204" pitchFamily="18" charset="0"/>
                                          </a:rPr>
                                          <m:t>1</m:t>
                                        </m:r>
                                      </m:num>
                                      <m:den>
                                        <m:r>
                                          <a:rPr lang="en-US" sz="1100" b="0" i="1">
                                            <a:latin typeface="Cambria Math" panose="02040503050406030204" pitchFamily="18" charset="0"/>
                                          </a:rPr>
                                          <m:t>625</m:t>
                                        </m:r>
                                      </m:den>
                                    </m:f>
                                    <m:r>
                                      <a:rPr lang="en-US" sz="1100" b="0" i="1">
                                        <a:latin typeface="Cambria Math" panose="02040503050406030204" pitchFamily="18" charset="0"/>
                                      </a:rPr>
                                      <m:t>𝑑𝑥</m:t>
                                    </m:r>
                                  </m:e>
                                </m:nary>
                              </m:e>
                            </m:nary>
                          </m:e>
                        </m:d>
                      </m:num>
                      <m:den>
                        <m:r>
                          <a:rPr lang="en-US" sz="1100" b="0" i="0">
                            <a:latin typeface="Cambria Math" panose="02040503050406030204" pitchFamily="18" charset="0"/>
                          </a:rPr>
                          <m:t>312.5</m:t>
                        </m:r>
                      </m:den>
                    </m:f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4" name="TextBox 3">
              <a:extLst>
                <a:ext uri="{FF2B5EF4-FFF2-40B4-BE49-F238E27FC236}">
                  <a16:creationId xmlns:a16="http://schemas.microsoft.com/office/drawing/2014/main" id="{CD12616D-0A55-445B-99EE-0F302AEB856F}"/>
                </a:ext>
              </a:extLst>
            </xdr:cNvPr>
            <xdr:cNvSpPr txBox="1"/>
          </xdr:nvSpPr>
          <xdr:spPr>
            <a:xfrm>
              <a:off x="5476875" y="3790950"/>
              <a:ext cx="3735959" cy="43274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US" sz="1100" b="0" i="0">
                  <a:latin typeface="Cambria Math" panose="02040503050406030204" pitchFamily="18" charset="0"/>
                </a:rPr>
                <a:t>𝐸𝑥𝑐𝑒𝑠𝑠 𝑅𝑎𝑡𝑖𝑜 @ $300=1−((∫24_0^300▒〖𝑥/625 𝑑𝑥+300∫24_300^625▒〖1/625 𝑑𝑥〗〗))/312.5</a:t>
              </a:r>
              <a:endParaRPr lang="en-GB" sz="1100"/>
            </a:p>
          </xdr:txBody>
        </xdr:sp>
      </mc:Fallback>
    </mc:AlternateContent>
    <xdr:clientData/>
  </xdr:oneCellAnchor>
  <xdr:oneCellAnchor>
    <xdr:from>
      <xdr:col>15</xdr:col>
      <xdr:colOff>19050</xdr:colOff>
      <xdr:row>32</xdr:row>
      <xdr:rowOff>42862</xdr:rowOff>
    </xdr:from>
    <xdr:ext cx="2186432" cy="383054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5" name="TextBox 4">
              <a:extLst>
                <a:ext uri="{FF2B5EF4-FFF2-40B4-BE49-F238E27FC236}">
                  <a16:creationId xmlns:a16="http://schemas.microsoft.com/office/drawing/2014/main" id="{28B07437-4A2C-4E82-872C-2CC8782D7605}"/>
                </a:ext>
              </a:extLst>
            </xdr:cNvPr>
            <xdr:cNvSpPr txBox="1"/>
          </xdr:nvSpPr>
          <xdr:spPr>
            <a:xfrm>
              <a:off x="9124950" y="5386387"/>
              <a:ext cx="2186432" cy="38305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US" sz="1100" b="0" i="1">
                        <a:latin typeface="Cambria Math" panose="02040503050406030204" pitchFamily="18" charset="0"/>
                      </a:rPr>
                      <m:t>𝐸</m:t>
                    </m:r>
                    <m:d>
                      <m:dPr>
                        <m:begChr m:val="["/>
                        <m:endChr m:val="]"/>
                        <m:ctrlPr>
                          <a:rPr lang="en-US" sz="1100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sSup>
                          <m:sSupPr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sSupPr>
                          <m:e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𝑋</m:t>
                            </m:r>
                          </m:e>
                          <m:sup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2</m:t>
                            </m:r>
                          </m:sup>
                        </m:sSup>
                      </m:e>
                    </m:d>
                    <m:r>
                      <a:rPr lang="en-US" sz="1100" b="0" i="1">
                        <a:latin typeface="Cambria Math" panose="02040503050406030204" pitchFamily="18" charset="0"/>
                      </a:rPr>
                      <m:t>= </m:t>
                    </m:r>
                    <m:nary>
                      <m:naryPr>
                        <m:ctrlPr>
                          <a:rPr lang="en-US" sz="1100" b="0" i="1">
                            <a:latin typeface="Cambria Math" panose="02040503050406030204" pitchFamily="18" charset="0"/>
                          </a:rPr>
                        </m:ctrlPr>
                      </m:naryPr>
                      <m:sub>
                        <m:r>
                          <m:rPr>
                            <m:brk m:alnAt="23"/>
                          </m:rPr>
                          <a:rPr lang="en-US" sz="1100" b="0" i="1">
                            <a:latin typeface="Cambria Math" panose="02040503050406030204" pitchFamily="18" charset="0"/>
                          </a:rPr>
                          <m:t>0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.75</m:t>
                        </m:r>
                      </m:sub>
                      <m:sup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1.25</m:t>
                        </m:r>
                      </m:sup>
                      <m:e>
                        <m:sSup>
                          <m:sSupPr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sSupPr>
                          <m:e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𝑥</m:t>
                            </m:r>
                          </m:e>
                          <m:sup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2</m:t>
                            </m:r>
                          </m:sup>
                        </m:sSup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⋅</m:t>
                        </m:r>
                        <m:f>
                          <m:fPr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fPr>
                          <m:num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1</m:t>
                            </m:r>
                          </m:num>
                          <m:den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(1.25−0.75)</m:t>
                            </m:r>
                          </m:den>
                        </m:f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𝑑𝑥</m:t>
                        </m:r>
                      </m:e>
                    </m:nary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5" name="TextBox 4">
              <a:extLst>
                <a:ext uri="{FF2B5EF4-FFF2-40B4-BE49-F238E27FC236}">
                  <a16:creationId xmlns:a16="http://schemas.microsoft.com/office/drawing/2014/main" id="{28B07437-4A2C-4E82-872C-2CC8782D7605}"/>
                </a:ext>
              </a:extLst>
            </xdr:cNvPr>
            <xdr:cNvSpPr txBox="1"/>
          </xdr:nvSpPr>
          <xdr:spPr>
            <a:xfrm>
              <a:off x="9124950" y="5386387"/>
              <a:ext cx="2186432" cy="38305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US" sz="1100" b="0" i="0">
                  <a:latin typeface="Cambria Math" panose="02040503050406030204" pitchFamily="18" charset="0"/>
                </a:rPr>
                <a:t>𝐸[𝑋^2 ]= ∫24_0.75^1.25▒〖𝑥^2⋅1/((1.25−0.75)) 𝑑𝑥〗</a:t>
              </a:r>
              <a:endParaRPr lang="en-GB" sz="1100"/>
            </a:p>
          </xdr:txBody>
        </xdr:sp>
      </mc:Fallback>
    </mc:AlternateContent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9</xdr:col>
      <xdr:colOff>95250</xdr:colOff>
      <xdr:row>12</xdr:row>
      <xdr:rowOff>14287</xdr:rowOff>
    </xdr:from>
    <xdr:ext cx="2080698" cy="48378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id="{3DC06111-F958-47D6-B9B5-25B992195C33}"/>
                </a:ext>
              </a:extLst>
            </xdr:cNvPr>
            <xdr:cNvSpPr txBox="1"/>
          </xdr:nvSpPr>
          <xdr:spPr>
            <a:xfrm>
              <a:off x="6515100" y="395287"/>
              <a:ext cx="2080698" cy="48378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acc>
                      <m:accPr>
                        <m:chr m:val="̃"/>
                        <m:ctrlPr>
                          <a:rPr lang="en-US" sz="1100" b="0" i="1">
                            <a:latin typeface="Cambria Math" panose="02040503050406030204" pitchFamily="18" charset="0"/>
                          </a:rPr>
                        </m:ctrlPr>
                      </m:accPr>
                      <m:e>
                        <m:sSub>
                          <m:sSubPr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𝜏</m:t>
                            </m:r>
                          </m:e>
                          <m:sub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𝑆</m:t>
                            </m:r>
                          </m:sub>
                        </m:sSub>
                      </m:e>
                    </m:acc>
                    <m:r>
                      <a:rPr lang="en-US" sz="1100" b="0" i="1">
                        <a:latin typeface="Cambria Math" panose="02040503050406030204" pitchFamily="18" charset="0"/>
                      </a:rPr>
                      <m:t>=</m:t>
                    </m:r>
                    <m:f>
                      <m:fPr>
                        <m:ctrlPr>
                          <a:rPr lang="en-US" sz="11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sSub>
                          <m:sSubPr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𝜏</m:t>
                            </m:r>
                          </m:e>
                          <m:sub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𝑋</m:t>
                            </m:r>
                          </m:sub>
                        </m:sSub>
                        <m:d>
                          <m:dPr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dPr>
                          <m:e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𝐸</m:t>
                            </m:r>
                            <m:d>
                              <m:dPr>
                                <m:begChr m:val="["/>
                                <m:endChr m:val="]"/>
                                <m:ctrlPr>
                                  <a:rPr lang="en-US" sz="1100" b="0" i="1">
                                    <a:latin typeface="Cambria Math" panose="02040503050406030204" pitchFamily="18" charset="0"/>
                                  </a:rPr>
                                </m:ctrlPr>
                              </m:dPr>
                              <m:e>
                                <m:r>
                                  <a:rPr lang="en-US" sz="1100" b="0" i="1">
                                    <a:latin typeface="Cambria Math" panose="02040503050406030204" pitchFamily="18" charset="0"/>
                                  </a:rPr>
                                  <m:t>𝑋</m:t>
                                </m:r>
                                <m:r>
                                  <a:rPr lang="en-US" sz="1100" b="0" i="1">
                                    <a:latin typeface="Cambria Math" panose="02040503050406030204" pitchFamily="18" charset="0"/>
                                  </a:rPr>
                                  <m:t>;</m:t>
                                </m:r>
                                <m:f>
                                  <m:fPr>
                                    <m:ctrlPr>
                                      <a:rPr lang="en-US" sz="1100" b="0" i="1">
                                        <a:latin typeface="Cambria Math" panose="02040503050406030204" pitchFamily="18" charset="0"/>
                                      </a:rPr>
                                    </m:ctrlPr>
                                  </m:fPr>
                                  <m:num>
                                    <m:r>
                                      <a:rPr lang="en-US" sz="1100" b="0" i="1">
                                        <a:latin typeface="Cambria Math" panose="02040503050406030204" pitchFamily="18" charset="0"/>
                                      </a:rPr>
                                      <m:t>𝐴</m:t>
                                    </m:r>
                                    <m:r>
                                      <a:rPr lang="en-US" sz="1100" b="0" i="1">
                                        <a:latin typeface="Cambria Math" panose="02040503050406030204" pitchFamily="18" charset="0"/>
                                      </a:rPr>
                                      <m:t>+</m:t>
                                    </m:r>
                                    <m:r>
                                      <a:rPr lang="en-US" sz="1100" b="0" i="1">
                                        <a:latin typeface="Cambria Math" panose="02040503050406030204" pitchFamily="18" charset="0"/>
                                      </a:rPr>
                                      <m:t>𝐿</m:t>
                                    </m:r>
                                  </m:num>
                                  <m:den>
                                    <m:sSub>
                                      <m:sSubPr>
                                        <m:ctrlPr>
                                          <a:rPr lang="en-US" sz="1100" b="0" i="1">
                                            <a:latin typeface="Cambria Math" panose="02040503050406030204" pitchFamily="18" charset="0"/>
                                          </a:rPr>
                                        </m:ctrlPr>
                                      </m:sSubPr>
                                      <m:e>
                                        <m:r>
                                          <a:rPr lang="en-US" sz="1100" b="0" i="1">
                                            <a:latin typeface="Cambria Math" panose="02040503050406030204" pitchFamily="18" charset="0"/>
                                          </a:rPr>
                                          <m:t>𝜏</m:t>
                                        </m:r>
                                      </m:e>
                                      <m:sub>
                                        <m:r>
                                          <a:rPr lang="en-US" sz="1100" b="0" i="1">
                                            <a:latin typeface="Cambria Math" panose="02040503050406030204" pitchFamily="18" charset="0"/>
                                          </a:rPr>
                                          <m:t>𝑋</m:t>
                                        </m:r>
                                      </m:sub>
                                    </m:sSub>
                                  </m:den>
                                </m:f>
                              </m:e>
                            </m:d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−</m:t>
                            </m:r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𝐸</m:t>
                            </m:r>
                            <m:d>
                              <m:dPr>
                                <m:begChr m:val="["/>
                                <m:endChr m:val="]"/>
                                <m:ctrlPr>
                                  <a:rPr lang="en-US" sz="1100" b="0" i="1">
                                    <a:latin typeface="Cambria Math" panose="02040503050406030204" pitchFamily="18" charset="0"/>
                                  </a:rPr>
                                </m:ctrlPr>
                              </m:dPr>
                              <m:e>
                                <m:r>
                                  <a:rPr lang="en-US" sz="1100" b="0" i="1">
                                    <a:latin typeface="Cambria Math" panose="02040503050406030204" pitchFamily="18" charset="0"/>
                                  </a:rPr>
                                  <m:t>𝑋</m:t>
                                </m:r>
                                <m:r>
                                  <a:rPr lang="en-US" sz="1100" b="0" i="1">
                                    <a:latin typeface="Cambria Math" panose="02040503050406030204" pitchFamily="18" charset="0"/>
                                  </a:rPr>
                                  <m:t>;</m:t>
                                </m:r>
                                <m:f>
                                  <m:fPr>
                                    <m:ctrlPr>
                                      <a:rPr lang="en-US" sz="1100" b="0" i="1">
                                        <a:latin typeface="Cambria Math" panose="02040503050406030204" pitchFamily="18" charset="0"/>
                                      </a:rPr>
                                    </m:ctrlPr>
                                  </m:fPr>
                                  <m:num>
                                    <m:r>
                                      <a:rPr lang="en-US" sz="1100" b="0" i="1">
                                        <a:latin typeface="Cambria Math" panose="02040503050406030204" pitchFamily="18" charset="0"/>
                                      </a:rPr>
                                      <m:t>𝐴</m:t>
                                    </m:r>
                                  </m:num>
                                  <m:den>
                                    <m:sSub>
                                      <m:sSubPr>
                                        <m:ctrlPr>
                                          <a:rPr lang="en-US" sz="1100" b="0" i="1">
                                            <a:latin typeface="Cambria Math" panose="02040503050406030204" pitchFamily="18" charset="0"/>
                                          </a:rPr>
                                        </m:ctrlPr>
                                      </m:sSubPr>
                                      <m:e>
                                        <m:r>
                                          <a:rPr lang="en-US" sz="1100" b="0" i="1">
                                            <a:latin typeface="Cambria Math" panose="02040503050406030204" pitchFamily="18" charset="0"/>
                                          </a:rPr>
                                          <m:t>𝜏</m:t>
                                        </m:r>
                                      </m:e>
                                      <m:sub>
                                        <m:r>
                                          <a:rPr lang="en-US" sz="1100" b="0" i="1">
                                            <a:latin typeface="Cambria Math" panose="02040503050406030204" pitchFamily="18" charset="0"/>
                                          </a:rPr>
                                          <m:t>𝑋</m:t>
                                        </m:r>
                                      </m:sub>
                                    </m:sSub>
                                  </m:den>
                                </m:f>
                              </m:e>
                            </m:d>
                          </m:e>
                        </m:d>
                      </m:num>
                      <m:den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𝐸</m:t>
                        </m:r>
                        <m:d>
                          <m:dPr>
                            <m:begChr m:val="["/>
                            <m:endChr m:val="]"/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dPr>
                          <m:e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𝑋</m:t>
                            </m:r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;</m:t>
                            </m:r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𝐴</m:t>
                            </m:r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+</m:t>
                            </m:r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𝐿</m:t>
                            </m:r>
                          </m:e>
                        </m:d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−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𝐸</m:t>
                        </m:r>
                        <m:d>
                          <m:dPr>
                            <m:begChr m:val="["/>
                            <m:endChr m:val="]"/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dPr>
                          <m:e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𝑋</m:t>
                            </m:r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;</m:t>
                            </m:r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𝐴</m:t>
                            </m:r>
                          </m:e>
                        </m:d>
                      </m:den>
                    </m:f>
                    <m:r>
                      <a:rPr lang="en-US" sz="1100" b="0" i="1">
                        <a:latin typeface="Cambria Math" panose="02040503050406030204" pitchFamily="18" charset="0"/>
                      </a:rPr>
                      <m:t> </m:t>
                    </m:r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id="{3DC06111-F958-47D6-B9B5-25B992195C33}"/>
                </a:ext>
              </a:extLst>
            </xdr:cNvPr>
            <xdr:cNvSpPr txBox="1"/>
          </xdr:nvSpPr>
          <xdr:spPr>
            <a:xfrm>
              <a:off x="6515100" y="395287"/>
              <a:ext cx="2080698" cy="48378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US" sz="1100" b="0" i="0">
                  <a:latin typeface="Cambria Math" panose="02040503050406030204" pitchFamily="18" charset="0"/>
                </a:rPr>
                <a:t>(𝜏_𝑆 ) ̃=(𝜏_𝑋 (𝐸[𝑋;(𝐴+𝐿)/𝜏_𝑋 ]−𝐸[𝑋;𝐴/𝜏_𝑋 ]))/(𝐸[𝑋;𝐴+𝐿]−𝐸[𝑋;𝐴] )  </a:t>
              </a:r>
              <a:endParaRPr lang="en-GB" sz="1100"/>
            </a:p>
          </xdr:txBody>
        </xdr:sp>
      </mc:Fallback>
    </mc:AlternateContent>
    <xdr:clientData/>
  </xdr:oneCellAnchor>
  <xdr:oneCellAnchor>
    <xdr:from>
      <xdr:col>9</xdr:col>
      <xdr:colOff>0</xdr:colOff>
      <xdr:row>40</xdr:row>
      <xdr:rowOff>0</xdr:rowOff>
    </xdr:from>
    <xdr:ext cx="1754391" cy="353174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3" name="TextBox 2">
              <a:extLst>
                <a:ext uri="{FF2B5EF4-FFF2-40B4-BE49-F238E27FC236}">
                  <a16:creationId xmlns:a16="http://schemas.microsoft.com/office/drawing/2014/main" id="{009F7984-7C4C-4819-9507-1B77FEA3BFBC}"/>
                </a:ext>
              </a:extLst>
            </xdr:cNvPr>
            <xdr:cNvSpPr txBox="1"/>
          </xdr:nvSpPr>
          <xdr:spPr>
            <a:xfrm>
              <a:off x="5467350" y="7667625"/>
              <a:ext cx="1754391" cy="35317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acc>
                      <m:accPr>
                        <m:chr m:val="̃"/>
                        <m:ctrlPr>
                          <a:rPr lang="en-US" sz="1100" b="0" i="1">
                            <a:latin typeface="Cambria Math" panose="02040503050406030204" pitchFamily="18" charset="0"/>
                          </a:rPr>
                        </m:ctrlPr>
                      </m:accPr>
                      <m:e>
                        <m:sSub>
                          <m:sSubPr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𝜏</m:t>
                            </m:r>
                          </m:e>
                          <m:sub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𝑆</m:t>
                            </m:r>
                          </m:sub>
                        </m:sSub>
                      </m:e>
                    </m:acc>
                    <m:r>
                      <a:rPr lang="en-US" sz="1100" b="0" i="1">
                        <a:latin typeface="Cambria Math" panose="02040503050406030204" pitchFamily="18" charset="0"/>
                      </a:rPr>
                      <m:t>=</m:t>
                    </m:r>
                    <m:f>
                      <m:fPr>
                        <m:ctrlPr>
                          <a:rPr lang="en-US" sz="11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𝐸</m:t>
                        </m:r>
                        <m:d>
                          <m:dPr>
                            <m:begChr m:val="["/>
                            <m:endChr m:val="]"/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dPr>
                          <m:e>
                            <m:sSup>
                              <m:sSupPr>
                                <m:ctrlPr>
                                  <a:rPr lang="en-US" sz="1100" b="0" i="1">
                                    <a:latin typeface="Cambria Math" panose="02040503050406030204" pitchFamily="18" charset="0"/>
                                  </a:rPr>
                                </m:ctrlPr>
                              </m:sSupPr>
                              <m:e>
                                <m:r>
                                  <a:rPr lang="en-US" sz="1100" b="0" i="1">
                                    <a:latin typeface="Cambria Math" panose="02040503050406030204" pitchFamily="18" charset="0"/>
                                  </a:rPr>
                                  <m:t>𝑋</m:t>
                                </m:r>
                              </m:e>
                              <m:sup>
                                <m:r>
                                  <a:rPr lang="en-US" sz="1100" b="0" i="1">
                                    <a:latin typeface="Cambria Math" panose="02040503050406030204" pitchFamily="18" charset="0"/>
                                  </a:rPr>
                                  <m:t>′</m:t>
                                </m:r>
                              </m:sup>
                            </m:sSup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;</m:t>
                            </m:r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𝐴</m:t>
                            </m:r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+</m:t>
                            </m:r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𝐿</m:t>
                            </m:r>
                          </m:e>
                        </m:d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−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𝐸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[</m:t>
                        </m:r>
                        <m:sSup>
                          <m:sSupPr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sSupPr>
                          <m:e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𝑋</m:t>
                            </m:r>
                          </m:e>
                          <m:sup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′</m:t>
                            </m:r>
                          </m:sup>
                        </m:sSup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;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𝐴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]</m:t>
                        </m:r>
                      </m:num>
                      <m:den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𝐸</m:t>
                        </m:r>
                        <m:d>
                          <m:dPr>
                            <m:begChr m:val="["/>
                            <m:endChr m:val="]"/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dPr>
                          <m:e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𝑋</m:t>
                            </m:r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;</m:t>
                            </m:r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𝐴</m:t>
                            </m:r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+</m:t>
                            </m:r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𝐿</m:t>
                            </m:r>
                          </m:e>
                        </m:d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−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𝐸</m:t>
                        </m:r>
                        <m:d>
                          <m:dPr>
                            <m:begChr m:val="["/>
                            <m:endChr m:val="]"/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dPr>
                          <m:e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𝑋</m:t>
                            </m:r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;</m:t>
                            </m:r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𝐴</m:t>
                            </m:r>
                          </m:e>
                        </m:d>
                      </m:den>
                    </m:f>
                    <m:r>
                      <a:rPr lang="en-US" sz="1100" b="0" i="1">
                        <a:latin typeface="Cambria Math" panose="02040503050406030204" pitchFamily="18" charset="0"/>
                      </a:rPr>
                      <m:t> </m:t>
                    </m:r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3" name="TextBox 2">
              <a:extLst>
                <a:ext uri="{FF2B5EF4-FFF2-40B4-BE49-F238E27FC236}">
                  <a16:creationId xmlns:a16="http://schemas.microsoft.com/office/drawing/2014/main" id="{009F7984-7C4C-4819-9507-1B77FEA3BFBC}"/>
                </a:ext>
              </a:extLst>
            </xdr:cNvPr>
            <xdr:cNvSpPr txBox="1"/>
          </xdr:nvSpPr>
          <xdr:spPr>
            <a:xfrm>
              <a:off x="5467350" y="7667625"/>
              <a:ext cx="1754391" cy="35317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US" sz="1100" b="0" i="0">
                  <a:latin typeface="Cambria Math" panose="02040503050406030204" pitchFamily="18" charset="0"/>
                </a:rPr>
                <a:t>(𝜏_𝑆 ) ̃=(𝐸[𝑋^′;𝐴+𝐿]−𝐸[𝑋^′;𝐴])/(𝐸[𝑋;𝐴+𝐿]−𝐸[𝑋;𝐴] )  </a:t>
              </a:r>
              <a:endParaRPr lang="en-GB" sz="1100"/>
            </a:p>
          </xdr:txBody>
        </xdr:sp>
      </mc:Fallback>
    </mc:AlternateContent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8</xdr:col>
      <xdr:colOff>85725</xdr:colOff>
      <xdr:row>19</xdr:row>
      <xdr:rowOff>71437</xdr:rowOff>
    </xdr:from>
    <xdr:ext cx="746999" cy="241220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id="{5EEA44BD-0830-4448-A612-79C9B1B3EA73}"/>
                </a:ext>
              </a:extLst>
            </xdr:cNvPr>
            <xdr:cNvSpPr txBox="1"/>
          </xdr:nvSpPr>
          <xdr:spPr>
            <a:xfrm>
              <a:off x="6429375" y="5834062"/>
              <a:ext cx="746999" cy="24122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US" sz="1100" b="0" i="1">
                        <a:latin typeface="Cambria Math" panose="02040503050406030204" pitchFamily="18" charset="0"/>
                      </a:rPr>
                      <m:t>𝑆</m:t>
                    </m:r>
                    <m:d>
                      <m:dPr>
                        <m:ctrlPr>
                          <a:rPr lang="en-US" sz="1100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𝑥</m:t>
                        </m:r>
                      </m:e>
                    </m:d>
                    <m:r>
                      <a:rPr lang="en-US" sz="1100" b="0" i="1">
                        <a:latin typeface="Cambria Math" panose="02040503050406030204" pitchFamily="18" charset="0"/>
                      </a:rPr>
                      <m:t>= </m:t>
                    </m:r>
                    <m:sSup>
                      <m:sSupPr>
                        <m:ctrlPr>
                          <a:rPr lang="en-US" sz="1100" b="0" i="1">
                            <a:latin typeface="Cambria Math" panose="02040503050406030204" pitchFamily="18" charset="0"/>
                          </a:rPr>
                        </m:ctrlPr>
                      </m:sSupPr>
                      <m:e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𝑒</m:t>
                        </m:r>
                      </m:e>
                      <m:sup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−</m:t>
                        </m:r>
                        <m:f>
                          <m:fPr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fPr>
                          <m:num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𝑥</m:t>
                            </m:r>
                          </m:num>
                          <m:den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𝜃</m:t>
                            </m:r>
                          </m:den>
                        </m:f>
                      </m:sup>
                    </m:sSup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id="{5EEA44BD-0830-4448-A612-79C9B1B3EA73}"/>
                </a:ext>
              </a:extLst>
            </xdr:cNvPr>
            <xdr:cNvSpPr txBox="1"/>
          </xdr:nvSpPr>
          <xdr:spPr>
            <a:xfrm>
              <a:off x="6429375" y="5834062"/>
              <a:ext cx="746999" cy="24122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US" sz="1100" b="0" i="0">
                  <a:latin typeface="Cambria Math" panose="02040503050406030204" pitchFamily="18" charset="0"/>
                </a:rPr>
                <a:t>𝑆(𝑥)= 𝑒^(−𝑥/𝜃)</a:t>
              </a:r>
              <a:endParaRPr lang="en-GB" sz="1100"/>
            </a:p>
          </xdr:txBody>
        </xdr:sp>
      </mc:Fallback>
    </mc:AlternateContent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11</xdr:col>
      <xdr:colOff>285750</xdr:colOff>
      <xdr:row>10</xdr:row>
      <xdr:rowOff>147637</xdr:rowOff>
    </xdr:from>
    <xdr:ext cx="1800365" cy="358881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id="{EA891F4E-ED43-45BC-AB80-F9874BC657D6}"/>
                </a:ext>
              </a:extLst>
            </xdr:cNvPr>
            <xdr:cNvSpPr txBox="1"/>
          </xdr:nvSpPr>
          <xdr:spPr>
            <a:xfrm>
              <a:off x="7058025" y="2052637"/>
              <a:ext cx="1800365" cy="358881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f>
                      <m:fPr>
                        <m:ctrlPr>
                          <a:rPr lang="en-GB" sz="110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𝐸</m:t>
                        </m:r>
                        <m:d>
                          <m:dPr>
                            <m:begChr m:val="["/>
                            <m:endChr m:val="]"/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dPr>
                          <m:e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𝑋</m:t>
                            </m:r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;10,000</m:t>
                            </m:r>
                          </m:e>
                        </m:d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−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𝐸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[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𝑋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;5,000]</m:t>
                        </m:r>
                      </m:num>
                      <m:den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𝐹</m:t>
                        </m:r>
                        <m:d>
                          <m:dPr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dPr>
                          <m:e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10,000</m:t>
                            </m:r>
                          </m:e>
                        </m:d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−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𝐹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(5,000)</m:t>
                        </m:r>
                      </m:den>
                    </m:f>
                    <m:r>
                      <a:rPr lang="en-US" sz="1100" b="0" i="1">
                        <a:latin typeface="Cambria Math" panose="02040503050406030204" pitchFamily="18" charset="0"/>
                      </a:rPr>
                      <m:t>=</m:t>
                    </m:r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id="{EA891F4E-ED43-45BC-AB80-F9874BC657D6}"/>
                </a:ext>
              </a:extLst>
            </xdr:cNvPr>
            <xdr:cNvSpPr txBox="1"/>
          </xdr:nvSpPr>
          <xdr:spPr>
            <a:xfrm>
              <a:off x="7058025" y="2052637"/>
              <a:ext cx="1800365" cy="358881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GB" sz="1100" i="0">
                  <a:latin typeface="Cambria Math" panose="02040503050406030204" pitchFamily="18" charset="0"/>
                </a:rPr>
                <a:t>(</a:t>
              </a:r>
              <a:r>
                <a:rPr lang="en-US" sz="1100" b="0" i="0">
                  <a:latin typeface="Cambria Math" panose="02040503050406030204" pitchFamily="18" charset="0"/>
                </a:rPr>
                <a:t>𝐸[𝑋;10,000]−𝐸[𝑋;5,000]</a:t>
              </a:r>
              <a:r>
                <a:rPr lang="en-GB" sz="1100" b="0" i="0">
                  <a:latin typeface="Cambria Math" panose="02040503050406030204" pitchFamily="18" charset="0"/>
                </a:rPr>
                <a:t>)/(</a:t>
              </a:r>
              <a:r>
                <a:rPr lang="en-US" sz="1100" b="0" i="0">
                  <a:latin typeface="Cambria Math" panose="02040503050406030204" pitchFamily="18" charset="0"/>
                </a:rPr>
                <a:t>𝐹(10,000)−𝐹(5,000)</a:t>
              </a:r>
              <a:r>
                <a:rPr lang="en-GB" sz="1100" b="0" i="0">
                  <a:latin typeface="Cambria Math" panose="02040503050406030204" pitchFamily="18" charset="0"/>
                </a:rPr>
                <a:t>)</a:t>
              </a:r>
              <a:r>
                <a:rPr lang="en-US" sz="1100" b="0" i="0">
                  <a:latin typeface="Cambria Math" panose="02040503050406030204" pitchFamily="18" charset="0"/>
                </a:rPr>
                <a:t>=</a:t>
              </a:r>
              <a:endParaRPr lang="en-GB" sz="1100"/>
            </a:p>
          </xdr:txBody>
        </xdr:sp>
      </mc:Fallback>
    </mc:AlternateContent>
    <xdr:clientData/>
  </xdr:oneCellAnchor>
  <xdr:oneCellAnchor>
    <xdr:from>
      <xdr:col>11</xdr:col>
      <xdr:colOff>257175</xdr:colOff>
      <xdr:row>14</xdr:row>
      <xdr:rowOff>52387</xdr:rowOff>
    </xdr:from>
    <xdr:ext cx="2746906" cy="627095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3" name="TextBox 2">
              <a:extLst>
                <a:ext uri="{FF2B5EF4-FFF2-40B4-BE49-F238E27FC236}">
                  <a16:creationId xmlns:a16="http://schemas.microsoft.com/office/drawing/2014/main" id="{F4F6C0CE-E138-4F16-BC0F-1090DA5359D1}"/>
                </a:ext>
              </a:extLst>
            </xdr:cNvPr>
            <xdr:cNvSpPr txBox="1"/>
          </xdr:nvSpPr>
          <xdr:spPr>
            <a:xfrm>
              <a:off x="7029450" y="2719387"/>
              <a:ext cx="2746906" cy="62709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f>
                      <m:fPr>
                        <m:ctrlPr>
                          <a:rPr lang="en-GB" sz="110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d>
                          <m:dPr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dPr>
                          <m:e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1+10%</m:t>
                            </m:r>
                          </m:e>
                        </m:d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⋅</m:t>
                        </m:r>
                        <m:d>
                          <m:dPr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dPr>
                          <m:e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𝐸</m:t>
                            </m:r>
                            <m:d>
                              <m:dPr>
                                <m:begChr m:val="["/>
                                <m:endChr m:val="]"/>
                                <m:ctrlPr>
                                  <a:rPr lang="en-US" sz="1100" b="0" i="1">
                                    <a:latin typeface="Cambria Math" panose="02040503050406030204" pitchFamily="18" charset="0"/>
                                  </a:rPr>
                                </m:ctrlPr>
                              </m:dPr>
                              <m:e>
                                <m:r>
                                  <a:rPr lang="en-US" sz="1100" b="0" i="1">
                                    <a:latin typeface="Cambria Math" panose="02040503050406030204" pitchFamily="18" charset="0"/>
                                  </a:rPr>
                                  <m:t>𝑋</m:t>
                                </m:r>
                                <m:r>
                                  <a:rPr lang="en-US" sz="1100" b="0" i="1">
                                    <a:latin typeface="Cambria Math" panose="02040503050406030204" pitchFamily="18" charset="0"/>
                                  </a:rPr>
                                  <m:t>;</m:t>
                                </m:r>
                                <m:f>
                                  <m:fPr>
                                    <m:ctrlPr>
                                      <a:rPr lang="en-US" sz="1100" b="0" i="1">
                                        <a:latin typeface="Cambria Math" panose="02040503050406030204" pitchFamily="18" charset="0"/>
                                      </a:rPr>
                                    </m:ctrlPr>
                                  </m:fPr>
                                  <m:num>
                                    <m:r>
                                      <a:rPr lang="en-US" sz="1100" b="0" i="1">
                                        <a:latin typeface="Cambria Math" panose="02040503050406030204" pitchFamily="18" charset="0"/>
                                      </a:rPr>
                                      <m:t>10,000</m:t>
                                    </m:r>
                                  </m:num>
                                  <m:den>
                                    <m:r>
                                      <a:rPr lang="en-US" sz="1100" b="0" i="1">
                                        <a:latin typeface="Cambria Math" panose="02040503050406030204" pitchFamily="18" charset="0"/>
                                      </a:rPr>
                                      <m:t>1.1</m:t>
                                    </m:r>
                                  </m:den>
                                </m:f>
                              </m:e>
                            </m:d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−</m:t>
                            </m:r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𝐸</m:t>
                            </m:r>
                            <m:d>
                              <m:dPr>
                                <m:begChr m:val="["/>
                                <m:endChr m:val="]"/>
                                <m:ctrlPr>
                                  <a:rPr lang="en-US" sz="1100" b="0" i="1">
                                    <a:latin typeface="Cambria Math" panose="02040503050406030204" pitchFamily="18" charset="0"/>
                                  </a:rPr>
                                </m:ctrlPr>
                              </m:dPr>
                              <m:e>
                                <m:r>
                                  <a:rPr lang="en-US" sz="1100" b="0" i="1">
                                    <a:latin typeface="Cambria Math" panose="02040503050406030204" pitchFamily="18" charset="0"/>
                                  </a:rPr>
                                  <m:t>𝑋</m:t>
                                </m:r>
                                <m:r>
                                  <a:rPr lang="en-US" sz="1100" b="0" i="1">
                                    <a:latin typeface="Cambria Math" panose="02040503050406030204" pitchFamily="18" charset="0"/>
                                  </a:rPr>
                                  <m:t>;</m:t>
                                </m:r>
                                <m:f>
                                  <m:fPr>
                                    <m:ctrlPr>
                                      <a:rPr lang="en-US" sz="1100" b="0" i="1">
                                        <a:latin typeface="Cambria Math" panose="02040503050406030204" pitchFamily="18" charset="0"/>
                                      </a:rPr>
                                    </m:ctrlPr>
                                  </m:fPr>
                                  <m:num>
                                    <m:r>
                                      <a:rPr lang="en-US" sz="1100" b="0" i="1">
                                        <a:latin typeface="Cambria Math" panose="02040503050406030204" pitchFamily="18" charset="0"/>
                                      </a:rPr>
                                      <m:t>5,000</m:t>
                                    </m:r>
                                  </m:num>
                                  <m:den>
                                    <m:r>
                                      <a:rPr lang="en-US" sz="1100" b="0" i="1">
                                        <a:latin typeface="Cambria Math" panose="02040503050406030204" pitchFamily="18" charset="0"/>
                                      </a:rPr>
                                      <m:t>1.1</m:t>
                                    </m:r>
                                  </m:den>
                                </m:f>
                              </m:e>
                            </m:d>
                          </m:e>
                        </m:d>
                      </m:num>
                      <m:den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𝐹</m:t>
                        </m:r>
                        <m:d>
                          <m:dPr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dPr>
                          <m:e>
                            <m:f>
                              <m:fPr>
                                <m:ctrlPr>
                                  <a:rPr lang="en-US" sz="1100" b="0" i="1">
                                    <a:latin typeface="Cambria Math" panose="02040503050406030204" pitchFamily="18" charset="0"/>
                                  </a:rPr>
                                </m:ctrlPr>
                              </m:fPr>
                              <m:num>
                                <m:r>
                                  <a:rPr lang="en-US" sz="1100" b="0" i="1">
                                    <a:latin typeface="Cambria Math" panose="02040503050406030204" pitchFamily="18" charset="0"/>
                                  </a:rPr>
                                  <m:t>10,000</m:t>
                                </m:r>
                              </m:num>
                              <m:den>
                                <m:r>
                                  <a:rPr lang="en-US" sz="1100" b="0" i="1">
                                    <a:latin typeface="Cambria Math" panose="02040503050406030204" pitchFamily="18" charset="0"/>
                                  </a:rPr>
                                  <m:t>1.1</m:t>
                                </m:r>
                              </m:den>
                            </m:f>
                          </m:e>
                        </m:d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−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𝐹</m:t>
                        </m:r>
                        <m:d>
                          <m:dPr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dPr>
                          <m:e>
                            <m:f>
                              <m:fPr>
                                <m:ctrlPr>
                                  <a:rPr lang="en-US" sz="1100" b="0" i="1">
                                    <a:latin typeface="Cambria Math" panose="02040503050406030204" pitchFamily="18" charset="0"/>
                                  </a:rPr>
                                </m:ctrlPr>
                              </m:fPr>
                              <m:num>
                                <m:r>
                                  <a:rPr lang="en-US" sz="1100" b="0" i="1">
                                    <a:latin typeface="Cambria Math" panose="02040503050406030204" pitchFamily="18" charset="0"/>
                                  </a:rPr>
                                  <m:t>5,000</m:t>
                                </m:r>
                              </m:num>
                              <m:den>
                                <m:r>
                                  <a:rPr lang="en-US" sz="1100" b="0" i="1">
                                    <a:latin typeface="Cambria Math" panose="02040503050406030204" pitchFamily="18" charset="0"/>
                                  </a:rPr>
                                  <m:t>1.1</m:t>
                                </m:r>
                              </m:den>
                            </m:f>
                          </m:e>
                        </m:d>
                      </m:den>
                    </m:f>
                    <m:r>
                      <a:rPr lang="en-US" sz="1100" b="0" i="1">
                        <a:latin typeface="Cambria Math" panose="02040503050406030204" pitchFamily="18" charset="0"/>
                      </a:rPr>
                      <m:t>=</m:t>
                    </m:r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3" name="TextBox 2">
              <a:extLst>
                <a:ext uri="{FF2B5EF4-FFF2-40B4-BE49-F238E27FC236}">
                  <a16:creationId xmlns:a16="http://schemas.microsoft.com/office/drawing/2014/main" id="{F4F6C0CE-E138-4F16-BC0F-1090DA5359D1}"/>
                </a:ext>
              </a:extLst>
            </xdr:cNvPr>
            <xdr:cNvSpPr txBox="1"/>
          </xdr:nvSpPr>
          <xdr:spPr>
            <a:xfrm>
              <a:off x="7029450" y="2719387"/>
              <a:ext cx="2746906" cy="62709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GB" sz="1100" i="0">
                  <a:latin typeface="Cambria Math" panose="02040503050406030204" pitchFamily="18" charset="0"/>
                </a:rPr>
                <a:t>(</a:t>
              </a:r>
              <a:r>
                <a:rPr lang="en-US" sz="1100" b="0" i="0">
                  <a:latin typeface="Cambria Math" panose="02040503050406030204" pitchFamily="18" charset="0"/>
                </a:rPr>
                <a:t>(1+10%)⋅(𝐸[𝑋;10,000/1.1]−𝐸[𝑋;5,000/1.1])</a:t>
              </a:r>
              <a:r>
                <a:rPr lang="en-GB" sz="1100" b="0" i="0">
                  <a:latin typeface="Cambria Math" panose="02040503050406030204" pitchFamily="18" charset="0"/>
                </a:rPr>
                <a:t>)/(</a:t>
              </a:r>
              <a:r>
                <a:rPr lang="en-US" sz="1100" b="0" i="0">
                  <a:latin typeface="Cambria Math" panose="02040503050406030204" pitchFamily="18" charset="0"/>
                </a:rPr>
                <a:t>𝐹(10,000/1.1)−𝐹(5,000/1.1) </a:t>
              </a:r>
              <a:r>
                <a:rPr lang="en-GB" sz="1100" b="0" i="0">
                  <a:latin typeface="Cambria Math" panose="02040503050406030204" pitchFamily="18" charset="0"/>
                </a:rPr>
                <a:t>)</a:t>
              </a:r>
              <a:r>
                <a:rPr lang="en-US" sz="1100" b="0" i="0">
                  <a:latin typeface="Cambria Math" panose="02040503050406030204" pitchFamily="18" charset="0"/>
                </a:rPr>
                <a:t>=</a:t>
              </a:r>
              <a:endParaRPr lang="en-GB" sz="1100"/>
            </a:p>
          </xdr:txBody>
        </xdr:sp>
      </mc:Fallback>
    </mc:AlternateContent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0</xdr:colOff>
      <xdr:row>12</xdr:row>
      <xdr:rowOff>109537</xdr:rowOff>
    </xdr:from>
    <xdr:ext cx="1210395" cy="347018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id="{DF55F22F-E6AD-47E7-AD89-C0681493394C}"/>
                </a:ext>
              </a:extLst>
            </xdr:cNvPr>
            <xdr:cNvSpPr txBox="1"/>
          </xdr:nvSpPr>
          <xdr:spPr>
            <a:xfrm>
              <a:off x="2762250" y="2395537"/>
              <a:ext cx="1210395" cy="34701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func>
                      <m:funcPr>
                        <m:ctrlPr>
                          <a:rPr lang="en-US" sz="1100" b="0" i="1">
                            <a:latin typeface="Cambria Math" panose="02040503050406030204" pitchFamily="18" charset="0"/>
                          </a:rPr>
                        </m:ctrlPr>
                      </m:funcPr>
                      <m:fName>
                        <m:r>
                          <m:rPr>
                            <m:sty m:val="p"/>
                          </m:rPr>
                          <a:rPr lang="en-US" sz="1100" b="0" i="0">
                            <a:latin typeface="Cambria Math" panose="02040503050406030204" pitchFamily="18" charset="0"/>
                          </a:rPr>
                          <m:t>Pr</m:t>
                        </m:r>
                      </m:fName>
                      <m:e>
                        <m:d>
                          <m:dPr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dPr>
                          <m:e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𝑁</m:t>
                            </m:r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=</m:t>
                            </m:r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𝑛</m:t>
                            </m:r>
                          </m:e>
                        </m:d>
                      </m:e>
                    </m:func>
                    <m:r>
                      <a:rPr lang="en-US" sz="1100" b="0" i="1">
                        <a:latin typeface="Cambria Math" panose="02040503050406030204" pitchFamily="18" charset="0"/>
                      </a:rPr>
                      <m:t>=</m:t>
                    </m:r>
                    <m:f>
                      <m:fPr>
                        <m:ctrlPr>
                          <a:rPr lang="en-US" sz="11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sSup>
                          <m:sSupPr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sSupPr>
                          <m:e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𝜆</m:t>
                            </m:r>
                          </m:e>
                          <m:sup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𝑛</m:t>
                            </m:r>
                          </m:sup>
                        </m:sSup>
                        <m:sSup>
                          <m:sSupPr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sSupPr>
                          <m:e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𝑒</m:t>
                            </m:r>
                          </m:e>
                          <m:sup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−</m:t>
                            </m:r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𝜆</m:t>
                            </m:r>
                          </m:sup>
                        </m:sSup>
                      </m:num>
                      <m:den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𝑛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!</m:t>
                        </m:r>
                      </m:den>
                    </m:f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id="{DF55F22F-E6AD-47E7-AD89-C0681493394C}"/>
                </a:ext>
              </a:extLst>
            </xdr:cNvPr>
            <xdr:cNvSpPr txBox="1"/>
          </xdr:nvSpPr>
          <xdr:spPr>
            <a:xfrm>
              <a:off x="2762250" y="2395537"/>
              <a:ext cx="1210395" cy="34701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US" sz="1100" b="0" i="0">
                  <a:latin typeface="Cambria Math" panose="02040503050406030204" pitchFamily="18" charset="0"/>
                </a:rPr>
                <a:t>Pr⁡(𝑁=𝑛)=(𝜆^𝑛 𝑒^(−𝜆))/𝑛!</a:t>
              </a:r>
              <a:endParaRPr lang="en-GB" sz="1100"/>
            </a:p>
          </xdr:txBody>
        </xdr:sp>
      </mc:Fallback>
    </mc:AlternateContent>
    <xdr:clientData/>
  </xdr:oneCellAnchor>
  <xdr:oneCellAnchor>
    <xdr:from>
      <xdr:col>1</xdr:col>
      <xdr:colOff>219075</xdr:colOff>
      <xdr:row>16</xdr:row>
      <xdr:rowOff>33337</xdr:rowOff>
    </xdr:from>
    <xdr:ext cx="1191095" cy="354456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3" name="TextBox 2">
              <a:extLst>
                <a:ext uri="{FF2B5EF4-FFF2-40B4-BE49-F238E27FC236}">
                  <a16:creationId xmlns:a16="http://schemas.microsoft.com/office/drawing/2014/main" id="{35DE43DD-47CC-42CB-863F-0CD39C5FB828}"/>
                </a:ext>
              </a:extLst>
            </xdr:cNvPr>
            <xdr:cNvSpPr txBox="1"/>
          </xdr:nvSpPr>
          <xdr:spPr>
            <a:xfrm>
              <a:off x="657225" y="2328862"/>
              <a:ext cx="1191095" cy="35445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US" sz="1100" b="0" i="1">
                        <a:latin typeface="Cambria Math" panose="02040503050406030204" pitchFamily="18" charset="0"/>
                      </a:rPr>
                      <m:t>𝑓</m:t>
                    </m:r>
                    <m:d>
                      <m:dPr>
                        <m:ctrlPr>
                          <a:rPr lang="en-US" sz="1100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𝑥</m:t>
                        </m:r>
                      </m:e>
                    </m:d>
                    <m:r>
                      <a:rPr lang="en-US" sz="1100" b="0" i="1">
                        <a:latin typeface="Cambria Math" panose="02040503050406030204" pitchFamily="18" charset="0"/>
                      </a:rPr>
                      <m:t>= </m:t>
                    </m:r>
                    <m:f>
                      <m:fPr>
                        <m:ctrlPr>
                          <a:rPr lang="en-US" sz="11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𝛼</m:t>
                        </m:r>
                        <m:sSup>
                          <m:sSupPr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sSupPr>
                          <m:e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𝛽</m:t>
                            </m:r>
                          </m:e>
                          <m:sup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𝛼</m:t>
                            </m:r>
                          </m:sup>
                        </m:sSup>
                      </m:num>
                      <m:den>
                        <m:sSup>
                          <m:sSupPr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sSupPr>
                          <m:e>
                            <m:d>
                              <m:dPr>
                                <m:ctrlPr>
                                  <a:rPr lang="en-US" sz="1100" b="0" i="1">
                                    <a:latin typeface="Cambria Math" panose="02040503050406030204" pitchFamily="18" charset="0"/>
                                  </a:rPr>
                                </m:ctrlPr>
                              </m:dPr>
                              <m:e>
                                <m:r>
                                  <a:rPr lang="en-US" sz="1100" b="0" i="1">
                                    <a:latin typeface="Cambria Math" panose="02040503050406030204" pitchFamily="18" charset="0"/>
                                  </a:rPr>
                                  <m:t>𝑥</m:t>
                                </m:r>
                                <m:r>
                                  <a:rPr lang="en-US" sz="1100" b="0" i="1">
                                    <a:latin typeface="Cambria Math" panose="02040503050406030204" pitchFamily="18" charset="0"/>
                                  </a:rPr>
                                  <m:t>+</m:t>
                                </m:r>
                                <m:r>
                                  <a:rPr lang="en-US" sz="1100" b="0" i="1">
                                    <a:latin typeface="Cambria Math" panose="02040503050406030204" pitchFamily="18" charset="0"/>
                                  </a:rPr>
                                  <m:t>𝛽</m:t>
                                </m:r>
                              </m:e>
                            </m:d>
                          </m:e>
                          <m:sup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𝛼</m:t>
                            </m:r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+1</m:t>
                            </m:r>
                          </m:sup>
                        </m:sSup>
                      </m:den>
                    </m:f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3" name="TextBox 2">
              <a:extLst>
                <a:ext uri="{FF2B5EF4-FFF2-40B4-BE49-F238E27FC236}">
                  <a16:creationId xmlns:a16="http://schemas.microsoft.com/office/drawing/2014/main" id="{35DE43DD-47CC-42CB-863F-0CD39C5FB828}"/>
                </a:ext>
              </a:extLst>
            </xdr:cNvPr>
            <xdr:cNvSpPr txBox="1"/>
          </xdr:nvSpPr>
          <xdr:spPr>
            <a:xfrm>
              <a:off x="657225" y="2328862"/>
              <a:ext cx="1191095" cy="35445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US" sz="1100" b="0" i="0">
                  <a:latin typeface="Cambria Math" panose="02040503050406030204" pitchFamily="18" charset="0"/>
                </a:rPr>
                <a:t>𝑓(𝑥)=  (𝛼𝛽^𝛼)/(𝑥+𝛽)^(𝛼+1) </a:t>
              </a:r>
              <a:endParaRPr lang="en-GB" sz="1100"/>
            </a:p>
          </xdr:txBody>
        </xdr:sp>
      </mc:Fallback>
    </mc:AlternateContent>
    <xdr:clientData/>
  </xdr:oneCellAnchor>
  <xdr:oneCellAnchor>
    <xdr:from>
      <xdr:col>3</xdr:col>
      <xdr:colOff>381000</xdr:colOff>
      <xdr:row>15</xdr:row>
      <xdr:rowOff>185737</xdr:rowOff>
    </xdr:from>
    <xdr:ext cx="1326581" cy="400046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4" name="TextBox 3">
              <a:extLst>
                <a:ext uri="{FF2B5EF4-FFF2-40B4-BE49-F238E27FC236}">
                  <a16:creationId xmlns:a16="http://schemas.microsoft.com/office/drawing/2014/main" id="{7397F444-29C8-4498-8085-29E9E8B2ACE0}"/>
                </a:ext>
              </a:extLst>
            </xdr:cNvPr>
            <xdr:cNvSpPr txBox="1"/>
          </xdr:nvSpPr>
          <xdr:spPr>
            <a:xfrm>
              <a:off x="2533650" y="3043237"/>
              <a:ext cx="1326581" cy="40004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US" sz="1100" b="0" i="1">
                        <a:latin typeface="Cambria Math" panose="02040503050406030204" pitchFamily="18" charset="0"/>
                      </a:rPr>
                      <m:t>𝐹</m:t>
                    </m:r>
                    <m:d>
                      <m:dPr>
                        <m:ctrlPr>
                          <a:rPr lang="en-US" sz="1100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𝑥</m:t>
                        </m:r>
                      </m:e>
                    </m:d>
                    <m:r>
                      <a:rPr lang="en-US" sz="1100" b="0" i="1">
                        <a:latin typeface="Cambria Math" panose="02040503050406030204" pitchFamily="18" charset="0"/>
                      </a:rPr>
                      <m:t>=1−</m:t>
                    </m:r>
                    <m:sSup>
                      <m:sSupPr>
                        <m:ctrlPr>
                          <a:rPr lang="en-US" sz="1100" b="0" i="1">
                            <a:latin typeface="Cambria Math" panose="02040503050406030204" pitchFamily="18" charset="0"/>
                          </a:rPr>
                        </m:ctrlPr>
                      </m:sSupPr>
                      <m:e>
                        <m:d>
                          <m:dPr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dPr>
                          <m:e>
                            <m:f>
                              <m:fPr>
                                <m:ctrlPr>
                                  <a:rPr lang="en-US" sz="1100" b="0" i="1">
                                    <a:latin typeface="Cambria Math" panose="02040503050406030204" pitchFamily="18" charset="0"/>
                                  </a:rPr>
                                </m:ctrlPr>
                              </m:fPr>
                              <m:num>
                                <m:r>
                                  <a:rPr lang="en-US" sz="1100" b="0" i="1">
                                    <a:latin typeface="Cambria Math" panose="02040503050406030204" pitchFamily="18" charset="0"/>
                                  </a:rPr>
                                  <m:t>𝛽</m:t>
                                </m:r>
                              </m:num>
                              <m:den>
                                <m:r>
                                  <a:rPr lang="en-US" sz="1100" b="0" i="1">
                                    <a:latin typeface="Cambria Math" panose="02040503050406030204" pitchFamily="18" charset="0"/>
                                  </a:rPr>
                                  <m:t>𝑥</m:t>
                                </m:r>
                                <m:r>
                                  <a:rPr lang="en-US" sz="1100" b="0" i="1">
                                    <a:latin typeface="Cambria Math" panose="02040503050406030204" pitchFamily="18" charset="0"/>
                                  </a:rPr>
                                  <m:t>+</m:t>
                                </m:r>
                                <m:r>
                                  <a:rPr lang="en-US" sz="1100" b="0" i="1">
                                    <a:latin typeface="Cambria Math" panose="02040503050406030204" pitchFamily="18" charset="0"/>
                                  </a:rPr>
                                  <m:t>𝛽</m:t>
                                </m:r>
                              </m:den>
                            </m:f>
                          </m:e>
                        </m:d>
                      </m:e>
                      <m:sup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𝛼</m:t>
                        </m:r>
                      </m:sup>
                    </m:sSup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4" name="TextBox 3">
              <a:extLst>
                <a:ext uri="{FF2B5EF4-FFF2-40B4-BE49-F238E27FC236}">
                  <a16:creationId xmlns:a16="http://schemas.microsoft.com/office/drawing/2014/main" id="{7397F444-29C8-4498-8085-29E9E8B2ACE0}"/>
                </a:ext>
              </a:extLst>
            </xdr:cNvPr>
            <xdr:cNvSpPr txBox="1"/>
          </xdr:nvSpPr>
          <xdr:spPr>
            <a:xfrm>
              <a:off x="2533650" y="3043237"/>
              <a:ext cx="1326581" cy="40004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US" sz="1100" b="0" i="0">
                  <a:latin typeface="Cambria Math" panose="02040503050406030204" pitchFamily="18" charset="0"/>
                </a:rPr>
                <a:t>𝐹(𝑥)=1−(𝛽/(𝑥+𝛽))^𝛼</a:t>
              </a:r>
              <a:endParaRPr lang="en-GB" sz="1100"/>
            </a:p>
          </xdr:txBody>
        </xdr:sp>
      </mc:Fallback>
    </mc:AlternateContent>
    <xdr:clientData/>
  </xdr:oneCellAnchor>
  <xdr:oneCellAnchor>
    <xdr:from>
      <xdr:col>1</xdr:col>
      <xdr:colOff>171450</xdr:colOff>
      <xdr:row>18</xdr:row>
      <xdr:rowOff>80962</xdr:rowOff>
    </xdr:from>
    <xdr:ext cx="2234778" cy="442814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5" name="TextBox 4">
              <a:extLst>
                <a:ext uri="{FF2B5EF4-FFF2-40B4-BE49-F238E27FC236}">
                  <a16:creationId xmlns:a16="http://schemas.microsoft.com/office/drawing/2014/main" id="{6D93E5F2-385A-477A-B673-2607136CB279}"/>
                </a:ext>
              </a:extLst>
            </xdr:cNvPr>
            <xdr:cNvSpPr txBox="1"/>
          </xdr:nvSpPr>
          <xdr:spPr>
            <a:xfrm>
              <a:off x="609600" y="2757487"/>
              <a:ext cx="2234778" cy="44281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US" sz="1100" b="0" i="1">
                        <a:latin typeface="Cambria Math" panose="02040503050406030204" pitchFamily="18" charset="0"/>
                      </a:rPr>
                      <m:t>𝐸</m:t>
                    </m:r>
                    <m:d>
                      <m:dPr>
                        <m:begChr m:val="["/>
                        <m:endChr m:val="]"/>
                        <m:ctrlPr>
                          <a:rPr lang="en-US" sz="1100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𝑋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;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𝑥</m:t>
                        </m:r>
                      </m:e>
                    </m:d>
                    <m:r>
                      <a:rPr lang="en-US" sz="1100" b="0" i="1">
                        <a:latin typeface="Cambria Math" panose="02040503050406030204" pitchFamily="18" charset="0"/>
                      </a:rPr>
                      <m:t>= </m:t>
                    </m:r>
                    <m:f>
                      <m:fPr>
                        <m:ctrlPr>
                          <a:rPr lang="en-US" sz="11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𝛽</m:t>
                        </m:r>
                      </m:num>
                      <m:den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𝛼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−1 </m:t>
                        </m:r>
                      </m:den>
                    </m:f>
                    <m:r>
                      <a:rPr lang="en-US" sz="1100" b="0" i="1">
                        <a:latin typeface="Cambria Math" panose="02040503050406030204" pitchFamily="18" charset="0"/>
                      </a:rPr>
                      <m:t>⋅</m:t>
                    </m:r>
                    <m:d>
                      <m:dPr>
                        <m:begChr m:val="["/>
                        <m:endChr m:val="]"/>
                        <m:ctrlPr>
                          <a:rPr lang="en-US" sz="1100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1−</m:t>
                        </m:r>
                        <m:sSup>
                          <m:sSupPr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sSupPr>
                          <m:e>
                            <m:d>
                              <m:dPr>
                                <m:ctrlPr>
                                  <a:rPr lang="en-US" sz="1100" b="0" i="1">
                                    <a:latin typeface="Cambria Math" panose="02040503050406030204" pitchFamily="18" charset="0"/>
                                  </a:rPr>
                                </m:ctrlPr>
                              </m:dPr>
                              <m:e>
                                <m:f>
                                  <m:fPr>
                                    <m:ctrlPr>
                                      <a:rPr lang="en-US" sz="1100" b="0" i="1">
                                        <a:latin typeface="Cambria Math" panose="02040503050406030204" pitchFamily="18" charset="0"/>
                                      </a:rPr>
                                    </m:ctrlPr>
                                  </m:fPr>
                                  <m:num>
                                    <m:r>
                                      <a:rPr lang="en-US" sz="1100" b="0" i="1">
                                        <a:latin typeface="Cambria Math" panose="02040503050406030204" pitchFamily="18" charset="0"/>
                                      </a:rPr>
                                      <m:t>𝛽</m:t>
                                    </m:r>
                                  </m:num>
                                  <m:den>
                                    <m:r>
                                      <a:rPr lang="en-US" sz="1100" b="0" i="1">
                                        <a:latin typeface="Cambria Math" panose="02040503050406030204" pitchFamily="18" charset="0"/>
                                      </a:rPr>
                                      <m:t>𝑥</m:t>
                                    </m:r>
                                    <m:r>
                                      <a:rPr lang="en-US" sz="1100" b="0" i="1">
                                        <a:latin typeface="Cambria Math" panose="02040503050406030204" pitchFamily="18" charset="0"/>
                                      </a:rPr>
                                      <m:t>+</m:t>
                                    </m:r>
                                    <m:r>
                                      <a:rPr lang="en-US" sz="1100" b="0" i="1">
                                        <a:latin typeface="Cambria Math" panose="02040503050406030204" pitchFamily="18" charset="0"/>
                                      </a:rPr>
                                      <m:t>𝛽</m:t>
                                    </m:r>
                                  </m:den>
                                </m:f>
                              </m:e>
                            </m:d>
                          </m:e>
                          <m:sup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𝛼</m:t>
                            </m:r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−1 </m:t>
                            </m:r>
                          </m:sup>
                        </m:sSup>
                      </m:e>
                    </m:d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5" name="TextBox 4">
              <a:extLst>
                <a:ext uri="{FF2B5EF4-FFF2-40B4-BE49-F238E27FC236}">
                  <a16:creationId xmlns:a16="http://schemas.microsoft.com/office/drawing/2014/main" id="{6D93E5F2-385A-477A-B673-2607136CB279}"/>
                </a:ext>
              </a:extLst>
            </xdr:cNvPr>
            <xdr:cNvSpPr txBox="1"/>
          </xdr:nvSpPr>
          <xdr:spPr>
            <a:xfrm>
              <a:off x="609600" y="2757487"/>
              <a:ext cx="2234778" cy="44281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US" sz="1100" b="0" i="0">
                  <a:latin typeface="Cambria Math" panose="02040503050406030204" pitchFamily="18" charset="0"/>
                </a:rPr>
                <a:t>𝐸[𝑋;𝑥]=  𝛽/(𝛼−1 )⋅[1−(𝛽/(𝑥+𝛽))^(𝛼−1 ) ]</a:t>
              </a:r>
              <a:endParaRPr lang="en-GB" sz="1100"/>
            </a:p>
          </xdr:txBody>
        </xdr:sp>
      </mc:Fallback>
    </mc:AlternateContent>
    <xdr:clientData/>
  </xdr:oneCellAnchor>
  <xdr:oneCellAnchor>
    <xdr:from>
      <xdr:col>11</xdr:col>
      <xdr:colOff>419100</xdr:colOff>
      <xdr:row>0</xdr:row>
      <xdr:rowOff>100012</xdr:rowOff>
    </xdr:from>
    <xdr:ext cx="928652" cy="400046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6" name="TextBox 5">
              <a:extLst>
                <a:ext uri="{FF2B5EF4-FFF2-40B4-BE49-F238E27FC236}">
                  <a16:creationId xmlns:a16="http://schemas.microsoft.com/office/drawing/2014/main" id="{C91377EE-A6C5-4750-BD50-85E3F4D0D223}"/>
                </a:ext>
              </a:extLst>
            </xdr:cNvPr>
            <xdr:cNvSpPr txBox="1"/>
          </xdr:nvSpPr>
          <xdr:spPr>
            <a:xfrm>
              <a:off x="8343900" y="100012"/>
              <a:ext cx="928652" cy="40004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US" sz="1100" b="0" i="1">
                        <a:latin typeface="Cambria Math" panose="02040503050406030204" pitchFamily="18" charset="0"/>
                      </a:rPr>
                      <m:t>= </m:t>
                    </m:r>
                    <m:sSup>
                      <m:sSupPr>
                        <m:ctrlPr>
                          <a:rPr lang="en-US" sz="1100" b="0" i="1">
                            <a:latin typeface="Cambria Math" panose="02040503050406030204" pitchFamily="18" charset="0"/>
                          </a:rPr>
                        </m:ctrlPr>
                      </m:sSupPr>
                      <m:e>
                        <m:d>
                          <m:dPr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dPr>
                          <m:e>
                            <m:f>
                              <m:fPr>
                                <m:ctrlPr>
                                  <a:rPr lang="en-US" sz="1100" b="0" i="1">
                                    <a:latin typeface="Cambria Math" panose="02040503050406030204" pitchFamily="18" charset="0"/>
                                  </a:rPr>
                                </m:ctrlPr>
                              </m:fPr>
                              <m:num>
                                <m:r>
                                  <a:rPr lang="en-US" sz="1100" b="0" i="1">
                                    <a:latin typeface="Cambria Math" panose="02040503050406030204" pitchFamily="18" charset="0"/>
                                  </a:rPr>
                                  <m:t>𝛽</m:t>
                                </m:r>
                              </m:num>
                              <m:den>
                                <m:r>
                                  <a:rPr lang="en-US" sz="1100" b="0" i="1">
                                    <a:latin typeface="Cambria Math" panose="02040503050406030204" pitchFamily="18" charset="0"/>
                                  </a:rPr>
                                  <m:t>𝑥</m:t>
                                </m:r>
                                <m:r>
                                  <a:rPr lang="en-US" sz="1100" b="0" i="1">
                                    <a:latin typeface="Cambria Math" panose="02040503050406030204" pitchFamily="18" charset="0"/>
                                  </a:rPr>
                                  <m:t>+</m:t>
                                </m:r>
                                <m:r>
                                  <a:rPr lang="en-US" sz="1100" b="0" i="1">
                                    <a:latin typeface="Cambria Math" panose="02040503050406030204" pitchFamily="18" charset="0"/>
                                  </a:rPr>
                                  <m:t>𝛽</m:t>
                                </m:r>
                              </m:den>
                            </m:f>
                          </m:e>
                        </m:d>
                      </m:e>
                      <m:sup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𝛼</m:t>
                        </m:r>
                      </m:sup>
                    </m:sSup>
                    <m:r>
                      <a:rPr lang="en-US" sz="1100" b="0" i="1">
                        <a:latin typeface="Cambria Math" panose="02040503050406030204" pitchFamily="18" charset="0"/>
                      </a:rPr>
                      <m:t>=</m:t>
                    </m:r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6" name="TextBox 5">
              <a:extLst>
                <a:ext uri="{FF2B5EF4-FFF2-40B4-BE49-F238E27FC236}">
                  <a16:creationId xmlns:a16="http://schemas.microsoft.com/office/drawing/2014/main" id="{C91377EE-A6C5-4750-BD50-85E3F4D0D223}"/>
                </a:ext>
              </a:extLst>
            </xdr:cNvPr>
            <xdr:cNvSpPr txBox="1"/>
          </xdr:nvSpPr>
          <xdr:spPr>
            <a:xfrm>
              <a:off x="8343900" y="100012"/>
              <a:ext cx="928652" cy="40004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US" sz="1100" b="0" i="0">
                  <a:latin typeface="Cambria Math" panose="02040503050406030204" pitchFamily="18" charset="0"/>
                </a:rPr>
                <a:t>= (𝛽/(𝑥+𝛽))^𝛼=</a:t>
              </a:r>
              <a:endParaRPr lang="en-GB" sz="1100"/>
            </a:p>
          </xdr:txBody>
        </xdr:sp>
      </mc:Fallback>
    </mc:AlternateContent>
    <xdr:clientData/>
  </xdr:oneCellAnchor>
</xdr:wsDr>
</file>

<file path=xl/drawings/drawing8.xml><?xml version="1.0" encoding="utf-8"?>
<xdr:wsDr xmlns:xdr="http://schemas.openxmlformats.org/drawingml/2006/spreadsheetDrawing" xmlns:a="http://schemas.openxmlformats.org/drawingml/2006/main">
  <xdr:oneCellAnchor>
    <xdr:from>
      <xdr:col>11</xdr:col>
      <xdr:colOff>276225</xdr:colOff>
      <xdr:row>0</xdr:row>
      <xdr:rowOff>0</xdr:rowOff>
    </xdr:from>
    <xdr:ext cx="1094915" cy="485839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id="{621821CC-C938-D651-B896-EA593FA8DA60}"/>
                </a:ext>
              </a:extLst>
            </xdr:cNvPr>
            <xdr:cNvSpPr txBox="1"/>
          </xdr:nvSpPr>
          <xdr:spPr>
            <a:xfrm>
              <a:off x="8886825" y="0"/>
              <a:ext cx="1094915" cy="48583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US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acc>
                          <m:accPr>
                            <m:chr m:val="̃"/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accPr>
                          <m:e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𝜏</m:t>
                            </m:r>
                          </m:e>
                        </m:acc>
                      </m:e>
                      <m:sub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𝑁</m:t>
                        </m:r>
                      </m:sub>
                    </m:sSub>
                    <m:r>
                      <a:rPr lang="en-US" sz="1100" b="0" i="1">
                        <a:latin typeface="Cambria Math" panose="02040503050406030204" pitchFamily="18" charset="0"/>
                      </a:rPr>
                      <m:t>=</m:t>
                    </m:r>
                    <m:f>
                      <m:fPr>
                        <m:ctrlPr>
                          <a:rPr lang="en-US" sz="11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1−</m:t>
                        </m:r>
                        <m:sSub>
                          <m:sSubPr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𝐹</m:t>
                            </m:r>
                          </m:e>
                          <m:sub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𝑋</m:t>
                            </m:r>
                          </m:sub>
                        </m:sSub>
                        <m:d>
                          <m:dPr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dPr>
                          <m:e>
                            <m:f>
                              <m:fPr>
                                <m:ctrlPr>
                                  <a:rPr lang="en-US" sz="1100" b="0" i="1">
                                    <a:latin typeface="Cambria Math" panose="02040503050406030204" pitchFamily="18" charset="0"/>
                                  </a:rPr>
                                </m:ctrlPr>
                              </m:fPr>
                              <m:num>
                                <m:r>
                                  <a:rPr lang="en-US" sz="1100" b="0" i="1">
                                    <a:latin typeface="Cambria Math" panose="02040503050406030204" pitchFamily="18" charset="0"/>
                                  </a:rPr>
                                  <m:t>𝐴</m:t>
                                </m:r>
                              </m:num>
                              <m:den>
                                <m:sSub>
                                  <m:sSubPr>
                                    <m:ctrlPr>
                                      <a:rPr lang="en-US" sz="1100" b="0" i="1">
                                        <a:latin typeface="Cambria Math" panose="02040503050406030204" pitchFamily="18" charset="0"/>
                                      </a:rPr>
                                    </m:ctrlPr>
                                  </m:sSubPr>
                                  <m:e>
                                    <m:r>
                                      <a:rPr lang="en-US" sz="1100" b="0" i="1">
                                        <a:latin typeface="Cambria Math" panose="02040503050406030204" pitchFamily="18" charset="0"/>
                                      </a:rPr>
                                      <m:t>𝜏</m:t>
                                    </m:r>
                                  </m:e>
                                  <m:sub>
                                    <m:r>
                                      <a:rPr lang="en-US" sz="1100" b="0" i="1">
                                        <a:latin typeface="Cambria Math" panose="02040503050406030204" pitchFamily="18" charset="0"/>
                                      </a:rPr>
                                      <m:t>𝑋</m:t>
                                    </m:r>
                                  </m:sub>
                                </m:sSub>
                              </m:den>
                            </m:f>
                          </m:e>
                        </m:d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 </m:t>
                        </m:r>
                      </m:num>
                      <m:den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1−</m:t>
                        </m:r>
                        <m:sSub>
                          <m:sSubPr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𝐹</m:t>
                            </m:r>
                          </m:e>
                          <m:sub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𝑋</m:t>
                            </m:r>
                          </m:sub>
                        </m:sSub>
                        <m:d>
                          <m:dPr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dPr>
                          <m:e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𝐴</m:t>
                            </m:r>
                          </m:e>
                        </m:d>
                      </m:den>
                    </m:f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id="{621821CC-C938-D651-B896-EA593FA8DA60}"/>
                </a:ext>
              </a:extLst>
            </xdr:cNvPr>
            <xdr:cNvSpPr txBox="1"/>
          </xdr:nvSpPr>
          <xdr:spPr>
            <a:xfrm>
              <a:off x="8886825" y="0"/>
              <a:ext cx="1094915" cy="48583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US" sz="1100" b="0" i="0">
                  <a:latin typeface="Cambria Math" panose="02040503050406030204" pitchFamily="18" charset="0"/>
                </a:rPr>
                <a:t>𝜏 ̃_𝑁=(1−𝐹_𝑋 (𝐴/𝜏_𝑋 )  )/(1−𝐹_𝑋 (𝐴) )</a:t>
              </a:r>
              <a:endParaRPr lang="en-GB" sz="1100"/>
            </a:p>
          </xdr:txBody>
        </xdr:sp>
      </mc:Fallback>
    </mc:AlternateContent>
    <xdr:clientData/>
  </xdr:oneCellAnchor>
  <xdr:oneCellAnchor>
    <xdr:from>
      <xdr:col>8</xdr:col>
      <xdr:colOff>28575</xdr:colOff>
      <xdr:row>21</xdr:row>
      <xdr:rowOff>90487</xdr:rowOff>
    </xdr:from>
    <xdr:ext cx="3546099" cy="625492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4" name="TextBox 3">
              <a:extLst>
                <a:ext uri="{FF2B5EF4-FFF2-40B4-BE49-F238E27FC236}">
                  <a16:creationId xmlns:a16="http://schemas.microsoft.com/office/drawing/2014/main" id="{41EB555B-8934-2C19-138F-2BF8F7AE6440}"/>
                </a:ext>
              </a:extLst>
            </xdr:cNvPr>
            <xdr:cNvSpPr txBox="1"/>
          </xdr:nvSpPr>
          <xdr:spPr>
            <a:xfrm>
              <a:off x="6086475" y="4090987"/>
              <a:ext cx="3546099" cy="62549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m:rPr>
                        <m:nor/>
                      </m:rPr>
                      <a:rPr lang="en-US" sz="1100" b="0" i="0">
                        <a:latin typeface="Cambria Math" panose="02040503050406030204" pitchFamily="18" charset="0"/>
                      </a:rPr>
                      <m:t>Expected</m:t>
                    </m:r>
                    <m:r>
                      <m:rPr>
                        <m:nor/>
                      </m:rPr>
                      <a:rPr lang="en-US" sz="1100" b="0" i="0">
                        <a:latin typeface="Cambria Math" panose="02040503050406030204" pitchFamily="18" charset="0"/>
                      </a:rPr>
                      <m:t> </m:t>
                    </m:r>
                    <m:r>
                      <m:rPr>
                        <m:nor/>
                      </m:rPr>
                      <a:rPr lang="en-US" sz="1100" b="0" i="0">
                        <a:latin typeface="Cambria Math" panose="02040503050406030204" pitchFamily="18" charset="0"/>
                      </a:rPr>
                      <m:t>Excess</m:t>
                    </m:r>
                    <m:r>
                      <m:rPr>
                        <m:nor/>
                      </m:rPr>
                      <a:rPr lang="en-US" sz="1100" b="0" i="0">
                        <a:latin typeface="Cambria Math" panose="02040503050406030204" pitchFamily="18" charset="0"/>
                      </a:rPr>
                      <m:t> </m:t>
                    </m:r>
                    <m:r>
                      <m:rPr>
                        <m:nor/>
                      </m:rPr>
                      <a:rPr lang="en-US" sz="1100" b="0" i="0">
                        <a:latin typeface="Cambria Math" panose="02040503050406030204" pitchFamily="18" charset="0"/>
                      </a:rPr>
                      <m:t>Severity</m:t>
                    </m:r>
                    <m:r>
                      <a:rPr lang="en-US" sz="1100" b="0" i="1">
                        <a:latin typeface="Cambria Math" panose="02040503050406030204" pitchFamily="18" charset="0"/>
                      </a:rPr>
                      <m:t>=</m:t>
                    </m:r>
                    <m:f>
                      <m:fPr>
                        <m:ctrlPr>
                          <a:rPr lang="en-US" sz="11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sSub>
                          <m:sSubPr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𝜏</m:t>
                            </m:r>
                          </m:e>
                          <m:sub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𝑋</m:t>
                            </m:r>
                          </m:sub>
                        </m:sSub>
                        <m:d>
                          <m:dPr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dPr>
                          <m:e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𝐸</m:t>
                            </m:r>
                            <m:d>
                              <m:dPr>
                                <m:begChr m:val="["/>
                                <m:endChr m:val="]"/>
                                <m:ctrlPr>
                                  <a:rPr lang="en-US" sz="1100" b="0" i="1">
                                    <a:latin typeface="Cambria Math" panose="02040503050406030204" pitchFamily="18" charset="0"/>
                                  </a:rPr>
                                </m:ctrlPr>
                              </m:dPr>
                              <m:e>
                                <m:r>
                                  <a:rPr lang="en-US" sz="1100" b="0" i="1">
                                    <a:latin typeface="Cambria Math" panose="02040503050406030204" pitchFamily="18" charset="0"/>
                                  </a:rPr>
                                  <m:t>𝑋</m:t>
                                </m:r>
                                <m:r>
                                  <a:rPr lang="en-US" sz="1100" b="0" i="1">
                                    <a:latin typeface="Cambria Math" panose="02040503050406030204" pitchFamily="18" charset="0"/>
                                  </a:rPr>
                                  <m:t>;</m:t>
                                </m:r>
                                <m:f>
                                  <m:fPr>
                                    <m:ctrlPr>
                                      <a:rPr lang="en-US" sz="1100" b="0" i="1">
                                        <a:latin typeface="Cambria Math" panose="02040503050406030204" pitchFamily="18" charset="0"/>
                                      </a:rPr>
                                    </m:ctrlPr>
                                  </m:fPr>
                                  <m:num>
                                    <m:r>
                                      <a:rPr lang="en-US" sz="1100" b="0" i="1">
                                        <a:latin typeface="Cambria Math" panose="02040503050406030204" pitchFamily="18" charset="0"/>
                                      </a:rPr>
                                      <m:t>𝐴</m:t>
                                    </m:r>
                                    <m:r>
                                      <a:rPr lang="en-US" sz="1100" b="0" i="1">
                                        <a:latin typeface="Cambria Math" panose="02040503050406030204" pitchFamily="18" charset="0"/>
                                      </a:rPr>
                                      <m:t>+</m:t>
                                    </m:r>
                                    <m:r>
                                      <a:rPr lang="en-US" sz="1100" b="0" i="1">
                                        <a:latin typeface="Cambria Math" panose="02040503050406030204" pitchFamily="18" charset="0"/>
                                      </a:rPr>
                                      <m:t>𝐿</m:t>
                                    </m:r>
                                  </m:num>
                                  <m:den>
                                    <m:sSub>
                                      <m:sSubPr>
                                        <m:ctrlPr>
                                          <a:rPr lang="en-US" sz="1100" b="0" i="1">
                                            <a:latin typeface="Cambria Math" panose="02040503050406030204" pitchFamily="18" charset="0"/>
                                          </a:rPr>
                                        </m:ctrlPr>
                                      </m:sSubPr>
                                      <m:e>
                                        <m:r>
                                          <a:rPr lang="en-US" sz="1100" b="0" i="1">
                                            <a:latin typeface="Cambria Math" panose="02040503050406030204" pitchFamily="18" charset="0"/>
                                          </a:rPr>
                                          <m:t>𝜏</m:t>
                                        </m:r>
                                      </m:e>
                                      <m:sub>
                                        <m:r>
                                          <a:rPr lang="en-US" sz="1100" b="0" i="1">
                                            <a:latin typeface="Cambria Math" panose="02040503050406030204" pitchFamily="18" charset="0"/>
                                          </a:rPr>
                                          <m:t>𝑋</m:t>
                                        </m:r>
                                      </m:sub>
                                    </m:sSub>
                                  </m:den>
                                </m:f>
                              </m:e>
                            </m:d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−</m:t>
                            </m:r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𝐸</m:t>
                            </m:r>
                            <m:d>
                              <m:dPr>
                                <m:begChr m:val="["/>
                                <m:endChr m:val="]"/>
                                <m:ctrlPr>
                                  <a:rPr lang="en-US" sz="1100" b="0" i="1">
                                    <a:latin typeface="Cambria Math" panose="02040503050406030204" pitchFamily="18" charset="0"/>
                                  </a:rPr>
                                </m:ctrlPr>
                              </m:dPr>
                              <m:e>
                                <m:r>
                                  <a:rPr lang="en-US" sz="1100" b="0" i="1">
                                    <a:latin typeface="Cambria Math" panose="02040503050406030204" pitchFamily="18" charset="0"/>
                                  </a:rPr>
                                  <m:t>𝑋</m:t>
                                </m:r>
                                <m:r>
                                  <a:rPr lang="en-US" sz="1100" b="0" i="1">
                                    <a:latin typeface="Cambria Math" panose="02040503050406030204" pitchFamily="18" charset="0"/>
                                  </a:rPr>
                                  <m:t>;</m:t>
                                </m:r>
                                <m:f>
                                  <m:fPr>
                                    <m:ctrlPr>
                                      <a:rPr lang="en-US" sz="1100" b="0" i="1">
                                        <a:latin typeface="Cambria Math" panose="02040503050406030204" pitchFamily="18" charset="0"/>
                                      </a:rPr>
                                    </m:ctrlPr>
                                  </m:fPr>
                                  <m:num>
                                    <m:r>
                                      <a:rPr lang="en-US" sz="1100" b="0" i="1">
                                        <a:latin typeface="Cambria Math" panose="02040503050406030204" pitchFamily="18" charset="0"/>
                                      </a:rPr>
                                      <m:t>𝐴</m:t>
                                    </m:r>
                                  </m:num>
                                  <m:den>
                                    <m:sSub>
                                      <m:sSubPr>
                                        <m:ctrlPr>
                                          <a:rPr lang="en-US" sz="1100" b="0" i="1">
                                            <a:latin typeface="Cambria Math" panose="02040503050406030204" pitchFamily="18" charset="0"/>
                                          </a:rPr>
                                        </m:ctrlPr>
                                      </m:sSubPr>
                                      <m:e>
                                        <m:r>
                                          <a:rPr lang="en-US" sz="1100" b="0" i="1">
                                            <a:latin typeface="Cambria Math" panose="02040503050406030204" pitchFamily="18" charset="0"/>
                                          </a:rPr>
                                          <m:t>𝜏</m:t>
                                        </m:r>
                                      </m:e>
                                      <m:sub>
                                        <m:r>
                                          <a:rPr lang="en-US" sz="1100" b="0" i="1">
                                            <a:latin typeface="Cambria Math" panose="02040503050406030204" pitchFamily="18" charset="0"/>
                                          </a:rPr>
                                          <m:t>𝑋</m:t>
                                        </m:r>
                                      </m:sub>
                                    </m:sSub>
                                  </m:den>
                                </m:f>
                              </m:e>
                            </m:d>
                          </m:e>
                        </m:d>
                      </m:num>
                      <m:den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1−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𝐹</m:t>
                        </m:r>
                        <m:d>
                          <m:dPr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dPr>
                          <m:e>
                            <m:f>
                              <m:fPr>
                                <m:ctrlPr>
                                  <a:rPr lang="en-US" sz="1100" b="0" i="1">
                                    <a:latin typeface="Cambria Math" panose="02040503050406030204" pitchFamily="18" charset="0"/>
                                  </a:rPr>
                                </m:ctrlPr>
                              </m:fPr>
                              <m:num>
                                <m:r>
                                  <a:rPr lang="en-US" sz="1100" b="0" i="1">
                                    <a:latin typeface="Cambria Math" panose="02040503050406030204" pitchFamily="18" charset="0"/>
                                  </a:rPr>
                                  <m:t>𝐴</m:t>
                                </m:r>
                              </m:num>
                              <m:den>
                                <m:sSub>
                                  <m:sSubPr>
                                    <m:ctrlPr>
                                      <a:rPr lang="en-US" sz="1100" b="0" i="1">
                                        <a:latin typeface="Cambria Math" panose="02040503050406030204" pitchFamily="18" charset="0"/>
                                      </a:rPr>
                                    </m:ctrlPr>
                                  </m:sSubPr>
                                  <m:e>
                                    <m:r>
                                      <a:rPr lang="en-US" sz="1100" b="0" i="1">
                                        <a:latin typeface="Cambria Math" panose="02040503050406030204" pitchFamily="18" charset="0"/>
                                      </a:rPr>
                                      <m:t>𝜏</m:t>
                                    </m:r>
                                  </m:e>
                                  <m:sub>
                                    <m:r>
                                      <a:rPr lang="en-US" sz="1100" b="0" i="1">
                                        <a:latin typeface="Cambria Math" panose="02040503050406030204" pitchFamily="18" charset="0"/>
                                      </a:rPr>
                                      <m:t>𝑋</m:t>
                                    </m:r>
                                  </m:sub>
                                </m:sSub>
                              </m:den>
                            </m:f>
                          </m:e>
                        </m:d>
                      </m:den>
                    </m:f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4" name="TextBox 3">
              <a:extLst>
                <a:ext uri="{FF2B5EF4-FFF2-40B4-BE49-F238E27FC236}">
                  <a16:creationId xmlns:a16="http://schemas.microsoft.com/office/drawing/2014/main" id="{41EB555B-8934-2C19-138F-2BF8F7AE6440}"/>
                </a:ext>
              </a:extLst>
            </xdr:cNvPr>
            <xdr:cNvSpPr txBox="1"/>
          </xdr:nvSpPr>
          <xdr:spPr>
            <a:xfrm>
              <a:off x="6086475" y="4090987"/>
              <a:ext cx="3546099" cy="62549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US" sz="1100" b="0" i="0">
                  <a:latin typeface="Cambria Math" panose="02040503050406030204" pitchFamily="18" charset="0"/>
                </a:rPr>
                <a:t>"Expected Excess Severity"=(𝜏_𝑋 (𝐸[𝑋;(𝐴+𝐿)/𝜏_𝑋 ]−𝐸[𝑋;𝐴/𝜏_𝑋 ]))/(1−𝐹(𝐴/𝜏_𝑋 ) )</a:t>
              </a:r>
              <a:endParaRPr lang="en-GB" sz="1100"/>
            </a:p>
          </xdr:txBody>
        </xdr:sp>
      </mc:Fallback>
    </mc:AlternateContent>
    <xdr:clientData/>
  </xdr:oneCellAnchor>
</xdr:wsDr>
</file>

<file path=xl/drawings/drawing9.xml><?xml version="1.0" encoding="utf-8"?>
<xdr:wsDr xmlns:xdr="http://schemas.openxmlformats.org/drawingml/2006/spreadsheetDrawing" xmlns:a="http://schemas.openxmlformats.org/drawingml/2006/main">
  <xdr:oneCellAnchor>
    <xdr:from>
      <xdr:col>5</xdr:col>
      <xdr:colOff>666750</xdr:colOff>
      <xdr:row>18</xdr:row>
      <xdr:rowOff>100012</xdr:rowOff>
    </xdr:from>
    <xdr:ext cx="1351267" cy="380361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id="{8840BFAB-BA88-45D6-8FB6-F2B30C907993}"/>
                </a:ext>
              </a:extLst>
            </xdr:cNvPr>
            <xdr:cNvSpPr txBox="1"/>
          </xdr:nvSpPr>
          <xdr:spPr>
            <a:xfrm>
              <a:off x="4914900" y="5243512"/>
              <a:ext cx="1351267" cy="380361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US" sz="1100" b="0" i="1">
                        <a:latin typeface="Cambria Math" panose="02040503050406030204" pitchFamily="18" charset="0"/>
                      </a:rPr>
                      <m:t>𝐹</m:t>
                    </m:r>
                    <m:d>
                      <m:dPr>
                        <m:ctrlPr>
                          <a:rPr lang="en-US" sz="1100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𝑥</m:t>
                        </m:r>
                      </m:e>
                    </m:d>
                    <m:r>
                      <a:rPr lang="en-US" sz="1100" b="0" i="1">
                        <a:latin typeface="Cambria Math" panose="02040503050406030204" pitchFamily="18" charset="0"/>
                      </a:rPr>
                      <m:t>=</m:t>
                    </m:r>
                    <m:r>
                      <a:rPr lang="en-US" sz="1100" b="0" i="1">
                        <a:latin typeface="Cambria Math" panose="02040503050406030204" pitchFamily="18" charset="0"/>
                      </a:rPr>
                      <m:t>𝜙</m:t>
                    </m:r>
                    <m:d>
                      <m:dPr>
                        <m:ctrlPr>
                          <a:rPr lang="en-US" sz="1100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f>
                          <m:fPr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fPr>
                          <m:num>
                            <m:func>
                              <m:funcPr>
                                <m:ctrlPr>
                                  <a:rPr lang="en-US" sz="1100" b="0" i="1">
                                    <a:latin typeface="Cambria Math" panose="02040503050406030204" pitchFamily="18" charset="0"/>
                                  </a:rPr>
                                </m:ctrlPr>
                              </m:funcPr>
                              <m:fName>
                                <m:r>
                                  <m:rPr>
                                    <m:sty m:val="p"/>
                                  </m:rPr>
                                  <a:rPr lang="en-US" sz="1100" b="0" i="0">
                                    <a:latin typeface="Cambria Math" panose="02040503050406030204" pitchFamily="18" charset="0"/>
                                  </a:rPr>
                                  <m:t>ln</m:t>
                                </m:r>
                              </m:fName>
                              <m:e>
                                <m:d>
                                  <m:dPr>
                                    <m:ctrlPr>
                                      <a:rPr lang="en-US" sz="1100" b="0" i="1">
                                        <a:latin typeface="Cambria Math" panose="02040503050406030204" pitchFamily="18" charset="0"/>
                                      </a:rPr>
                                    </m:ctrlPr>
                                  </m:dPr>
                                  <m:e>
                                    <m:r>
                                      <a:rPr lang="en-US" sz="1100" b="0" i="1">
                                        <a:latin typeface="Cambria Math" panose="02040503050406030204" pitchFamily="18" charset="0"/>
                                      </a:rPr>
                                      <m:t>𝑥</m:t>
                                    </m:r>
                                  </m:e>
                                </m:d>
                              </m:e>
                            </m:func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−</m:t>
                            </m:r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𝜇</m:t>
                            </m:r>
                          </m:num>
                          <m:den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𝜎</m:t>
                            </m:r>
                          </m:den>
                        </m:f>
                      </m:e>
                    </m:d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id="{8840BFAB-BA88-45D6-8FB6-F2B30C907993}"/>
                </a:ext>
              </a:extLst>
            </xdr:cNvPr>
            <xdr:cNvSpPr txBox="1"/>
          </xdr:nvSpPr>
          <xdr:spPr>
            <a:xfrm>
              <a:off x="4914900" y="5243512"/>
              <a:ext cx="1351267" cy="380361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US" sz="1100" b="0" i="0">
                  <a:latin typeface="Cambria Math" panose="02040503050406030204" pitchFamily="18" charset="0"/>
                </a:rPr>
                <a:t>𝐹(𝑥)=𝜙((ln⁡(𝑥)−𝜇)/𝜎)</a:t>
              </a:r>
              <a:endParaRPr lang="en-GB" sz="1100"/>
            </a:p>
          </xdr:txBody>
        </xdr:sp>
      </mc:Fallback>
    </mc:AlternateContent>
    <xdr:clientData/>
  </xdr:oneCellAnchor>
  <xdr:oneCellAnchor>
    <xdr:from>
      <xdr:col>1</xdr:col>
      <xdr:colOff>53340</xdr:colOff>
      <xdr:row>25</xdr:row>
      <xdr:rowOff>53340</xdr:rowOff>
    </xdr:from>
    <xdr:ext cx="1086644" cy="368306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3" name="TextBox 2">
              <a:extLst>
                <a:ext uri="{FF2B5EF4-FFF2-40B4-BE49-F238E27FC236}">
                  <a16:creationId xmlns:a16="http://schemas.microsoft.com/office/drawing/2014/main" id="{9586C61E-4C89-49EF-9D01-6BBE1B43807B}"/>
                </a:ext>
              </a:extLst>
            </xdr:cNvPr>
            <xdr:cNvSpPr txBox="1"/>
          </xdr:nvSpPr>
          <xdr:spPr>
            <a:xfrm>
              <a:off x="491490" y="13855065"/>
              <a:ext cx="1086644" cy="36830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US" sz="1200" b="0" i="1">
                        <a:latin typeface="Cambria Math" panose="02040503050406030204" pitchFamily="18" charset="0"/>
                      </a:rPr>
                      <m:t>𝐸</m:t>
                    </m:r>
                    <m:d>
                      <m:dPr>
                        <m:begChr m:val="["/>
                        <m:endChr m:val="]"/>
                        <m:ctrlPr>
                          <a:rPr lang="en-US" sz="1200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r>
                          <a:rPr lang="en-US" sz="1200" b="0" i="1">
                            <a:latin typeface="Cambria Math" panose="02040503050406030204" pitchFamily="18" charset="0"/>
                          </a:rPr>
                          <m:t>𝑋</m:t>
                        </m:r>
                      </m:e>
                    </m:d>
                    <m:r>
                      <a:rPr lang="en-US" sz="1200" b="0" i="1">
                        <a:latin typeface="Cambria Math" panose="02040503050406030204" pitchFamily="18" charset="0"/>
                      </a:rPr>
                      <m:t>=</m:t>
                    </m:r>
                    <m:sSup>
                      <m:sSupPr>
                        <m:ctrlPr>
                          <a:rPr lang="en-US" sz="1200" b="0" i="1">
                            <a:latin typeface="Cambria Math" panose="02040503050406030204" pitchFamily="18" charset="0"/>
                          </a:rPr>
                        </m:ctrlPr>
                      </m:sSupPr>
                      <m:e>
                        <m:r>
                          <a:rPr lang="en-US" sz="1200" b="0" i="1">
                            <a:latin typeface="Cambria Math" panose="02040503050406030204" pitchFamily="18" charset="0"/>
                          </a:rPr>
                          <m:t>𝑒</m:t>
                        </m:r>
                      </m:e>
                      <m:sup>
                        <m:d>
                          <m:dPr>
                            <m:ctrlPr>
                              <a:rPr lang="en-US" sz="1200" b="0" i="1">
                                <a:latin typeface="Cambria Math" panose="02040503050406030204" pitchFamily="18" charset="0"/>
                              </a:rPr>
                            </m:ctrlPr>
                          </m:dPr>
                          <m:e>
                            <m:r>
                              <a:rPr lang="en-US" sz="1200" b="0" i="1">
                                <a:latin typeface="Cambria Math" panose="02040503050406030204" pitchFamily="18" charset="0"/>
                              </a:rPr>
                              <m:t>𝜇</m:t>
                            </m:r>
                            <m:r>
                              <a:rPr lang="en-US" sz="1200" b="0" i="1">
                                <a:latin typeface="Cambria Math" panose="02040503050406030204" pitchFamily="18" charset="0"/>
                              </a:rPr>
                              <m:t>+ </m:t>
                            </m:r>
                            <m:f>
                              <m:fPr>
                                <m:ctrlPr>
                                  <a:rPr lang="en-US" sz="1200" b="0" i="1">
                                    <a:latin typeface="Cambria Math" panose="02040503050406030204" pitchFamily="18" charset="0"/>
                                  </a:rPr>
                                </m:ctrlPr>
                              </m:fPr>
                              <m:num>
                                <m:sSup>
                                  <m:sSupPr>
                                    <m:ctrlPr>
                                      <a:rPr lang="en-US" sz="1200" b="0" i="1">
                                        <a:latin typeface="Cambria Math" panose="02040503050406030204" pitchFamily="18" charset="0"/>
                                      </a:rPr>
                                    </m:ctrlPr>
                                  </m:sSupPr>
                                  <m:e>
                                    <m:r>
                                      <a:rPr lang="en-US" sz="1200" b="0" i="1">
                                        <a:latin typeface="Cambria Math" panose="02040503050406030204" pitchFamily="18" charset="0"/>
                                      </a:rPr>
                                      <m:t>𝜎</m:t>
                                    </m:r>
                                  </m:e>
                                  <m:sup>
                                    <m:r>
                                      <a:rPr lang="en-US" sz="1200" b="0" i="1">
                                        <a:latin typeface="Cambria Math" panose="02040503050406030204" pitchFamily="18" charset="0"/>
                                      </a:rPr>
                                      <m:t>2</m:t>
                                    </m:r>
                                  </m:sup>
                                </m:sSup>
                              </m:num>
                              <m:den>
                                <m:r>
                                  <a:rPr lang="en-US" sz="1200" b="0" i="1">
                                    <a:latin typeface="Cambria Math" panose="02040503050406030204" pitchFamily="18" charset="0"/>
                                  </a:rPr>
                                  <m:t>2</m:t>
                                </m:r>
                              </m:den>
                            </m:f>
                          </m:e>
                        </m:d>
                      </m:sup>
                    </m:sSup>
                  </m:oMath>
                </m:oMathPara>
              </a14:m>
              <a:endParaRPr lang="en-GB" sz="1200"/>
            </a:p>
          </xdr:txBody>
        </xdr:sp>
      </mc:Choice>
      <mc:Fallback xmlns="">
        <xdr:sp macro="" textlink="">
          <xdr:nvSpPr>
            <xdr:cNvPr id="3" name="TextBox 2">
              <a:extLst>
                <a:ext uri="{FF2B5EF4-FFF2-40B4-BE49-F238E27FC236}">
                  <a16:creationId xmlns:a16="http://schemas.microsoft.com/office/drawing/2014/main" id="{9586C61E-4C89-49EF-9D01-6BBE1B43807B}"/>
                </a:ext>
              </a:extLst>
            </xdr:cNvPr>
            <xdr:cNvSpPr txBox="1"/>
          </xdr:nvSpPr>
          <xdr:spPr>
            <a:xfrm>
              <a:off x="491490" y="13855065"/>
              <a:ext cx="1086644" cy="36830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US" sz="1200" b="0" i="0">
                  <a:latin typeface="Cambria Math" panose="02040503050406030204" pitchFamily="18" charset="0"/>
                </a:rPr>
                <a:t>𝐸[𝑋]=𝑒^((𝜇+ 𝜎^2/2) )</a:t>
              </a:r>
              <a:endParaRPr lang="en-GB" sz="1200"/>
            </a:p>
          </xdr:txBody>
        </xdr:sp>
      </mc:Fallback>
    </mc:AlternateContent>
    <xdr:clientData/>
  </xdr:oneCellAnchor>
  <xdr:oneCellAnchor>
    <xdr:from>
      <xdr:col>1</xdr:col>
      <xdr:colOff>30480</xdr:colOff>
      <xdr:row>27</xdr:row>
      <xdr:rowOff>152400</xdr:rowOff>
    </xdr:from>
    <xdr:ext cx="1979003" cy="224805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4" name="TextBox 3">
              <a:extLst>
                <a:ext uri="{FF2B5EF4-FFF2-40B4-BE49-F238E27FC236}">
                  <a16:creationId xmlns:a16="http://schemas.microsoft.com/office/drawing/2014/main" id="{FC3EC281-D05E-4B42-9354-5DFE01D5F544}"/>
                </a:ext>
              </a:extLst>
            </xdr:cNvPr>
            <xdr:cNvSpPr txBox="1"/>
          </xdr:nvSpPr>
          <xdr:spPr>
            <a:xfrm>
              <a:off x="468630" y="14335125"/>
              <a:ext cx="1979003" cy="22480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US" sz="1200" b="0" i="1">
                        <a:latin typeface="Cambria Math" panose="02040503050406030204" pitchFamily="18" charset="0"/>
                      </a:rPr>
                      <m:t>𝑉𝑎𝑟</m:t>
                    </m:r>
                    <m:d>
                      <m:dPr>
                        <m:ctrlPr>
                          <a:rPr lang="en-US" sz="1200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r>
                          <a:rPr lang="en-US" sz="1200" b="0" i="1">
                            <a:latin typeface="Cambria Math" panose="02040503050406030204" pitchFamily="18" charset="0"/>
                          </a:rPr>
                          <m:t>𝑋</m:t>
                        </m:r>
                      </m:e>
                    </m:d>
                    <m:r>
                      <a:rPr lang="en-US" sz="1200" b="0" i="1">
                        <a:latin typeface="Cambria Math" panose="02040503050406030204" pitchFamily="18" charset="0"/>
                      </a:rPr>
                      <m:t>= </m:t>
                    </m:r>
                    <m:d>
                      <m:dPr>
                        <m:ctrlPr>
                          <a:rPr lang="en-US" sz="1200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sSup>
                          <m:sSupPr>
                            <m:ctrlPr>
                              <a:rPr lang="en-US" sz="1200" b="0" i="1">
                                <a:latin typeface="Cambria Math" panose="02040503050406030204" pitchFamily="18" charset="0"/>
                              </a:rPr>
                            </m:ctrlPr>
                          </m:sSupPr>
                          <m:e>
                            <m:r>
                              <a:rPr lang="en-US" sz="1200" b="0" i="1">
                                <a:latin typeface="Cambria Math" panose="02040503050406030204" pitchFamily="18" charset="0"/>
                              </a:rPr>
                              <m:t>𝑒</m:t>
                            </m:r>
                          </m:e>
                          <m:sup>
                            <m:sSup>
                              <m:sSupPr>
                                <m:ctrlPr>
                                  <a:rPr lang="en-US" sz="1200" b="0" i="1">
                                    <a:latin typeface="Cambria Math" panose="02040503050406030204" pitchFamily="18" charset="0"/>
                                  </a:rPr>
                                </m:ctrlPr>
                              </m:sSupPr>
                              <m:e>
                                <m:r>
                                  <a:rPr lang="en-US" sz="1200" b="0" i="1">
                                    <a:latin typeface="Cambria Math" panose="02040503050406030204" pitchFamily="18" charset="0"/>
                                  </a:rPr>
                                  <m:t>𝜎</m:t>
                                </m:r>
                              </m:e>
                              <m:sup>
                                <m:r>
                                  <a:rPr lang="en-US" sz="1200" b="0" i="1">
                                    <a:latin typeface="Cambria Math" panose="02040503050406030204" pitchFamily="18" charset="0"/>
                                  </a:rPr>
                                  <m:t>2</m:t>
                                </m:r>
                              </m:sup>
                            </m:sSup>
                          </m:sup>
                        </m:sSup>
                        <m:r>
                          <a:rPr lang="en-US" sz="1200" b="0" i="1">
                            <a:latin typeface="Cambria Math" panose="02040503050406030204" pitchFamily="18" charset="0"/>
                          </a:rPr>
                          <m:t>−1</m:t>
                        </m:r>
                      </m:e>
                    </m:d>
                    <m:r>
                      <a:rPr lang="en-US" sz="1200" b="0" i="1">
                        <a:latin typeface="Cambria Math" panose="02040503050406030204" pitchFamily="18" charset="0"/>
                      </a:rPr>
                      <m:t>⋅</m:t>
                    </m:r>
                    <m:sSup>
                      <m:sSupPr>
                        <m:ctrlPr>
                          <a:rPr lang="en-US" sz="1200" b="0" i="1">
                            <a:latin typeface="Cambria Math" panose="02040503050406030204" pitchFamily="18" charset="0"/>
                          </a:rPr>
                        </m:ctrlPr>
                      </m:sSupPr>
                      <m:e>
                        <m:r>
                          <a:rPr lang="en-US" sz="1200" b="0" i="1">
                            <a:latin typeface="Cambria Math" panose="02040503050406030204" pitchFamily="18" charset="0"/>
                          </a:rPr>
                          <m:t>𝑒</m:t>
                        </m:r>
                      </m:e>
                      <m:sup>
                        <m:r>
                          <a:rPr lang="en-US" sz="1200" b="0" i="1">
                            <a:latin typeface="Cambria Math" panose="02040503050406030204" pitchFamily="18" charset="0"/>
                          </a:rPr>
                          <m:t>2</m:t>
                        </m:r>
                        <m:r>
                          <a:rPr lang="en-US" sz="1200" b="0" i="1">
                            <a:latin typeface="Cambria Math" panose="02040503050406030204" pitchFamily="18" charset="0"/>
                          </a:rPr>
                          <m:t>𝜇</m:t>
                        </m:r>
                        <m:r>
                          <a:rPr lang="en-US" sz="1200" b="0" i="1">
                            <a:latin typeface="Cambria Math" panose="02040503050406030204" pitchFamily="18" charset="0"/>
                          </a:rPr>
                          <m:t>+ </m:t>
                        </m:r>
                        <m:sSup>
                          <m:sSupPr>
                            <m:ctrlPr>
                              <a:rPr lang="en-US" sz="1200" b="0" i="1">
                                <a:latin typeface="Cambria Math" panose="02040503050406030204" pitchFamily="18" charset="0"/>
                              </a:rPr>
                            </m:ctrlPr>
                          </m:sSupPr>
                          <m:e>
                            <m:r>
                              <a:rPr lang="en-US" sz="1200" b="0" i="1">
                                <a:latin typeface="Cambria Math" panose="02040503050406030204" pitchFamily="18" charset="0"/>
                              </a:rPr>
                              <m:t>𝜎</m:t>
                            </m:r>
                          </m:e>
                          <m:sup>
                            <m:r>
                              <a:rPr lang="en-US" sz="1200" b="0" i="1">
                                <a:latin typeface="Cambria Math" panose="02040503050406030204" pitchFamily="18" charset="0"/>
                              </a:rPr>
                              <m:t>2</m:t>
                            </m:r>
                          </m:sup>
                        </m:sSup>
                      </m:sup>
                    </m:sSup>
                  </m:oMath>
                </m:oMathPara>
              </a14:m>
              <a:endParaRPr lang="en-GB" sz="1200"/>
            </a:p>
          </xdr:txBody>
        </xdr:sp>
      </mc:Choice>
      <mc:Fallback xmlns="">
        <xdr:sp macro="" textlink="">
          <xdr:nvSpPr>
            <xdr:cNvPr id="4" name="TextBox 3">
              <a:extLst>
                <a:ext uri="{FF2B5EF4-FFF2-40B4-BE49-F238E27FC236}">
                  <a16:creationId xmlns:a16="http://schemas.microsoft.com/office/drawing/2014/main" id="{FC3EC281-D05E-4B42-9354-5DFE01D5F544}"/>
                </a:ext>
              </a:extLst>
            </xdr:cNvPr>
            <xdr:cNvSpPr txBox="1"/>
          </xdr:nvSpPr>
          <xdr:spPr>
            <a:xfrm>
              <a:off x="468630" y="14335125"/>
              <a:ext cx="1979003" cy="22480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US" sz="1200" b="0" i="0">
                  <a:latin typeface="Cambria Math" panose="02040503050406030204" pitchFamily="18" charset="0"/>
                </a:rPr>
                <a:t>𝑉𝑎𝑟(𝑋)= (𝑒^(𝜎^2 )−1)⋅𝑒^(2𝜇+ 𝜎^2 )</a:t>
              </a:r>
              <a:endParaRPr lang="en-GB" sz="1200"/>
            </a:p>
          </xdr:txBody>
        </xdr:sp>
      </mc:Fallback>
    </mc:AlternateContent>
    <xdr:clientData/>
  </xdr:oneCellAnchor>
  <xdr:oneCellAnchor>
    <xdr:from>
      <xdr:col>11</xdr:col>
      <xdr:colOff>152400</xdr:colOff>
      <xdr:row>2</xdr:row>
      <xdr:rowOff>138112</xdr:rowOff>
    </xdr:from>
    <xdr:ext cx="1226361" cy="275525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5" name="TextBox 4">
              <a:extLst>
                <a:ext uri="{FF2B5EF4-FFF2-40B4-BE49-F238E27FC236}">
                  <a16:creationId xmlns:a16="http://schemas.microsoft.com/office/drawing/2014/main" id="{3FA90777-EC95-4245-B6BD-C00365CC3939}"/>
                </a:ext>
              </a:extLst>
            </xdr:cNvPr>
            <xdr:cNvSpPr txBox="1"/>
          </xdr:nvSpPr>
          <xdr:spPr>
            <a:xfrm>
              <a:off x="8248650" y="519112"/>
              <a:ext cx="1226361" cy="27552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US" sz="1100" b="0" i="1">
                        <a:latin typeface="Cambria Math" panose="02040503050406030204" pitchFamily="18" charset="0"/>
                      </a:rPr>
                      <m:t>2,000,000= </m:t>
                    </m:r>
                    <m:sSup>
                      <m:sSupPr>
                        <m:ctrlPr>
                          <a:rPr lang="en-US" sz="1100" b="0" i="1">
                            <a:latin typeface="Cambria Math" panose="02040503050406030204" pitchFamily="18" charset="0"/>
                          </a:rPr>
                        </m:ctrlPr>
                      </m:sSupPr>
                      <m:e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𝑒</m:t>
                        </m:r>
                      </m:e>
                      <m:sup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𝜇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+ </m:t>
                        </m:r>
                        <m:f>
                          <m:fPr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fPr>
                          <m:num>
                            <m:sSup>
                              <m:sSupPr>
                                <m:ctrlPr>
                                  <a:rPr lang="en-US" sz="1100" b="0" i="1">
                                    <a:latin typeface="Cambria Math" panose="02040503050406030204" pitchFamily="18" charset="0"/>
                                  </a:rPr>
                                </m:ctrlPr>
                              </m:sSupPr>
                              <m:e>
                                <m:r>
                                  <a:rPr lang="en-US" sz="1100" b="0" i="1">
                                    <a:latin typeface="Cambria Math" panose="02040503050406030204" pitchFamily="18" charset="0"/>
                                  </a:rPr>
                                  <m:t>𝜎</m:t>
                                </m:r>
                              </m:e>
                              <m:sup>
                                <m:r>
                                  <a:rPr lang="en-US" sz="1100" b="0" i="1">
                                    <a:latin typeface="Cambria Math" panose="02040503050406030204" pitchFamily="18" charset="0"/>
                                  </a:rPr>
                                  <m:t>2</m:t>
                                </m:r>
                              </m:sup>
                            </m:sSup>
                          </m:num>
                          <m:den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2</m:t>
                            </m:r>
                          </m:den>
                        </m:f>
                      </m:sup>
                    </m:sSup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5" name="TextBox 4">
              <a:extLst>
                <a:ext uri="{FF2B5EF4-FFF2-40B4-BE49-F238E27FC236}">
                  <a16:creationId xmlns:a16="http://schemas.microsoft.com/office/drawing/2014/main" id="{3FA90777-EC95-4245-B6BD-C00365CC3939}"/>
                </a:ext>
              </a:extLst>
            </xdr:cNvPr>
            <xdr:cNvSpPr txBox="1"/>
          </xdr:nvSpPr>
          <xdr:spPr>
            <a:xfrm>
              <a:off x="8248650" y="519112"/>
              <a:ext cx="1226361" cy="27552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US" sz="1100" b="0" i="0">
                  <a:latin typeface="Cambria Math" panose="02040503050406030204" pitchFamily="18" charset="0"/>
                </a:rPr>
                <a:t>2,000,000= 𝑒^(𝜇+ 𝜎^2/2)</a:t>
              </a:r>
              <a:endParaRPr lang="en-GB" sz="1100"/>
            </a:p>
          </xdr:txBody>
        </xdr:sp>
      </mc:Fallback>
    </mc:AlternateContent>
    <xdr:clientData/>
  </xdr:oneCellAnchor>
  <xdr:oneCellAnchor>
    <xdr:from>
      <xdr:col>10</xdr:col>
      <xdr:colOff>400050</xdr:colOff>
      <xdr:row>7</xdr:row>
      <xdr:rowOff>14287</xdr:rowOff>
    </xdr:from>
    <xdr:ext cx="1119665" cy="328488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6" name="TextBox 5">
              <a:extLst>
                <a:ext uri="{FF2B5EF4-FFF2-40B4-BE49-F238E27FC236}">
                  <a16:creationId xmlns:a16="http://schemas.microsoft.com/office/drawing/2014/main" id="{0EE2E9D0-C3A9-40A6-91A9-C54AA54EB9DD}"/>
                </a:ext>
              </a:extLst>
            </xdr:cNvPr>
            <xdr:cNvSpPr txBox="1"/>
          </xdr:nvSpPr>
          <xdr:spPr>
            <a:xfrm>
              <a:off x="7448550" y="13625512"/>
              <a:ext cx="1119665" cy="32848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f>
                      <m:fPr>
                        <m:ctrlPr>
                          <a:rPr lang="en-GB" sz="110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func>
                          <m:funcPr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funcPr>
                          <m:fName>
                            <m:r>
                              <m:rPr>
                                <m:sty m:val="p"/>
                              </m:rPr>
                              <a:rPr lang="en-US" sz="1100" b="0" i="0">
                                <a:latin typeface="Cambria Math" panose="02040503050406030204" pitchFamily="18" charset="0"/>
                              </a:rPr>
                              <m:t>ln</m:t>
                            </m:r>
                          </m:fName>
                          <m:e>
                            <m:d>
                              <m:dPr>
                                <m:ctrlPr>
                                  <a:rPr lang="en-US" sz="1100" b="0" i="1">
                                    <a:latin typeface="Cambria Math" panose="02040503050406030204" pitchFamily="18" charset="0"/>
                                  </a:rPr>
                                </m:ctrlPr>
                              </m:dPr>
                              <m:e>
                                <m:r>
                                  <a:rPr lang="en-US" sz="1100" b="0" i="1">
                                    <a:latin typeface="Cambria Math" panose="02040503050406030204" pitchFamily="18" charset="0"/>
                                  </a:rPr>
                                  <m:t>𝑥</m:t>
                                </m:r>
                              </m:e>
                            </m:d>
                          </m:e>
                        </m:func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−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𝜇</m:t>
                        </m:r>
                      </m:num>
                      <m:den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𝜎</m:t>
                        </m:r>
                      </m:den>
                    </m:f>
                    <m:r>
                      <a:rPr lang="en-US" sz="1100" b="0" i="1">
                        <a:latin typeface="Cambria Math" panose="02040503050406030204" pitchFamily="18" charset="0"/>
                      </a:rPr>
                      <m:t>=2.326</m:t>
                    </m:r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6" name="TextBox 5">
              <a:extLst>
                <a:ext uri="{FF2B5EF4-FFF2-40B4-BE49-F238E27FC236}">
                  <a16:creationId xmlns:a16="http://schemas.microsoft.com/office/drawing/2014/main" id="{0EE2E9D0-C3A9-40A6-91A9-C54AA54EB9DD}"/>
                </a:ext>
              </a:extLst>
            </xdr:cNvPr>
            <xdr:cNvSpPr txBox="1"/>
          </xdr:nvSpPr>
          <xdr:spPr>
            <a:xfrm>
              <a:off x="7448550" y="13625512"/>
              <a:ext cx="1119665" cy="32848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GB" sz="1100" i="0">
                  <a:latin typeface="Cambria Math" panose="02040503050406030204" pitchFamily="18" charset="0"/>
                </a:rPr>
                <a:t>(</a:t>
              </a:r>
              <a:r>
                <a:rPr lang="en-US" sz="1100" b="0" i="0">
                  <a:latin typeface="Cambria Math" panose="02040503050406030204" pitchFamily="18" charset="0"/>
                </a:rPr>
                <a:t>ln⁡(𝑥)−𝜇</a:t>
              </a:r>
              <a:r>
                <a:rPr lang="en-GB" sz="1100" b="0" i="0">
                  <a:latin typeface="Cambria Math" panose="02040503050406030204" pitchFamily="18" charset="0"/>
                </a:rPr>
                <a:t>)/</a:t>
              </a:r>
              <a:r>
                <a:rPr lang="en-US" sz="1100" b="0" i="0">
                  <a:latin typeface="Cambria Math" panose="02040503050406030204" pitchFamily="18" charset="0"/>
                </a:rPr>
                <a:t>𝜎=2.326</a:t>
              </a:r>
              <a:endParaRPr lang="en-GB" sz="1100"/>
            </a:p>
          </xdr:txBody>
        </xdr:sp>
      </mc:Fallback>
    </mc:AlternateContent>
    <xdr:clientData/>
  </xdr:oneCellAnchor>
  <xdr:oneCellAnchor>
    <xdr:from>
      <xdr:col>11</xdr:col>
      <xdr:colOff>523875</xdr:colOff>
      <xdr:row>10</xdr:row>
      <xdr:rowOff>42862</xdr:rowOff>
    </xdr:from>
    <xdr:ext cx="1710981" cy="175369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7" name="TextBox 6">
              <a:extLst>
                <a:ext uri="{FF2B5EF4-FFF2-40B4-BE49-F238E27FC236}">
                  <a16:creationId xmlns:a16="http://schemas.microsoft.com/office/drawing/2014/main" id="{E6D41D4B-70A5-4802-B5AD-A961C4E7471D}"/>
                </a:ext>
              </a:extLst>
            </xdr:cNvPr>
            <xdr:cNvSpPr txBox="1"/>
          </xdr:nvSpPr>
          <xdr:spPr>
            <a:xfrm>
              <a:off x="8620125" y="1947862"/>
              <a:ext cx="1710981" cy="17536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p>
                      <m:sSupPr>
                        <m:ctrlPr>
                          <a:rPr lang="en-US" sz="1100" b="0" i="1">
                            <a:latin typeface="Cambria Math" panose="02040503050406030204" pitchFamily="18" charset="0"/>
                          </a:rPr>
                        </m:ctrlPr>
                      </m:sSupPr>
                      <m:e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𝜎</m:t>
                        </m:r>
                      </m:e>
                      <m:sup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2</m:t>
                        </m:r>
                      </m:sup>
                    </m:sSup>
                    <m:r>
                      <a:rPr lang="en-US" sz="1100" b="0" i="1">
                        <a:latin typeface="Cambria Math" panose="02040503050406030204" pitchFamily="18" charset="0"/>
                      </a:rPr>
                      <m:t>−4.6520</m:t>
                    </m:r>
                    <m:r>
                      <a:rPr lang="en-US" sz="1100" b="0" i="1">
                        <a:latin typeface="Cambria Math" panose="02040503050406030204" pitchFamily="18" charset="0"/>
                      </a:rPr>
                      <m:t>𝜎</m:t>
                    </m:r>
                    <m:r>
                      <a:rPr lang="en-US" sz="1100" b="0" i="1">
                        <a:latin typeface="Cambria Math" panose="02040503050406030204" pitchFamily="18" charset="0"/>
                      </a:rPr>
                      <m:t>+2.7727=0</m:t>
                    </m:r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7" name="TextBox 6">
              <a:extLst>
                <a:ext uri="{FF2B5EF4-FFF2-40B4-BE49-F238E27FC236}">
                  <a16:creationId xmlns:a16="http://schemas.microsoft.com/office/drawing/2014/main" id="{E6D41D4B-70A5-4802-B5AD-A961C4E7471D}"/>
                </a:ext>
              </a:extLst>
            </xdr:cNvPr>
            <xdr:cNvSpPr txBox="1"/>
          </xdr:nvSpPr>
          <xdr:spPr>
            <a:xfrm>
              <a:off x="8620125" y="1947862"/>
              <a:ext cx="1710981" cy="17536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US" sz="1100" b="0" i="0">
                  <a:latin typeface="Cambria Math" panose="02040503050406030204" pitchFamily="18" charset="0"/>
                </a:rPr>
                <a:t>𝜎^2−4.6520𝜎+2.7727=0</a:t>
              </a:r>
              <a:endParaRPr lang="en-GB" sz="1100"/>
            </a:p>
          </xdr:txBody>
        </xdr:sp>
      </mc:Fallback>
    </mc:AlternateContent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3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5E5B10-EFF7-441F-BCE8-3F06A538F43E}">
  <sheetPr codeName="Sheet1"/>
  <dimension ref="A5:C1048576"/>
  <sheetViews>
    <sheetView showGridLines="0" tabSelected="1" workbookViewId="0"/>
  </sheetViews>
  <sheetFormatPr defaultRowHeight="15" x14ac:dyDescent="0.25"/>
  <cols>
    <col min="2" max="2" width="22.7109375" style="1" customWidth="1"/>
    <col min="3" max="3" width="64" customWidth="1"/>
  </cols>
  <sheetData>
    <row r="5" spans="1:3" ht="15" customHeight="1" x14ac:dyDescent="0.25">
      <c r="A5" s="263" t="s">
        <v>15</v>
      </c>
      <c r="B5" s="263"/>
      <c r="C5" s="263"/>
    </row>
    <row r="6" spans="1:3" ht="15" customHeight="1" x14ac:dyDescent="0.25">
      <c r="A6" s="263"/>
      <c r="B6" s="263"/>
      <c r="C6" s="263"/>
    </row>
    <row r="7" spans="1:3" ht="15" customHeight="1" x14ac:dyDescent="0.25"/>
    <row r="8" spans="1:3" ht="15" customHeight="1" x14ac:dyDescent="0.3">
      <c r="A8" s="264" t="s">
        <v>0</v>
      </c>
      <c r="B8" s="264"/>
      <c r="C8" s="264"/>
    </row>
    <row r="9" spans="1:3" ht="21" x14ac:dyDescent="0.35">
      <c r="A9" s="2"/>
      <c r="B9" s="2"/>
      <c r="C9" s="2"/>
    </row>
    <row r="10" spans="1:3" x14ac:dyDescent="0.25">
      <c r="A10" s="3" t="s">
        <v>1</v>
      </c>
      <c r="B10" s="3" t="s">
        <v>2</v>
      </c>
      <c r="C10" s="3" t="s">
        <v>3</v>
      </c>
    </row>
    <row r="11" spans="1:3" x14ac:dyDescent="0.25">
      <c r="A11" s="4">
        <v>1</v>
      </c>
      <c r="B11" s="1" t="s">
        <v>16</v>
      </c>
      <c r="C11" t="s">
        <v>53</v>
      </c>
    </row>
    <row r="12" spans="1:3" x14ac:dyDescent="0.25">
      <c r="A12" s="4">
        <v>2</v>
      </c>
      <c r="B12" s="1" t="s">
        <v>749</v>
      </c>
      <c r="C12" t="s">
        <v>771</v>
      </c>
    </row>
    <row r="13" spans="1:3" x14ac:dyDescent="0.25">
      <c r="A13" s="4">
        <v>3</v>
      </c>
      <c r="B13" s="1" t="s">
        <v>750</v>
      </c>
      <c r="C13" t="s">
        <v>96</v>
      </c>
    </row>
    <row r="14" spans="1:3" x14ac:dyDescent="0.25">
      <c r="A14" s="4">
        <v>4</v>
      </c>
      <c r="B14" s="1" t="s">
        <v>751</v>
      </c>
      <c r="C14" t="s">
        <v>181</v>
      </c>
    </row>
    <row r="15" spans="1:3" x14ac:dyDescent="0.25">
      <c r="A15" s="4">
        <v>5</v>
      </c>
      <c r="B15" s="1" t="s">
        <v>752</v>
      </c>
      <c r="C15" t="s">
        <v>204</v>
      </c>
    </row>
    <row r="16" spans="1:3" x14ac:dyDescent="0.25">
      <c r="A16" s="4">
        <v>6</v>
      </c>
      <c r="B16" s="1" t="s">
        <v>753</v>
      </c>
      <c r="C16" t="s">
        <v>233</v>
      </c>
    </row>
    <row r="17" spans="1:3" x14ac:dyDescent="0.25">
      <c r="A17" s="4">
        <v>7</v>
      </c>
      <c r="B17" s="1" t="s">
        <v>754</v>
      </c>
      <c r="C17" t="s">
        <v>393</v>
      </c>
    </row>
    <row r="18" spans="1:3" x14ac:dyDescent="0.25">
      <c r="A18" s="4">
        <v>8</v>
      </c>
      <c r="B18" s="1" t="s">
        <v>755</v>
      </c>
      <c r="C18" t="s">
        <v>442</v>
      </c>
    </row>
    <row r="19" spans="1:3" x14ac:dyDescent="0.25">
      <c r="A19" s="262">
        <v>9</v>
      </c>
      <c r="B19" s="1" t="s">
        <v>756</v>
      </c>
      <c r="C19" t="s">
        <v>364</v>
      </c>
    </row>
    <row r="20" spans="1:3" x14ac:dyDescent="0.25">
      <c r="A20" s="262">
        <v>10</v>
      </c>
      <c r="B20" s="1" t="s">
        <v>757</v>
      </c>
      <c r="C20" t="s">
        <v>457</v>
      </c>
    </row>
    <row r="21" spans="1:3" x14ac:dyDescent="0.25">
      <c r="A21" s="262">
        <v>11</v>
      </c>
      <c r="B21" s="1" t="s">
        <v>758</v>
      </c>
      <c r="C21" t="s">
        <v>479</v>
      </c>
    </row>
    <row r="22" spans="1:3" x14ac:dyDescent="0.25">
      <c r="A22" s="262">
        <v>12</v>
      </c>
      <c r="B22" s="1" t="s">
        <v>759</v>
      </c>
      <c r="C22" t="s">
        <v>511</v>
      </c>
    </row>
    <row r="23" spans="1:3" x14ac:dyDescent="0.25">
      <c r="A23" s="262">
        <v>13</v>
      </c>
      <c r="B23" s="1" t="s">
        <v>760</v>
      </c>
      <c r="C23" t="s">
        <v>520</v>
      </c>
    </row>
    <row r="24" spans="1:3" x14ac:dyDescent="0.25">
      <c r="A24" s="262">
        <v>14</v>
      </c>
      <c r="B24" s="1" t="s">
        <v>761</v>
      </c>
      <c r="C24" t="s">
        <v>520</v>
      </c>
    </row>
    <row r="25" spans="1:3" x14ac:dyDescent="0.25">
      <c r="A25" s="262">
        <v>15</v>
      </c>
      <c r="B25" s="1" t="s">
        <v>762</v>
      </c>
      <c r="C25" t="s">
        <v>568</v>
      </c>
    </row>
    <row r="26" spans="1:3" x14ac:dyDescent="0.25">
      <c r="A26" s="262">
        <v>16</v>
      </c>
      <c r="B26" s="1" t="s">
        <v>763</v>
      </c>
      <c r="C26" t="s">
        <v>286</v>
      </c>
    </row>
    <row r="27" spans="1:3" x14ac:dyDescent="0.25">
      <c r="A27" s="262">
        <v>17</v>
      </c>
      <c r="B27" s="1" t="s">
        <v>764</v>
      </c>
      <c r="C27" t="s">
        <v>595</v>
      </c>
    </row>
    <row r="28" spans="1:3" x14ac:dyDescent="0.25">
      <c r="A28" s="262">
        <v>18</v>
      </c>
      <c r="B28" s="1" t="s">
        <v>765</v>
      </c>
      <c r="C28" t="s">
        <v>601</v>
      </c>
    </row>
    <row r="29" spans="1:3" x14ac:dyDescent="0.25">
      <c r="A29" s="262">
        <v>19</v>
      </c>
      <c r="B29" s="1" t="s">
        <v>766</v>
      </c>
      <c r="C29" t="s">
        <v>637</v>
      </c>
    </row>
    <row r="30" spans="1:3" x14ac:dyDescent="0.25">
      <c r="A30" s="262">
        <v>20</v>
      </c>
      <c r="B30" s="1" t="s">
        <v>767</v>
      </c>
      <c r="C30" t="s">
        <v>662</v>
      </c>
    </row>
    <row r="31" spans="1:3" x14ac:dyDescent="0.25">
      <c r="A31" s="262">
        <v>21</v>
      </c>
      <c r="B31" s="1" t="s">
        <v>768</v>
      </c>
      <c r="C31" t="s">
        <v>709</v>
      </c>
    </row>
    <row r="32" spans="1:3" x14ac:dyDescent="0.25">
      <c r="A32" s="262">
        <v>22</v>
      </c>
      <c r="B32" s="1" t="s">
        <v>769</v>
      </c>
      <c r="C32" t="s">
        <v>732</v>
      </c>
    </row>
    <row r="33" spans="1:3" x14ac:dyDescent="0.25">
      <c r="A33" s="262">
        <v>23</v>
      </c>
      <c r="B33" s="1" t="s">
        <v>770</v>
      </c>
      <c r="C33" t="s">
        <v>601</v>
      </c>
    </row>
    <row r="34" spans="1:3" x14ac:dyDescent="0.25">
      <c r="A34" s="5"/>
    </row>
    <row r="35" spans="1:3" x14ac:dyDescent="0.25">
      <c r="A35" s="5"/>
    </row>
    <row r="36" spans="1:3" x14ac:dyDescent="0.25">
      <c r="A36" s="5"/>
    </row>
    <row r="37" spans="1:3" x14ac:dyDescent="0.25">
      <c r="A37" s="5"/>
    </row>
    <row r="38" spans="1:3" x14ac:dyDescent="0.25">
      <c r="A38" s="5"/>
    </row>
    <row r="39" spans="1:3" x14ac:dyDescent="0.25">
      <c r="A39" s="5"/>
    </row>
    <row r="40" spans="1:3" x14ac:dyDescent="0.25">
      <c r="A40" s="5"/>
    </row>
    <row r="41" spans="1:3" x14ac:dyDescent="0.25">
      <c r="A41" s="5"/>
    </row>
    <row r="42" spans="1:3" x14ac:dyDescent="0.25">
      <c r="A42" s="5"/>
    </row>
    <row r="43" spans="1:3" x14ac:dyDescent="0.25">
      <c r="A43" s="5"/>
    </row>
    <row r="44" spans="1:3" x14ac:dyDescent="0.25">
      <c r="A44" s="5"/>
    </row>
    <row r="45" spans="1:3" x14ac:dyDescent="0.25">
      <c r="A45" s="5"/>
    </row>
    <row r="46" spans="1:3" x14ac:dyDescent="0.25">
      <c r="A46" s="5"/>
    </row>
    <row r="47" spans="1:3" x14ac:dyDescent="0.25">
      <c r="A47" s="5"/>
    </row>
    <row r="48" spans="1:3" x14ac:dyDescent="0.25">
      <c r="A48" s="5"/>
    </row>
    <row r="49" spans="1:1" x14ac:dyDescent="0.25">
      <c r="A49" s="5"/>
    </row>
    <row r="50" spans="1:1" x14ac:dyDescent="0.25">
      <c r="A50" s="5"/>
    </row>
    <row r="51" spans="1:1" x14ac:dyDescent="0.25">
      <c r="A51" s="5"/>
    </row>
    <row r="52" spans="1:1" x14ac:dyDescent="0.25">
      <c r="A52" s="5"/>
    </row>
    <row r="53" spans="1:1" x14ac:dyDescent="0.25">
      <c r="A53" s="5"/>
    </row>
    <row r="54" spans="1:1" x14ac:dyDescent="0.25">
      <c r="A54" s="5"/>
    </row>
    <row r="55" spans="1:1" x14ac:dyDescent="0.25">
      <c r="A55" s="5"/>
    </row>
    <row r="56" spans="1:1" x14ac:dyDescent="0.25">
      <c r="A56" s="5"/>
    </row>
    <row r="57" spans="1:1" x14ac:dyDescent="0.25">
      <c r="A57" s="5"/>
    </row>
    <row r="58" spans="1:1" x14ac:dyDescent="0.25">
      <c r="A58" s="5"/>
    </row>
    <row r="59" spans="1:1" x14ac:dyDescent="0.25">
      <c r="A59" s="5"/>
    </row>
    <row r="60" spans="1:1" x14ac:dyDescent="0.25">
      <c r="A60" s="5"/>
    </row>
    <row r="61" spans="1:1" x14ac:dyDescent="0.25">
      <c r="A61" s="5"/>
    </row>
    <row r="62" spans="1:1" x14ac:dyDescent="0.25">
      <c r="A62" s="5"/>
    </row>
    <row r="63" spans="1:1" x14ac:dyDescent="0.25">
      <c r="A63" s="5"/>
    </row>
    <row r="64" spans="1:1" x14ac:dyDescent="0.25">
      <c r="A64" s="5"/>
    </row>
    <row r="65" spans="1:1" x14ac:dyDescent="0.25">
      <c r="A65" s="5"/>
    </row>
    <row r="66" spans="1:1" x14ac:dyDescent="0.25">
      <c r="A66" s="5"/>
    </row>
    <row r="67" spans="1:1" x14ac:dyDescent="0.25">
      <c r="A67" s="5"/>
    </row>
    <row r="68" spans="1:1" x14ac:dyDescent="0.25">
      <c r="A68" s="5"/>
    </row>
    <row r="69" spans="1:1" x14ac:dyDescent="0.25">
      <c r="A69" s="5"/>
    </row>
    <row r="70" spans="1:1" x14ac:dyDescent="0.25">
      <c r="A70" s="5"/>
    </row>
    <row r="71" spans="1:1" x14ac:dyDescent="0.25">
      <c r="A71" s="5"/>
    </row>
    <row r="72" spans="1:1" x14ac:dyDescent="0.25">
      <c r="A72" s="5"/>
    </row>
    <row r="73" spans="1:1" x14ac:dyDescent="0.25">
      <c r="A73" s="5"/>
    </row>
    <row r="74" spans="1:1" x14ac:dyDescent="0.25">
      <c r="A74" s="5"/>
    </row>
    <row r="75" spans="1:1" x14ac:dyDescent="0.25">
      <c r="A75" s="5"/>
    </row>
    <row r="76" spans="1:1" x14ac:dyDescent="0.25">
      <c r="A76" s="5"/>
    </row>
    <row r="77" spans="1:1" x14ac:dyDescent="0.25">
      <c r="A77" s="5"/>
    </row>
    <row r="78" spans="1:1" x14ac:dyDescent="0.25">
      <c r="A78" s="5"/>
    </row>
    <row r="79" spans="1:1" x14ac:dyDescent="0.25">
      <c r="A79" s="5"/>
    </row>
    <row r="80" spans="1:1" x14ac:dyDescent="0.25">
      <c r="A80" s="5"/>
    </row>
    <row r="81" spans="1:1" x14ac:dyDescent="0.25">
      <c r="A81" s="5"/>
    </row>
    <row r="82" spans="1:1" x14ac:dyDescent="0.25">
      <c r="A82" s="5"/>
    </row>
    <row r="83" spans="1:1" x14ac:dyDescent="0.25">
      <c r="A83" s="5"/>
    </row>
    <row r="84" spans="1:1" x14ac:dyDescent="0.25">
      <c r="A84" s="5"/>
    </row>
    <row r="85" spans="1:1" x14ac:dyDescent="0.25">
      <c r="A85" s="5"/>
    </row>
    <row r="86" spans="1:1" x14ac:dyDescent="0.25">
      <c r="A86" s="5"/>
    </row>
    <row r="88" spans="1:1" x14ac:dyDescent="0.25">
      <c r="A88" s="5"/>
    </row>
    <row r="89" spans="1:1" x14ac:dyDescent="0.25">
      <c r="A89" s="5"/>
    </row>
    <row r="90" spans="1:1" x14ac:dyDescent="0.25">
      <c r="A90" s="5"/>
    </row>
    <row r="91" spans="1:1" x14ac:dyDescent="0.25">
      <c r="A91" s="5"/>
    </row>
    <row r="92" spans="1:1" x14ac:dyDescent="0.25">
      <c r="A92" s="5"/>
    </row>
    <row r="93" spans="1:1" x14ac:dyDescent="0.25">
      <c r="A93" s="5"/>
    </row>
    <row r="94" spans="1:1" x14ac:dyDescent="0.25">
      <c r="A94" s="5"/>
    </row>
    <row r="95" spans="1:1" x14ac:dyDescent="0.25">
      <c r="A95" s="5"/>
    </row>
    <row r="96" spans="1:1" x14ac:dyDescent="0.25">
      <c r="A96" s="5"/>
    </row>
    <row r="97" spans="1:1" x14ac:dyDescent="0.25">
      <c r="A97" s="5"/>
    </row>
    <row r="98" spans="1:1" x14ac:dyDescent="0.25">
      <c r="A98" s="5"/>
    </row>
    <row r="99" spans="1:1" x14ac:dyDescent="0.25">
      <c r="A99" s="5"/>
    </row>
    <row r="100" spans="1:1" x14ac:dyDescent="0.25">
      <c r="A100" s="5"/>
    </row>
    <row r="101" spans="1:1" x14ac:dyDescent="0.25">
      <c r="A101" s="5"/>
    </row>
    <row r="102" spans="1:1" x14ac:dyDescent="0.25">
      <c r="A102" s="5"/>
    </row>
    <row r="103" spans="1:1" x14ac:dyDescent="0.25">
      <c r="A103" s="5"/>
    </row>
    <row r="104" spans="1:1" x14ac:dyDescent="0.25">
      <c r="A104" s="5"/>
    </row>
    <row r="105" spans="1:1" x14ac:dyDescent="0.25">
      <c r="A105" s="5"/>
    </row>
    <row r="106" spans="1:1" x14ac:dyDescent="0.25">
      <c r="A106" s="5"/>
    </row>
    <row r="107" spans="1:1" x14ac:dyDescent="0.25">
      <c r="A107" s="5"/>
    </row>
    <row r="108" spans="1:1" x14ac:dyDescent="0.25">
      <c r="A108" s="5"/>
    </row>
    <row r="109" spans="1:1" x14ac:dyDescent="0.25">
      <c r="A109" s="5"/>
    </row>
    <row r="110" spans="1:1" x14ac:dyDescent="0.25">
      <c r="A110" s="5"/>
    </row>
    <row r="111" spans="1:1" x14ac:dyDescent="0.25">
      <c r="A111" s="5"/>
    </row>
    <row r="112" spans="1:1" x14ac:dyDescent="0.25">
      <c r="A112" s="5"/>
    </row>
    <row r="113" spans="1:1" x14ac:dyDescent="0.25">
      <c r="A113" s="5"/>
    </row>
    <row r="114" spans="1:1" x14ac:dyDescent="0.25">
      <c r="A114" s="5"/>
    </row>
    <row r="115" spans="1:1" x14ac:dyDescent="0.25">
      <c r="A115" s="5"/>
    </row>
    <row r="116" spans="1:1" x14ac:dyDescent="0.25">
      <c r="A116" s="5"/>
    </row>
    <row r="117" spans="1:1" x14ac:dyDescent="0.25">
      <c r="A117" s="5"/>
    </row>
    <row r="118" spans="1:1" x14ac:dyDescent="0.25">
      <c r="A118" s="5"/>
    </row>
    <row r="119" spans="1:1" x14ac:dyDescent="0.25">
      <c r="A119" s="5"/>
    </row>
    <row r="120" spans="1:1" x14ac:dyDescent="0.25">
      <c r="A120" s="5"/>
    </row>
    <row r="121" spans="1:1" x14ac:dyDescent="0.25">
      <c r="A121" s="5"/>
    </row>
    <row r="122" spans="1:1" x14ac:dyDescent="0.25">
      <c r="A122" s="5"/>
    </row>
    <row r="123" spans="1:1" x14ac:dyDescent="0.25">
      <c r="A123" s="5"/>
    </row>
    <row r="124" spans="1:1" x14ac:dyDescent="0.25">
      <c r="A124" s="5"/>
    </row>
    <row r="125" spans="1:1" x14ac:dyDescent="0.25">
      <c r="A125" s="5"/>
    </row>
    <row r="126" spans="1:1" x14ac:dyDescent="0.25">
      <c r="A126" s="5"/>
    </row>
    <row r="127" spans="1:1" x14ac:dyDescent="0.25">
      <c r="A127" s="5"/>
    </row>
    <row r="128" spans="1:1" x14ac:dyDescent="0.25">
      <c r="A128" s="5"/>
    </row>
    <row r="129" spans="1:1" x14ac:dyDescent="0.25">
      <c r="A129" s="5"/>
    </row>
    <row r="130" spans="1:1" x14ac:dyDescent="0.25">
      <c r="A130" s="5"/>
    </row>
    <row r="1048576" spans="2:2" x14ac:dyDescent="0.25">
      <c r="B1048576"/>
    </row>
  </sheetData>
  <sheetProtection formatCells="0" formatColumns="0" formatRows="0"/>
  <mergeCells count="2">
    <mergeCell ref="A5:C6"/>
    <mergeCell ref="A8:C8"/>
  </mergeCells>
  <phoneticPr fontId="18" type="noConversion"/>
  <hyperlinks>
    <hyperlink ref="A11" location="'Bahnemann1'!A1" display="1" xr:uid="{9307E981-4145-43E3-8579-20D30744395F}"/>
    <hyperlink ref="A12" location="'Bahnemann2'!A1" display="2" xr:uid="{88BD1774-EEE3-43E2-BE4B-1A738B2E585E}"/>
    <hyperlink ref="A13" location="'Bahnemann3'!A1" display="3" xr:uid="{01CB47D1-F0BA-4426-B09C-77D4151583DC}"/>
    <hyperlink ref="A14" location="'Bahnemann4'!A1" display="4" xr:uid="{36D571E1-4299-4E29-B625-C28E58AA9448}"/>
    <hyperlink ref="A15" location="'Bahnemann5'!A1" display="5" xr:uid="{BD37384D-8161-4122-9103-60907373F2BC}"/>
    <hyperlink ref="A16" location="'Bahnemann6'!A1" display="6" xr:uid="{B53A4867-3483-4F64-8CF0-4C1C45FF0A99}"/>
    <hyperlink ref="A17" location="'Bahnemann7'!A1" display="7" xr:uid="{7DACBB05-0F67-4F0B-93D1-28FC1D43B116}"/>
    <hyperlink ref="A18" location="'Bahnemann8'!A1" display="8" xr:uid="{146110C8-C6C5-4A9F-AA5F-81434CAFC07A}"/>
    <hyperlink ref="A19" location="'Bahnemann9'!A1" display="9" xr:uid="{7D347560-B149-431C-AA86-189B7B445A08}"/>
    <hyperlink ref="A20" location="'Bahnemann10'!A1" display="10" xr:uid="{4C1E50B1-7F79-42E2-BD3A-57E9215338F6}"/>
    <hyperlink ref="A21" location="'Bahnemann11'!A1" display="11" xr:uid="{322F153F-63B8-4FFD-A79E-F88D30B91B15}"/>
    <hyperlink ref="A22" location="'Bahnemann12'!A1" display="12" xr:uid="{52EE6BD2-1FD3-4D5B-858D-F2BB73B7DDCC}"/>
    <hyperlink ref="A23" location="'Bahnemann13'!A1" display="13" xr:uid="{842E8596-4EBA-45A4-8666-EA514E85D0A0}"/>
    <hyperlink ref="A24" location="'Bahnemann14'!A1" display="14" xr:uid="{B4CA5D83-4488-4063-9924-ADC77EBFC20F}"/>
    <hyperlink ref="A25" location="'Bahnemann15'!A1" display="15" xr:uid="{23F18C99-ACDF-4D39-8E86-121D378FCB43}"/>
    <hyperlink ref="A26" location="'Bahnemann16'!A1" display="16" xr:uid="{2DE3ED45-43F9-44D3-8481-9CD15E30B149}"/>
    <hyperlink ref="A27" location="'Bahnemann17'!A1" display="17" xr:uid="{7D9619F0-A82A-446E-8F68-75422E05C218}"/>
    <hyperlink ref="A28" location="'Bahnemann18'!A1" display="18" xr:uid="{2C639CEA-D97C-4F8D-9657-19785CD243DE}"/>
    <hyperlink ref="A29" location="'Bahnemann19'!A1" display="19" xr:uid="{79F7136E-70D1-4F3B-BAD0-BDF406944B3A}"/>
    <hyperlink ref="A30" location="'Bahnemann20'!A1" display="20" xr:uid="{03A3B2E2-1FF6-42B1-8A24-AC56291244F9}"/>
    <hyperlink ref="A31" location="'Bahnemann21'!A1" display="21" xr:uid="{19422936-6FC3-4E9E-9006-BEB944CB4A99}"/>
    <hyperlink ref="A32" location="'Bahnemann22'!A1" display="22" xr:uid="{09751A25-28AF-4BB6-AE84-BD3C59D72446}"/>
    <hyperlink ref="A33" location="'Bahnemann23'!A1" display="23" xr:uid="{342BE084-2E1C-43E9-8DE4-ED6E186F8EC6}"/>
  </hyperlinks>
  <pageMargins left="0.7" right="0.7" top="0.75" bottom="0.75" header="0.3" footer="0.3"/>
  <pageSetup paperSize="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5C429D-246F-4DC8-B3B1-063342ECF425}">
  <sheetPr codeName="Sheet10"/>
  <dimension ref="A1:S40"/>
  <sheetViews>
    <sheetView workbookViewId="0"/>
  </sheetViews>
  <sheetFormatPr defaultRowHeight="15" x14ac:dyDescent="0.25"/>
  <cols>
    <col min="1" max="1" width="14" bestFit="1" customWidth="1"/>
    <col min="2" max="2" width="15.140625" customWidth="1"/>
    <col min="3" max="3" width="11.85546875" bestFit="1" customWidth="1"/>
    <col min="4" max="4" width="10.85546875" bestFit="1" customWidth="1"/>
    <col min="5" max="5" width="11.85546875" bestFit="1" customWidth="1"/>
    <col min="6" max="6" width="11.85546875" customWidth="1"/>
    <col min="7" max="9" width="11" customWidth="1"/>
    <col min="10" max="10" width="3.7109375" customWidth="1"/>
    <col min="13" max="13" width="10.140625" bestFit="1" customWidth="1"/>
  </cols>
  <sheetData>
    <row r="1" spans="1:18" x14ac:dyDescent="0.25">
      <c r="A1" s="6" t="s">
        <v>4</v>
      </c>
      <c r="B1" s="7" t="s">
        <v>17</v>
      </c>
      <c r="C1" s="7"/>
      <c r="D1" s="8"/>
      <c r="E1" s="8"/>
      <c r="F1" s="8"/>
      <c r="G1" s="8"/>
      <c r="H1" s="265" t="s">
        <v>5</v>
      </c>
      <c r="I1" s="266"/>
      <c r="J1" s="9"/>
      <c r="K1" s="10" t="s">
        <v>6</v>
      </c>
    </row>
    <row r="2" spans="1:18" x14ac:dyDescent="0.25">
      <c r="A2" s="11" t="s">
        <v>7</v>
      </c>
      <c r="B2" s="45" t="s">
        <v>342</v>
      </c>
      <c r="C2" s="45"/>
      <c r="D2" s="45"/>
      <c r="E2" s="45"/>
      <c r="F2" s="45"/>
      <c r="G2" s="45"/>
      <c r="H2" s="45"/>
      <c r="I2" s="12"/>
      <c r="J2" t="s">
        <v>326</v>
      </c>
      <c r="K2" s="94" t="s">
        <v>380</v>
      </c>
      <c r="L2" s="94"/>
      <c r="M2" s="94"/>
      <c r="N2" s="94"/>
      <c r="O2" s="94"/>
      <c r="P2" s="94"/>
      <c r="Q2" s="94"/>
      <c r="R2" s="94"/>
    </row>
    <row r="3" spans="1:18" x14ac:dyDescent="0.25">
      <c r="A3" s="11" t="s">
        <v>8</v>
      </c>
      <c r="B3" s="45" t="s">
        <v>364</v>
      </c>
      <c r="C3" s="45"/>
      <c r="D3" s="45"/>
      <c r="E3" s="45"/>
      <c r="F3" s="45"/>
      <c r="G3" s="45"/>
      <c r="H3" s="45"/>
      <c r="I3" s="12"/>
      <c r="K3" s="94"/>
      <c r="L3" s="94"/>
      <c r="M3" s="94"/>
      <c r="N3" s="94"/>
      <c r="O3" s="94"/>
      <c r="P3" s="94"/>
      <c r="Q3" s="94"/>
      <c r="R3" s="94"/>
    </row>
    <row r="4" spans="1:18" x14ac:dyDescent="0.25">
      <c r="A4" s="13"/>
      <c r="B4" s="47"/>
      <c r="C4" s="47"/>
      <c r="D4" s="47"/>
      <c r="E4" s="47"/>
      <c r="F4" s="47"/>
      <c r="G4" s="47"/>
      <c r="H4" s="47"/>
      <c r="I4" s="14"/>
      <c r="K4" s="94" t="s">
        <v>365</v>
      </c>
      <c r="L4" s="94"/>
      <c r="M4" s="94"/>
      <c r="N4" s="94"/>
      <c r="O4" s="94"/>
      <c r="P4" s="94"/>
      <c r="Q4" s="94"/>
      <c r="R4" s="94"/>
    </row>
    <row r="5" spans="1:18" x14ac:dyDescent="0.25">
      <c r="A5" s="18"/>
      <c r="B5" s="173" t="s">
        <v>359</v>
      </c>
      <c r="C5" s="47"/>
      <c r="D5" s="47"/>
      <c r="E5" s="47"/>
      <c r="F5" s="47"/>
      <c r="G5" s="47"/>
      <c r="H5" s="47"/>
      <c r="I5" s="16"/>
      <c r="K5" s="94"/>
      <c r="L5" s="94"/>
      <c r="M5" s="94"/>
      <c r="N5" s="94"/>
      <c r="O5" s="94"/>
      <c r="P5" s="94"/>
      <c r="Q5" s="94"/>
      <c r="R5" s="94"/>
    </row>
    <row r="6" spans="1:18" x14ac:dyDescent="0.25">
      <c r="A6" s="18"/>
      <c r="B6" s="47"/>
      <c r="C6" s="47"/>
      <c r="D6" s="47"/>
      <c r="E6" s="47"/>
      <c r="F6" s="47"/>
      <c r="G6" s="47"/>
      <c r="H6" s="47"/>
      <c r="I6" s="16"/>
      <c r="K6" s="94" t="s">
        <v>366</v>
      </c>
      <c r="L6" s="94"/>
      <c r="M6" s="94"/>
      <c r="N6" s="94"/>
      <c r="O6" s="94"/>
      <c r="P6" s="94"/>
      <c r="Q6" s="94"/>
      <c r="R6" s="94"/>
    </row>
    <row r="7" spans="1:18" x14ac:dyDescent="0.25">
      <c r="A7" s="15" t="s">
        <v>9</v>
      </c>
      <c r="B7" s="47" t="s">
        <v>343</v>
      </c>
      <c r="C7" s="47"/>
      <c r="D7" s="47"/>
      <c r="E7" s="47"/>
      <c r="F7" s="47"/>
      <c r="G7" s="47"/>
      <c r="H7" s="47"/>
      <c r="I7" s="16"/>
      <c r="K7" s="94" t="s">
        <v>367</v>
      </c>
      <c r="L7" s="94"/>
      <c r="M7" s="94"/>
      <c r="N7" s="94"/>
      <c r="O7" s="94"/>
      <c r="P7" s="94"/>
      <c r="Q7" s="94"/>
      <c r="R7" s="94"/>
    </row>
    <row r="8" spans="1:18" x14ac:dyDescent="0.25">
      <c r="A8" s="18"/>
      <c r="B8" s="47" t="s">
        <v>344</v>
      </c>
      <c r="C8" s="47"/>
      <c r="D8" s="47"/>
      <c r="E8" s="47"/>
      <c r="F8" s="47"/>
      <c r="G8" s="47"/>
      <c r="H8" s="47"/>
      <c r="I8" s="16"/>
      <c r="K8" s="94" t="s">
        <v>368</v>
      </c>
      <c r="L8" s="94"/>
      <c r="M8" s="94"/>
      <c r="N8" s="94"/>
      <c r="O8" s="94"/>
      <c r="P8" s="94"/>
      <c r="Q8" s="94"/>
      <c r="R8" s="94"/>
    </row>
    <row r="9" spans="1:18" x14ac:dyDescent="0.25">
      <c r="A9" s="18"/>
      <c r="B9" s="47"/>
      <c r="C9" s="47"/>
      <c r="D9" s="47"/>
      <c r="E9" s="47"/>
      <c r="F9" s="47"/>
      <c r="G9" s="47"/>
      <c r="H9" s="47"/>
      <c r="I9" s="16"/>
      <c r="K9" s="94"/>
      <c r="L9" s="94"/>
      <c r="M9" s="94"/>
      <c r="N9" s="94"/>
      <c r="O9" s="94"/>
      <c r="P9" s="94"/>
      <c r="Q9" s="94"/>
      <c r="R9" s="94"/>
    </row>
    <row r="10" spans="1:18" x14ac:dyDescent="0.25">
      <c r="A10" s="18"/>
      <c r="B10" s="47" t="s">
        <v>360</v>
      </c>
      <c r="C10" s="47"/>
      <c r="D10" s="47"/>
      <c r="E10" s="47"/>
      <c r="F10" s="47"/>
      <c r="G10" s="47"/>
      <c r="H10" s="47"/>
      <c r="I10" s="16"/>
      <c r="K10" s="94" t="s">
        <v>369</v>
      </c>
      <c r="L10" s="94"/>
      <c r="M10" s="94"/>
      <c r="N10" s="94"/>
      <c r="O10" s="94"/>
      <c r="P10" s="94"/>
      <c r="Q10" s="94"/>
      <c r="R10" s="94"/>
    </row>
    <row r="11" spans="1:18" x14ac:dyDescent="0.25">
      <c r="A11" s="18"/>
      <c r="B11" s="47" t="s">
        <v>361</v>
      </c>
      <c r="C11" s="47"/>
      <c r="D11" s="47"/>
      <c r="E11" s="47"/>
      <c r="F11" s="47"/>
      <c r="G11" s="47"/>
      <c r="H11" s="47"/>
      <c r="I11" s="16"/>
      <c r="K11" s="94" t="s">
        <v>370</v>
      </c>
      <c r="L11" s="94"/>
      <c r="M11" s="94"/>
      <c r="N11" s="94"/>
      <c r="O11" s="94"/>
      <c r="P11" s="94"/>
      <c r="Q11" s="94"/>
      <c r="R11" s="94"/>
    </row>
    <row r="12" spans="1:18" x14ac:dyDescent="0.25">
      <c r="A12" s="18"/>
      <c r="B12" s="47"/>
      <c r="C12" s="47"/>
      <c r="D12" s="47"/>
      <c r="E12" s="47"/>
      <c r="F12" s="47"/>
      <c r="G12" s="47"/>
      <c r="H12" s="47"/>
      <c r="I12" s="16"/>
      <c r="K12" s="94"/>
      <c r="L12" s="94"/>
      <c r="M12" s="94"/>
      <c r="N12" s="94"/>
      <c r="O12" s="94"/>
      <c r="P12" s="94"/>
      <c r="Q12" s="94"/>
      <c r="R12" s="94"/>
    </row>
    <row r="13" spans="1:18" x14ac:dyDescent="0.25">
      <c r="A13" s="18"/>
      <c r="B13" s="47" t="s">
        <v>354</v>
      </c>
      <c r="C13" s="171"/>
      <c r="D13" s="171"/>
      <c r="E13" s="171"/>
      <c r="F13" s="171"/>
      <c r="G13" s="172"/>
      <c r="H13" s="172"/>
      <c r="I13" s="16"/>
      <c r="K13" s="94" t="s">
        <v>371</v>
      </c>
      <c r="L13" s="94"/>
      <c r="M13" s="94"/>
      <c r="N13" s="94"/>
      <c r="O13" s="94"/>
      <c r="P13" s="94"/>
      <c r="Q13" s="94"/>
      <c r="R13" s="94"/>
    </row>
    <row r="14" spans="1:18" x14ac:dyDescent="0.25">
      <c r="A14" s="18"/>
      <c r="B14" s="170"/>
      <c r="C14" s="171"/>
      <c r="D14" s="171"/>
      <c r="E14" s="171"/>
      <c r="F14" s="171"/>
      <c r="G14" s="172"/>
      <c r="H14" s="172"/>
      <c r="I14" s="16"/>
      <c r="K14" s="94" t="s">
        <v>372</v>
      </c>
      <c r="L14" s="94"/>
      <c r="M14" s="94"/>
      <c r="N14" s="94"/>
      <c r="O14" s="94"/>
      <c r="P14" s="94"/>
      <c r="Q14" s="94"/>
      <c r="R14" s="94"/>
    </row>
    <row r="15" spans="1:18" x14ac:dyDescent="0.25">
      <c r="A15" s="18"/>
      <c r="B15" s="47" t="s">
        <v>345</v>
      </c>
      <c r="C15" s="47"/>
      <c r="D15" s="47"/>
      <c r="E15" s="47"/>
      <c r="F15" s="47"/>
      <c r="G15" s="47"/>
      <c r="H15" s="47"/>
      <c r="I15" s="16"/>
      <c r="K15" s="94"/>
      <c r="L15" s="94"/>
      <c r="M15" s="94"/>
      <c r="N15" s="94"/>
      <c r="O15" s="94"/>
      <c r="P15" s="94"/>
      <c r="Q15" s="94"/>
      <c r="R15" s="94"/>
    </row>
    <row r="16" spans="1:18" x14ac:dyDescent="0.25">
      <c r="A16" s="18"/>
      <c r="B16" s="47" t="s">
        <v>346</v>
      </c>
      <c r="C16" s="47"/>
      <c r="D16" s="47"/>
      <c r="E16" s="47"/>
      <c r="F16" s="47"/>
      <c r="G16" s="47"/>
      <c r="H16" s="47"/>
      <c r="I16" s="16"/>
      <c r="K16" s="94" t="s">
        <v>373</v>
      </c>
      <c r="L16" s="94"/>
      <c r="M16" s="94"/>
      <c r="N16" s="94"/>
      <c r="O16" s="94"/>
      <c r="P16" s="94"/>
      <c r="Q16" s="94"/>
      <c r="R16" s="94"/>
    </row>
    <row r="17" spans="1:18" x14ac:dyDescent="0.25">
      <c r="A17" s="18"/>
      <c r="B17" s="47" t="s">
        <v>355</v>
      </c>
      <c r="C17" s="47"/>
      <c r="D17" s="47"/>
      <c r="E17" s="47"/>
      <c r="F17" s="47"/>
      <c r="G17" s="47"/>
      <c r="H17" s="47"/>
      <c r="I17" s="16"/>
      <c r="K17" s="94" t="s">
        <v>374</v>
      </c>
      <c r="L17" s="94"/>
      <c r="M17" s="94" t="s">
        <v>375</v>
      </c>
      <c r="N17" s="94"/>
      <c r="O17" s="94"/>
      <c r="P17" s="94"/>
      <c r="Q17" s="94"/>
      <c r="R17" s="94"/>
    </row>
    <row r="18" spans="1:18" x14ac:dyDescent="0.25">
      <c r="A18" s="18"/>
      <c r="B18" s="47" t="s">
        <v>356</v>
      </c>
      <c r="C18" s="47"/>
      <c r="D18" s="47"/>
      <c r="E18" s="47"/>
      <c r="F18" s="47"/>
      <c r="G18" s="47"/>
      <c r="H18" s="47"/>
      <c r="I18" s="16"/>
      <c r="K18" s="174">
        <f>SQRT((EXP(0.7019^2)-1)*EXP(2*14.2624+0.7019^2))/EXP(14.2624+0.7019^2/2)</f>
        <v>0.79791595384481695</v>
      </c>
      <c r="L18" s="94"/>
      <c r="M18" s="175">
        <f>SQRT(EXP(3.9501^2-1)*EXP(2*6.7071+3.9501^2))/EXP(6.7071+3.9501^2/2)</f>
        <v>1482.7370323421019</v>
      </c>
      <c r="N18" s="94"/>
      <c r="O18" s="94"/>
      <c r="P18" s="94"/>
      <c r="Q18" s="94"/>
      <c r="R18" s="94"/>
    </row>
    <row r="19" spans="1:18" x14ac:dyDescent="0.25">
      <c r="A19" s="18"/>
      <c r="B19" s="47"/>
      <c r="C19" s="47"/>
      <c r="D19" s="47"/>
      <c r="E19" s="47"/>
      <c r="F19" s="47"/>
      <c r="G19" s="47"/>
      <c r="H19" s="47"/>
      <c r="I19" s="16"/>
      <c r="K19" s="94"/>
      <c r="L19" s="94"/>
      <c r="M19" s="94"/>
      <c r="N19" s="94"/>
      <c r="O19" s="94"/>
      <c r="P19" s="94"/>
      <c r="Q19" s="94"/>
      <c r="R19" s="94"/>
    </row>
    <row r="20" spans="1:18" x14ac:dyDescent="0.25">
      <c r="A20" s="18"/>
      <c r="B20" s="47" t="s">
        <v>347</v>
      </c>
      <c r="C20" s="47"/>
      <c r="D20" s="47"/>
      <c r="E20" s="47"/>
      <c r="F20" s="47"/>
      <c r="G20" s="47"/>
      <c r="H20" s="47"/>
      <c r="I20" s="16"/>
      <c r="K20" s="164" t="s">
        <v>376</v>
      </c>
      <c r="L20" s="164"/>
      <c r="M20" s="164"/>
      <c r="N20" s="164"/>
      <c r="O20" s="164"/>
      <c r="P20" s="164"/>
      <c r="Q20" s="164"/>
      <c r="R20" s="164"/>
    </row>
    <row r="21" spans="1:18" x14ac:dyDescent="0.25">
      <c r="A21" s="18"/>
      <c r="B21" s="47" t="s">
        <v>348</v>
      </c>
      <c r="C21" s="47"/>
      <c r="D21" s="47"/>
      <c r="E21" s="47"/>
      <c r="F21" s="47"/>
      <c r="G21" s="47"/>
      <c r="H21" s="47"/>
      <c r="I21" s="16"/>
      <c r="K21" s="94"/>
      <c r="L21" s="94"/>
      <c r="M21" s="94"/>
      <c r="N21" s="94"/>
      <c r="O21" s="94"/>
      <c r="P21" s="94"/>
      <c r="Q21" s="94"/>
      <c r="R21" s="94"/>
    </row>
    <row r="22" spans="1:18" x14ac:dyDescent="0.25">
      <c r="A22" s="18"/>
      <c r="B22" s="47" t="s">
        <v>349</v>
      </c>
      <c r="C22" s="47"/>
      <c r="D22" s="47"/>
      <c r="E22" s="47"/>
      <c r="F22" s="47"/>
      <c r="G22" s="47"/>
      <c r="H22" s="47"/>
      <c r="I22" s="16"/>
      <c r="J22" t="s">
        <v>327</v>
      </c>
      <c r="Q22" s="94"/>
      <c r="R22" s="94"/>
    </row>
    <row r="23" spans="1:18" x14ac:dyDescent="0.25">
      <c r="A23" s="18"/>
      <c r="B23" s="47"/>
      <c r="C23" s="47"/>
      <c r="D23" s="47"/>
      <c r="E23" s="47"/>
      <c r="F23" s="47"/>
      <c r="G23" s="47"/>
      <c r="H23" s="47"/>
      <c r="I23" s="16"/>
      <c r="J23" t="s">
        <v>381</v>
      </c>
      <c r="K23" s="94" t="s">
        <v>377</v>
      </c>
      <c r="L23" s="94"/>
      <c r="M23" s="94"/>
      <c r="N23" s="94"/>
      <c r="O23" s="94"/>
      <c r="P23" s="94"/>
      <c r="Q23" s="94"/>
      <c r="R23" s="94"/>
    </row>
    <row r="24" spans="1:18" x14ac:dyDescent="0.25">
      <c r="A24" s="18"/>
      <c r="B24" s="47" t="s">
        <v>350</v>
      </c>
      <c r="C24" s="47"/>
      <c r="D24" s="47"/>
      <c r="E24" s="47"/>
      <c r="F24" s="47"/>
      <c r="G24" s="47"/>
      <c r="H24" s="47"/>
      <c r="I24" s="16"/>
      <c r="K24" s="94" t="s">
        <v>378</v>
      </c>
      <c r="L24" s="94"/>
      <c r="M24" s="94"/>
      <c r="N24" s="94"/>
      <c r="O24" s="94"/>
      <c r="P24" s="94"/>
      <c r="Q24" s="94"/>
      <c r="R24" s="94"/>
    </row>
    <row r="25" spans="1:18" x14ac:dyDescent="0.25">
      <c r="A25" s="18"/>
      <c r="B25" s="47" t="s">
        <v>351</v>
      </c>
      <c r="C25" s="47"/>
      <c r="D25" s="47"/>
      <c r="E25" s="47"/>
      <c r="F25" s="47"/>
      <c r="G25" s="47"/>
      <c r="H25" s="47"/>
      <c r="I25" s="16"/>
      <c r="K25" s="94" t="s">
        <v>383</v>
      </c>
      <c r="L25" s="94"/>
      <c r="M25" s="94"/>
      <c r="N25" s="94"/>
      <c r="O25" s="94"/>
      <c r="Q25" s="94"/>
      <c r="R25" s="94"/>
    </row>
    <row r="26" spans="1:18" x14ac:dyDescent="0.25">
      <c r="A26" s="18"/>
      <c r="B26" s="47"/>
      <c r="C26" s="47"/>
      <c r="D26" s="47"/>
      <c r="E26" s="47"/>
      <c r="F26" s="97" t="s">
        <v>238</v>
      </c>
      <c r="G26" s="168" t="s">
        <v>352</v>
      </c>
      <c r="H26" s="47"/>
      <c r="I26" s="16"/>
      <c r="L26" s="94"/>
      <c r="M26" s="94"/>
      <c r="N26" s="94"/>
      <c r="O26" s="94"/>
      <c r="P26" s="94"/>
      <c r="Q26" s="94"/>
      <c r="R26" s="94"/>
    </row>
    <row r="27" spans="1:18" x14ac:dyDescent="0.25">
      <c r="A27" s="18"/>
      <c r="B27" s="47"/>
      <c r="C27" s="47"/>
      <c r="D27" s="47"/>
      <c r="E27" s="47"/>
      <c r="F27" s="98">
        <v>1.7509999999999999</v>
      </c>
      <c r="G27" s="169">
        <v>0.96</v>
      </c>
      <c r="H27" s="47"/>
      <c r="I27" s="16"/>
      <c r="K27" s="94" t="s">
        <v>384</v>
      </c>
      <c r="L27" s="94"/>
      <c r="M27" s="94"/>
      <c r="N27" s="101">
        <f>1-97.23%</f>
        <v>2.7699999999999947E-2</v>
      </c>
      <c r="O27" s="94"/>
      <c r="P27" s="94"/>
      <c r="Q27" s="94"/>
      <c r="R27" s="94"/>
    </row>
    <row r="28" spans="1:18" x14ac:dyDescent="0.25">
      <c r="A28" s="18"/>
      <c r="B28" s="47"/>
      <c r="C28" s="47"/>
      <c r="D28" s="47"/>
      <c r="E28" s="47"/>
      <c r="F28" s="98">
        <v>1.8140000000000001</v>
      </c>
      <c r="G28" s="169">
        <v>0.96519999999999995</v>
      </c>
      <c r="H28" s="47"/>
      <c r="I28" s="16"/>
      <c r="L28" s="94"/>
      <c r="M28" s="94"/>
      <c r="N28" s="94"/>
      <c r="O28" s="94"/>
      <c r="P28" s="94"/>
      <c r="Q28" s="94"/>
      <c r="R28" s="94"/>
    </row>
    <row r="29" spans="1:18" x14ac:dyDescent="0.25">
      <c r="A29" s="18"/>
      <c r="B29" s="47"/>
      <c r="C29" s="47"/>
      <c r="D29" s="47"/>
      <c r="E29" s="47"/>
      <c r="F29" s="98">
        <v>1.881</v>
      </c>
      <c r="G29" s="169">
        <v>0.97</v>
      </c>
      <c r="H29" s="47"/>
      <c r="I29" s="16"/>
      <c r="J29" t="s">
        <v>382</v>
      </c>
      <c r="K29" s="94" t="s">
        <v>385</v>
      </c>
      <c r="L29" s="94"/>
      <c r="M29" s="94"/>
      <c r="N29" s="94"/>
      <c r="O29" s="94"/>
      <c r="P29" s="94"/>
      <c r="Q29" s="94"/>
      <c r="R29" s="94"/>
    </row>
    <row r="30" spans="1:18" x14ac:dyDescent="0.25">
      <c r="A30" s="18"/>
      <c r="B30" s="47"/>
      <c r="C30" s="47"/>
      <c r="D30" s="47"/>
      <c r="E30" s="47"/>
      <c r="F30" s="98">
        <v>1.9159999999999999</v>
      </c>
      <c r="G30" s="169">
        <v>0.97230000000000005</v>
      </c>
      <c r="H30" s="47"/>
      <c r="I30" s="16"/>
      <c r="K30" s="94" t="s">
        <v>386</v>
      </c>
      <c r="L30" s="94"/>
      <c r="M30" s="94"/>
      <c r="N30" s="94"/>
      <c r="O30" s="94"/>
      <c r="P30" s="94"/>
      <c r="Q30" s="94"/>
      <c r="R30" s="94"/>
    </row>
    <row r="31" spans="1:18" x14ac:dyDescent="0.25">
      <c r="A31" s="18"/>
      <c r="B31" s="47"/>
      <c r="C31" s="47"/>
      <c r="D31" s="47"/>
      <c r="E31" s="47"/>
      <c r="F31" s="98">
        <v>2.0539999999999998</v>
      </c>
      <c r="G31" s="169">
        <v>0.98</v>
      </c>
      <c r="H31" s="47"/>
      <c r="I31" s="16"/>
    </row>
    <row r="32" spans="1:18" x14ac:dyDescent="0.25">
      <c r="A32" s="18"/>
      <c r="B32" s="47"/>
      <c r="C32" s="47"/>
      <c r="D32" s="47"/>
      <c r="E32" s="47"/>
      <c r="F32" s="98">
        <v>2.121</v>
      </c>
      <c r="G32" s="169">
        <v>0.98309999999999997</v>
      </c>
      <c r="H32" s="47"/>
      <c r="I32" s="16"/>
      <c r="K32" s="40">
        <f>25%*10*10^6</f>
        <v>2500000</v>
      </c>
      <c r="L32" t="s">
        <v>387</v>
      </c>
      <c r="P32" s="94"/>
      <c r="Q32" s="94"/>
      <c r="R32" s="94"/>
    </row>
    <row r="33" spans="1:19" x14ac:dyDescent="0.25">
      <c r="A33" s="18"/>
      <c r="B33" s="47"/>
      <c r="C33" s="47"/>
      <c r="D33" s="47"/>
      <c r="E33" s="47"/>
      <c r="F33" s="98">
        <v>2.3260000000000001</v>
      </c>
      <c r="G33" s="169">
        <v>0.99</v>
      </c>
      <c r="H33" s="47"/>
      <c r="I33" s="16"/>
      <c r="K33" s="40">
        <f>K32*20%</f>
        <v>500000</v>
      </c>
      <c r="L33" t="s">
        <v>388</v>
      </c>
      <c r="P33" s="94"/>
      <c r="Q33" s="94"/>
      <c r="R33" s="94"/>
    </row>
    <row r="34" spans="1:19" x14ac:dyDescent="0.25">
      <c r="A34" s="18"/>
      <c r="B34" s="47"/>
      <c r="C34" s="47"/>
      <c r="D34" s="47"/>
      <c r="E34" s="47"/>
      <c r="F34" s="98">
        <v>2.5310000000000001</v>
      </c>
      <c r="G34" s="169">
        <v>0.99429999999999996</v>
      </c>
      <c r="H34" s="47"/>
      <c r="I34" s="16"/>
      <c r="K34" t="s">
        <v>389</v>
      </c>
      <c r="L34" t="s">
        <v>390</v>
      </c>
      <c r="P34" s="94"/>
      <c r="Q34" s="94"/>
      <c r="R34" s="94"/>
    </row>
    <row r="35" spans="1:19" x14ac:dyDescent="0.25">
      <c r="A35" s="52" t="s">
        <v>10</v>
      </c>
      <c r="B35" s="47" t="s">
        <v>362</v>
      </c>
      <c r="C35" s="47"/>
      <c r="D35" s="47"/>
      <c r="E35" s="47"/>
      <c r="F35" s="47"/>
      <c r="G35" s="47"/>
      <c r="H35" s="47"/>
      <c r="I35" s="16"/>
      <c r="N35" s="94"/>
      <c r="O35" s="94"/>
      <c r="P35" s="94"/>
      <c r="Q35" s="94"/>
      <c r="R35" s="94"/>
    </row>
    <row r="36" spans="1:19" x14ac:dyDescent="0.25">
      <c r="A36" s="18"/>
      <c r="B36" s="47"/>
      <c r="C36" s="47"/>
      <c r="D36" s="47"/>
      <c r="E36" s="47"/>
      <c r="F36" s="47"/>
      <c r="G36" s="47"/>
      <c r="H36" s="47"/>
      <c r="I36" s="16"/>
      <c r="K36" s="94" t="s">
        <v>379</v>
      </c>
      <c r="L36" s="94"/>
      <c r="M36" s="94"/>
      <c r="N36" s="94"/>
      <c r="O36" s="94"/>
      <c r="P36" s="94"/>
    </row>
    <row r="37" spans="1:19" x14ac:dyDescent="0.25">
      <c r="A37" s="18"/>
      <c r="B37" s="47" t="s">
        <v>363</v>
      </c>
      <c r="C37" s="47"/>
      <c r="D37" s="47"/>
      <c r="E37" s="47"/>
      <c r="F37" s="47"/>
      <c r="G37" s="47"/>
      <c r="H37" s="47"/>
      <c r="I37" s="16"/>
      <c r="K37" t="s">
        <v>391</v>
      </c>
      <c r="L37" s="40">
        <f>(K32-K33)/25%</f>
        <v>8000000</v>
      </c>
      <c r="M37" s="94"/>
      <c r="N37" s="94"/>
      <c r="O37" s="94"/>
    </row>
    <row r="38" spans="1:19" x14ac:dyDescent="0.25">
      <c r="A38" s="18"/>
      <c r="B38" s="47" t="s">
        <v>353</v>
      </c>
      <c r="C38" s="47"/>
      <c r="D38" s="47"/>
      <c r="E38" s="47"/>
      <c r="F38" s="47"/>
      <c r="G38" s="47"/>
      <c r="H38" s="47"/>
      <c r="I38" s="16"/>
      <c r="K38" s="94"/>
      <c r="L38" s="94"/>
      <c r="M38" s="94"/>
      <c r="N38" s="94"/>
      <c r="O38" s="94"/>
    </row>
    <row r="39" spans="1:19" x14ac:dyDescent="0.25">
      <c r="A39" s="18"/>
      <c r="B39" s="47" t="s">
        <v>357</v>
      </c>
      <c r="C39" s="47"/>
      <c r="D39" s="47"/>
      <c r="E39" s="47"/>
      <c r="F39" s="47"/>
      <c r="G39" s="47"/>
      <c r="H39" s="47"/>
      <c r="I39" s="16"/>
      <c r="K39" s="164" t="s">
        <v>392</v>
      </c>
      <c r="L39" s="164"/>
      <c r="M39" s="164"/>
      <c r="N39" s="176"/>
      <c r="O39" s="176"/>
      <c r="P39" s="176"/>
      <c r="Q39" s="176"/>
      <c r="R39" s="176"/>
      <c r="S39" s="176"/>
    </row>
    <row r="40" spans="1:19" ht="15.75" thickBot="1" x14ac:dyDescent="0.3">
      <c r="A40" s="19"/>
      <c r="B40" s="20" t="s">
        <v>358</v>
      </c>
      <c r="C40" s="20"/>
      <c r="D40" s="20"/>
      <c r="E40" s="20"/>
      <c r="F40" s="20"/>
      <c r="G40" s="20"/>
      <c r="H40" s="20"/>
      <c r="I40" s="21"/>
    </row>
  </sheetData>
  <mergeCells count="1">
    <mergeCell ref="H1:I1"/>
  </mergeCells>
  <hyperlinks>
    <hyperlink ref="H1" location="TOC!A1" display="Return to TOC" xr:uid="{136A19E0-3273-4AE6-A5A2-B0697E9503BD}"/>
  </hyperlinks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29228C-8A6D-4131-83CE-3C45FF4ADED5}">
  <sheetPr codeName="Sheet11"/>
  <dimension ref="A1:L33"/>
  <sheetViews>
    <sheetView workbookViewId="0"/>
  </sheetViews>
  <sheetFormatPr defaultRowHeight="15" x14ac:dyDescent="0.25"/>
  <cols>
    <col min="1" max="1" width="14" bestFit="1" customWidth="1"/>
    <col min="9" max="9" width="3.7109375" customWidth="1"/>
    <col min="11" max="11" width="15.42578125" customWidth="1"/>
    <col min="12" max="12" width="15.85546875" bestFit="1" customWidth="1"/>
  </cols>
  <sheetData>
    <row r="1" spans="1:12" x14ac:dyDescent="0.25">
      <c r="A1" s="6" t="s">
        <v>4</v>
      </c>
      <c r="B1" s="7" t="s">
        <v>443</v>
      </c>
      <c r="C1" s="7"/>
      <c r="D1" s="8"/>
      <c r="E1" s="8"/>
      <c r="F1" s="8"/>
      <c r="G1" s="265" t="s">
        <v>5</v>
      </c>
      <c r="H1" s="266"/>
      <c r="I1" s="9"/>
      <c r="J1" s="10" t="s">
        <v>6</v>
      </c>
    </row>
    <row r="2" spans="1:12" x14ac:dyDescent="0.25">
      <c r="A2" s="11" t="s">
        <v>7</v>
      </c>
      <c r="B2" s="45" t="s">
        <v>444</v>
      </c>
      <c r="C2" s="45"/>
      <c r="D2" s="45"/>
      <c r="E2" s="45"/>
      <c r="F2" s="45"/>
      <c r="G2" s="45"/>
      <c r="H2" s="12"/>
      <c r="I2" t="s">
        <v>14</v>
      </c>
      <c r="J2" s="197">
        <f>SUMPRODUCT(B9:B13,C9:C13)</f>
        <v>182600</v>
      </c>
      <c r="K2" t="s">
        <v>458</v>
      </c>
    </row>
    <row r="3" spans="1:12" x14ac:dyDescent="0.25">
      <c r="A3" s="11" t="s">
        <v>8</v>
      </c>
      <c r="B3" s="45" t="s">
        <v>457</v>
      </c>
      <c r="C3" s="45"/>
      <c r="D3" s="45"/>
      <c r="E3" s="45"/>
      <c r="F3" s="45"/>
      <c r="G3" s="45"/>
      <c r="H3" s="12"/>
    </row>
    <row r="4" spans="1:12" x14ac:dyDescent="0.25">
      <c r="A4" s="13"/>
      <c r="B4" s="47"/>
      <c r="C4" s="47"/>
      <c r="D4" s="47"/>
      <c r="E4" s="47"/>
      <c r="F4" s="47"/>
      <c r="G4" s="47"/>
      <c r="H4" s="14"/>
      <c r="J4" s="88" t="s">
        <v>447</v>
      </c>
      <c r="K4" s="91" t="s">
        <v>459</v>
      </c>
    </row>
    <row r="5" spans="1:12" x14ac:dyDescent="0.25">
      <c r="A5" s="15" t="s">
        <v>9</v>
      </c>
      <c r="B5" s="47" t="s">
        <v>445</v>
      </c>
      <c r="C5" s="47"/>
      <c r="D5" s="47"/>
      <c r="E5" s="47"/>
      <c r="F5" s="47"/>
      <c r="G5" s="47"/>
      <c r="H5" s="16"/>
      <c r="J5" s="199">
        <v>100</v>
      </c>
      <c r="K5" s="92">
        <f>MAX(0,J5-500)</f>
        <v>0</v>
      </c>
    </row>
    <row r="6" spans="1:12" x14ac:dyDescent="0.25">
      <c r="A6" s="18"/>
      <c r="B6" s="45" t="s">
        <v>446</v>
      </c>
      <c r="C6" s="47"/>
      <c r="D6" s="47"/>
      <c r="E6" s="47"/>
      <c r="F6" s="47"/>
      <c r="G6" s="47"/>
      <c r="H6" s="16"/>
      <c r="J6" s="199">
        <v>250</v>
      </c>
      <c r="K6" s="92">
        <f t="shared" ref="K6:K9" si="0">MAX(0,J6-500)</f>
        <v>0</v>
      </c>
    </row>
    <row r="7" spans="1:12" x14ac:dyDescent="0.25">
      <c r="A7" s="18"/>
      <c r="B7" s="47"/>
      <c r="C7" s="47"/>
      <c r="D7" s="47"/>
      <c r="E7" s="47"/>
      <c r="F7" s="47"/>
      <c r="G7" s="47"/>
      <c r="H7" s="16"/>
      <c r="J7" s="199">
        <v>500</v>
      </c>
      <c r="K7" s="92">
        <f t="shared" si="0"/>
        <v>0</v>
      </c>
    </row>
    <row r="8" spans="1:12" x14ac:dyDescent="0.25">
      <c r="A8" s="18"/>
      <c r="B8" s="98" t="s">
        <v>447</v>
      </c>
      <c r="C8" s="194" t="s">
        <v>161</v>
      </c>
      <c r="D8" s="47"/>
      <c r="E8" s="47"/>
      <c r="F8" s="47"/>
      <c r="G8" s="47"/>
      <c r="H8" s="16"/>
      <c r="J8" s="199">
        <v>1000</v>
      </c>
      <c r="K8" s="92">
        <f t="shared" si="0"/>
        <v>500</v>
      </c>
    </row>
    <row r="9" spans="1:12" x14ac:dyDescent="0.25">
      <c r="A9" s="18"/>
      <c r="B9" s="195">
        <v>100</v>
      </c>
      <c r="C9" s="78">
        <v>21</v>
      </c>
      <c r="D9" s="47"/>
      <c r="E9" s="47"/>
      <c r="F9" s="47"/>
      <c r="G9" s="47"/>
      <c r="H9" s="16"/>
      <c r="J9" s="200">
        <v>5000</v>
      </c>
      <c r="K9" s="93">
        <f t="shared" si="0"/>
        <v>4500</v>
      </c>
    </row>
    <row r="10" spans="1:12" x14ac:dyDescent="0.25">
      <c r="A10" s="18"/>
      <c r="B10" s="195">
        <v>250</v>
      </c>
      <c r="C10" s="78">
        <v>50</v>
      </c>
      <c r="D10" s="47"/>
      <c r="E10" s="47"/>
      <c r="F10" s="47"/>
      <c r="G10" s="47"/>
      <c r="H10" s="16"/>
    </row>
    <row r="11" spans="1:12" x14ac:dyDescent="0.25">
      <c r="A11" s="18"/>
      <c r="B11" s="195">
        <v>500</v>
      </c>
      <c r="C11" s="78">
        <v>42</v>
      </c>
      <c r="D11" s="47"/>
      <c r="E11" s="47"/>
      <c r="F11" s="47"/>
      <c r="G11" s="47"/>
      <c r="H11" s="16"/>
      <c r="J11" s="197">
        <f>SUMPRODUCT(K5:K9,C9:C13)</f>
        <v>117500</v>
      </c>
      <c r="K11" t="s">
        <v>460</v>
      </c>
    </row>
    <row r="12" spans="1:12" x14ac:dyDescent="0.25">
      <c r="A12" s="18"/>
      <c r="B12" s="195">
        <v>1000</v>
      </c>
      <c r="C12" s="78">
        <v>37</v>
      </c>
      <c r="D12" s="47"/>
      <c r="E12" s="47"/>
      <c r="F12" s="47"/>
      <c r="G12" s="47"/>
      <c r="H12" s="16"/>
    </row>
    <row r="13" spans="1:12" x14ac:dyDescent="0.25">
      <c r="A13" s="18"/>
      <c r="B13" s="196">
        <v>5000</v>
      </c>
      <c r="C13" s="25">
        <v>22</v>
      </c>
      <c r="D13" s="47"/>
      <c r="E13" s="47"/>
      <c r="F13" s="47"/>
      <c r="G13" s="47"/>
      <c r="H13" s="16"/>
      <c r="J13" s="63">
        <f>(J2-J11)/J2</f>
        <v>0.35651697699890472</v>
      </c>
      <c r="K13" t="s">
        <v>461</v>
      </c>
    </row>
    <row r="14" spans="1:12" x14ac:dyDescent="0.25">
      <c r="A14" s="18"/>
      <c r="B14" s="47"/>
      <c r="C14" s="47"/>
      <c r="D14" s="47"/>
      <c r="E14" s="47"/>
      <c r="F14" s="47"/>
      <c r="G14" s="47"/>
      <c r="H14" s="16"/>
    </row>
    <row r="15" spans="1:12" x14ac:dyDescent="0.25">
      <c r="A15" s="18"/>
      <c r="B15" s="47" t="s">
        <v>448</v>
      </c>
      <c r="C15" s="47"/>
      <c r="D15" s="47"/>
      <c r="E15" s="47"/>
      <c r="F15" s="47"/>
      <c r="G15" s="47"/>
      <c r="H15" s="16"/>
      <c r="I15" t="s">
        <v>11</v>
      </c>
      <c r="J15" s="88" t="s">
        <v>447</v>
      </c>
      <c r="K15" s="91" t="s">
        <v>462</v>
      </c>
      <c r="L15" s="90" t="s">
        <v>459</v>
      </c>
    </row>
    <row r="16" spans="1:12" x14ac:dyDescent="0.25">
      <c r="A16" s="18"/>
      <c r="B16" s="47" t="s">
        <v>449</v>
      </c>
      <c r="C16" s="47"/>
      <c r="D16" s="47"/>
      <c r="E16" s="47"/>
      <c r="F16" s="47"/>
      <c r="G16" s="47"/>
      <c r="H16" s="16"/>
      <c r="J16" s="199">
        <v>100</v>
      </c>
      <c r="K16" s="92">
        <f>J16*(1+10%)</f>
        <v>110.00000000000001</v>
      </c>
      <c r="L16" s="72">
        <f>MAX(0,K16-500)</f>
        <v>0</v>
      </c>
    </row>
    <row r="17" spans="1:12" x14ac:dyDescent="0.25">
      <c r="A17" s="18"/>
      <c r="B17" s="47"/>
      <c r="C17" s="47"/>
      <c r="D17" s="47"/>
      <c r="E17" s="47"/>
      <c r="F17" s="47"/>
      <c r="G17" s="47"/>
      <c r="H17" s="16"/>
      <c r="J17" s="199">
        <v>250</v>
      </c>
      <c r="K17" s="92">
        <f t="shared" ref="K17:K20" si="1">J17*(1+10%)</f>
        <v>275</v>
      </c>
      <c r="L17" s="72">
        <f t="shared" ref="L17:L20" si="2">MAX(0,K17-500)</f>
        <v>0</v>
      </c>
    </row>
    <row r="18" spans="1:12" x14ac:dyDescent="0.25">
      <c r="A18" s="52" t="s">
        <v>10</v>
      </c>
      <c r="B18" s="47" t="s">
        <v>450</v>
      </c>
      <c r="C18" s="47"/>
      <c r="D18" s="47"/>
      <c r="E18" s="47"/>
      <c r="F18" s="47"/>
      <c r="G18" s="47"/>
      <c r="H18" s="16"/>
      <c r="J18" s="199">
        <v>500</v>
      </c>
      <c r="K18" s="92">
        <f t="shared" si="1"/>
        <v>550</v>
      </c>
      <c r="L18" s="72">
        <f t="shared" si="2"/>
        <v>50</v>
      </c>
    </row>
    <row r="19" spans="1:12" x14ac:dyDescent="0.25">
      <c r="A19" s="18"/>
      <c r="B19" s="47" t="s">
        <v>451</v>
      </c>
      <c r="C19" s="47"/>
      <c r="D19" s="47"/>
      <c r="E19" s="47"/>
      <c r="F19" s="47"/>
      <c r="G19" s="47"/>
      <c r="H19" s="16"/>
      <c r="J19" s="199">
        <v>1000</v>
      </c>
      <c r="K19" s="92">
        <f t="shared" si="1"/>
        <v>1100</v>
      </c>
      <c r="L19" s="72">
        <f t="shared" si="2"/>
        <v>600</v>
      </c>
    </row>
    <row r="20" spans="1:12" x14ac:dyDescent="0.25">
      <c r="A20" s="18"/>
      <c r="B20" s="47"/>
      <c r="C20" s="47"/>
      <c r="D20" s="47"/>
      <c r="E20" s="47"/>
      <c r="F20" s="47"/>
      <c r="G20" s="47"/>
      <c r="H20" s="16"/>
      <c r="J20" s="200">
        <v>5000</v>
      </c>
      <c r="K20" s="93">
        <f t="shared" si="1"/>
        <v>5500</v>
      </c>
      <c r="L20" s="201">
        <f t="shared" si="2"/>
        <v>5000</v>
      </c>
    </row>
    <row r="21" spans="1:12" x14ac:dyDescent="0.25">
      <c r="A21" s="18"/>
      <c r="B21" s="47" t="s">
        <v>452</v>
      </c>
      <c r="C21" s="47"/>
      <c r="D21" s="47"/>
      <c r="E21" s="47"/>
      <c r="F21" s="47"/>
      <c r="G21" s="47"/>
      <c r="H21" s="16"/>
    </row>
    <row r="22" spans="1:12" x14ac:dyDescent="0.25">
      <c r="A22" s="18"/>
      <c r="B22" s="47" t="s">
        <v>453</v>
      </c>
      <c r="C22" s="47"/>
      <c r="D22" s="47"/>
      <c r="E22" s="47"/>
      <c r="F22" s="47"/>
      <c r="G22" s="47"/>
      <c r="H22" s="16"/>
      <c r="J22" s="197">
        <f>SUMPRODUCT(C9:C13,K16:K20)</f>
        <v>200860</v>
      </c>
      <c r="K22" t="s">
        <v>463</v>
      </c>
    </row>
    <row r="23" spans="1:12" x14ac:dyDescent="0.25">
      <c r="A23" s="18"/>
      <c r="B23" s="47" t="s">
        <v>454</v>
      </c>
      <c r="C23" s="47"/>
      <c r="D23" s="47"/>
      <c r="E23" s="47"/>
      <c r="F23" s="47"/>
      <c r="G23" s="47"/>
      <c r="H23" s="16"/>
      <c r="J23" s="197">
        <f>SUMPRODUCT(C9:C13,L16:L20)</f>
        <v>134300</v>
      </c>
      <c r="K23" t="s">
        <v>464</v>
      </c>
    </row>
    <row r="24" spans="1:12" x14ac:dyDescent="0.25">
      <c r="A24" s="18"/>
      <c r="B24" s="47"/>
      <c r="C24" s="47"/>
      <c r="D24" s="47"/>
      <c r="E24" s="47"/>
      <c r="F24" s="47"/>
      <c r="G24" s="47"/>
      <c r="H24" s="16"/>
    </row>
    <row r="25" spans="1:12" x14ac:dyDescent="0.25">
      <c r="A25" s="18"/>
      <c r="B25" s="47" t="s">
        <v>455</v>
      </c>
      <c r="C25" s="47"/>
      <c r="D25" s="47"/>
      <c r="E25" s="47"/>
      <c r="F25" s="47"/>
      <c r="G25" s="47"/>
      <c r="H25" s="16"/>
      <c r="J25" s="198">
        <f>(J22-J23)/J22</f>
        <v>0.33137508712536096</v>
      </c>
      <c r="K25" t="s">
        <v>465</v>
      </c>
    </row>
    <row r="26" spans="1:12" ht="15.75" thickBot="1" x14ac:dyDescent="0.3">
      <c r="A26" s="19"/>
      <c r="B26" s="20" t="s">
        <v>456</v>
      </c>
      <c r="C26" s="20"/>
      <c r="D26" s="20"/>
      <c r="E26" s="20"/>
      <c r="F26" s="20"/>
      <c r="G26" s="20"/>
      <c r="H26" s="21"/>
    </row>
    <row r="27" spans="1:12" x14ac:dyDescent="0.25">
      <c r="J27" s="63">
        <f>J25/J13-1</f>
        <v>-7.0520876972489877E-2</v>
      </c>
      <c r="K27" t="s">
        <v>466</v>
      </c>
    </row>
    <row r="29" spans="1:12" x14ac:dyDescent="0.25">
      <c r="I29" t="s">
        <v>12</v>
      </c>
      <c r="J29" t="s">
        <v>467</v>
      </c>
    </row>
    <row r="30" spans="1:12" x14ac:dyDescent="0.25">
      <c r="J30" t="s">
        <v>468</v>
      </c>
    </row>
    <row r="31" spans="1:12" x14ac:dyDescent="0.25">
      <c r="J31" t="s">
        <v>469</v>
      </c>
    </row>
    <row r="32" spans="1:12" x14ac:dyDescent="0.25">
      <c r="J32" t="s">
        <v>470</v>
      </c>
    </row>
    <row r="33" spans="10:10" x14ac:dyDescent="0.25">
      <c r="J33" t="s">
        <v>471</v>
      </c>
    </row>
  </sheetData>
  <mergeCells count="1">
    <mergeCell ref="G1:H1"/>
  </mergeCells>
  <hyperlinks>
    <hyperlink ref="G1" location="TOC!A1" display="Return to TOC" xr:uid="{4EB116FC-74D5-4BB0-A2D9-D9C51CA905A2}"/>
  </hyperlink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548028-C0AB-49C4-A36E-A0F0C36421BB}">
  <sheetPr codeName="Sheet12"/>
  <dimension ref="A1:P18"/>
  <sheetViews>
    <sheetView workbookViewId="0"/>
  </sheetViews>
  <sheetFormatPr defaultRowHeight="15" x14ac:dyDescent="0.25"/>
  <cols>
    <col min="1" max="1" width="14" bestFit="1" customWidth="1"/>
    <col min="3" max="3" width="11.7109375" customWidth="1"/>
    <col min="7" max="7" width="4.42578125" customWidth="1"/>
    <col min="8" max="8" width="3.7109375" customWidth="1"/>
    <col min="9" max="9" width="11.28515625" customWidth="1"/>
    <col min="10" max="10" width="13.85546875" bestFit="1" customWidth="1"/>
    <col min="15" max="15" width="16.5703125" bestFit="1" customWidth="1"/>
    <col min="16" max="16" width="15.5703125" bestFit="1" customWidth="1"/>
  </cols>
  <sheetData>
    <row r="1" spans="1:16" x14ac:dyDescent="0.25">
      <c r="A1" s="6" t="s">
        <v>4</v>
      </c>
      <c r="B1" s="7" t="s">
        <v>443</v>
      </c>
      <c r="C1" s="7"/>
      <c r="D1" s="8"/>
      <c r="E1" s="8"/>
      <c r="F1" s="265" t="s">
        <v>5</v>
      </c>
      <c r="G1" s="266"/>
      <c r="H1" s="9"/>
      <c r="I1" s="10" t="s">
        <v>6</v>
      </c>
    </row>
    <row r="2" spans="1:16" x14ac:dyDescent="0.25">
      <c r="A2" s="11" t="s">
        <v>7</v>
      </c>
      <c r="B2" s="45" t="s">
        <v>472</v>
      </c>
      <c r="C2" s="45"/>
      <c r="D2" s="45"/>
      <c r="E2" s="45"/>
      <c r="F2" s="45"/>
      <c r="G2" s="12"/>
      <c r="H2" t="s">
        <v>14</v>
      </c>
    </row>
    <row r="3" spans="1:16" x14ac:dyDescent="0.25">
      <c r="A3" s="11" t="s">
        <v>8</v>
      </c>
      <c r="B3" s="45" t="s">
        <v>479</v>
      </c>
      <c r="C3" s="45"/>
      <c r="D3" s="45"/>
      <c r="E3" s="45"/>
      <c r="F3" s="45"/>
      <c r="G3" s="12"/>
    </row>
    <row r="4" spans="1:16" x14ac:dyDescent="0.25">
      <c r="A4" s="13"/>
      <c r="B4" s="47"/>
      <c r="C4" s="47"/>
      <c r="D4" s="47"/>
      <c r="E4" s="47"/>
      <c r="F4" s="47"/>
      <c r="G4" s="14"/>
      <c r="I4" t="s">
        <v>480</v>
      </c>
    </row>
    <row r="5" spans="1:16" x14ac:dyDescent="0.25">
      <c r="A5" s="15" t="s">
        <v>9</v>
      </c>
      <c r="B5" s="47" t="s">
        <v>473</v>
      </c>
      <c r="C5" s="47"/>
      <c r="D5" s="47"/>
      <c r="E5" s="47"/>
      <c r="F5" s="47"/>
      <c r="G5" s="16"/>
    </row>
    <row r="6" spans="1:16" ht="17.25" x14ac:dyDescent="0.25">
      <c r="A6" s="18"/>
      <c r="B6" s="47"/>
      <c r="C6" s="47"/>
      <c r="D6" s="47"/>
      <c r="E6" s="47"/>
      <c r="F6" s="47"/>
      <c r="G6" s="16"/>
      <c r="I6" t="s">
        <v>482</v>
      </c>
      <c r="J6" s="197">
        <f>SUMPRODUCT(M7:M9,C8:C10)</f>
        <v>35000</v>
      </c>
      <c r="L6" s="88" t="s">
        <v>447</v>
      </c>
      <c r="M6" s="88" t="s">
        <v>483</v>
      </c>
      <c r="N6" s="90" t="s">
        <v>484</v>
      </c>
      <c r="O6" s="89" t="s">
        <v>485</v>
      </c>
      <c r="P6" s="90" t="s">
        <v>486</v>
      </c>
    </row>
    <row r="7" spans="1:16" ht="17.25" x14ac:dyDescent="0.25">
      <c r="A7" s="18"/>
      <c r="B7" s="193" t="s">
        <v>447</v>
      </c>
      <c r="C7" s="98" t="s">
        <v>13</v>
      </c>
      <c r="D7" s="47"/>
      <c r="E7" s="47"/>
      <c r="F7" s="47"/>
      <c r="G7" s="16"/>
      <c r="I7" t="s">
        <v>481</v>
      </c>
      <c r="J7" s="197">
        <f>SUMPRODUCT(O7:O9,C8:C10)</f>
        <v>9500000000</v>
      </c>
      <c r="L7" s="199">
        <v>0</v>
      </c>
      <c r="M7" s="199">
        <f>MIN(L7,400000)</f>
        <v>0</v>
      </c>
      <c r="N7" s="72">
        <f>MIN(L7,$B$12)</f>
        <v>0</v>
      </c>
      <c r="O7" s="71">
        <f t="shared" ref="O7:P9" si="0">M7^2</f>
        <v>0</v>
      </c>
      <c r="P7" s="72">
        <f t="shared" si="0"/>
        <v>0</v>
      </c>
    </row>
    <row r="8" spans="1:16" x14ac:dyDescent="0.25">
      <c r="A8" s="18"/>
      <c r="B8" s="48">
        <v>0</v>
      </c>
      <c r="C8" s="130">
        <v>0.8</v>
      </c>
      <c r="D8" s="47"/>
      <c r="E8" s="47"/>
      <c r="F8" s="47"/>
      <c r="G8" s="16"/>
      <c r="I8" t="s">
        <v>487</v>
      </c>
      <c r="J8" s="197">
        <f>SQRT(J7-J6^2)</f>
        <v>90967.026993301261</v>
      </c>
      <c r="L8" s="199">
        <v>100000</v>
      </c>
      <c r="M8" s="199">
        <f>MIN(L8,400000)</f>
        <v>100000</v>
      </c>
      <c r="N8" s="72">
        <f>MIN(L8,$B$12)</f>
        <v>100000</v>
      </c>
      <c r="O8" s="71">
        <f t="shared" si="0"/>
        <v>10000000000</v>
      </c>
      <c r="P8" s="72">
        <f t="shared" si="0"/>
        <v>10000000000</v>
      </c>
    </row>
    <row r="9" spans="1:16" x14ac:dyDescent="0.25">
      <c r="A9" s="18"/>
      <c r="B9" s="48">
        <v>100000</v>
      </c>
      <c r="C9" s="130">
        <v>0.15</v>
      </c>
      <c r="D9" s="47"/>
      <c r="E9" s="47"/>
      <c r="F9" s="47"/>
      <c r="G9" s="16"/>
      <c r="I9" s="202" t="s">
        <v>488</v>
      </c>
      <c r="J9" s="197">
        <f>20%*J8</f>
        <v>18193.405398660252</v>
      </c>
      <c r="L9" s="200">
        <v>500000</v>
      </c>
      <c r="M9" s="200">
        <f>MIN(L9,400000)</f>
        <v>400000</v>
      </c>
      <c r="N9" s="201">
        <f>MIN(L9,$B$12)</f>
        <v>200000</v>
      </c>
      <c r="O9" s="86">
        <f t="shared" si="0"/>
        <v>160000000000</v>
      </c>
      <c r="P9" s="201">
        <f t="shared" si="0"/>
        <v>40000000000</v>
      </c>
    </row>
    <row r="10" spans="1:16" x14ac:dyDescent="0.25">
      <c r="A10" s="18"/>
      <c r="B10" s="49">
        <v>500000</v>
      </c>
      <c r="C10" s="131">
        <v>0.05</v>
      </c>
      <c r="D10" s="47"/>
      <c r="E10" s="47"/>
      <c r="F10" s="47"/>
      <c r="G10" s="16"/>
    </row>
    <row r="11" spans="1:16" x14ac:dyDescent="0.25">
      <c r="A11" s="18"/>
      <c r="B11" s="47"/>
      <c r="C11" s="47"/>
      <c r="D11" s="47"/>
      <c r="E11" s="47"/>
      <c r="F11" s="47"/>
      <c r="G11" s="16"/>
      <c r="I11" t="s">
        <v>489</v>
      </c>
      <c r="J11" s="197">
        <f>SUMPRODUCT(C8:C10,N7:N9)</f>
        <v>25000</v>
      </c>
    </row>
    <row r="12" spans="1:16" ht="17.25" x14ac:dyDescent="0.25">
      <c r="A12" s="18"/>
      <c r="B12" s="192">
        <v>200000</v>
      </c>
      <c r="C12" s="47" t="s">
        <v>474</v>
      </c>
      <c r="D12" s="47"/>
      <c r="E12" s="47"/>
      <c r="F12" s="47"/>
      <c r="G12" s="16"/>
      <c r="I12" t="s">
        <v>490</v>
      </c>
      <c r="J12" s="197">
        <f>SUMPRODUCT(C8:C10,P7:P9)</f>
        <v>3500000000</v>
      </c>
    </row>
    <row r="13" spans="1:16" x14ac:dyDescent="0.25">
      <c r="A13" s="18"/>
      <c r="B13" s="203">
        <v>0.2</v>
      </c>
      <c r="C13" s="47" t="s">
        <v>475</v>
      </c>
      <c r="D13" s="47"/>
      <c r="E13" s="47"/>
      <c r="F13" s="47"/>
      <c r="G13" s="16"/>
      <c r="I13" t="s">
        <v>491</v>
      </c>
      <c r="J13" s="197">
        <f>SQRT(J12-J11^2)</f>
        <v>53619.026473818041</v>
      </c>
    </row>
    <row r="14" spans="1:16" x14ac:dyDescent="0.25">
      <c r="A14" s="18"/>
      <c r="B14" s="47"/>
      <c r="C14" s="47"/>
      <c r="D14" s="47"/>
      <c r="E14" s="47"/>
      <c r="F14" s="47"/>
      <c r="G14" s="16"/>
      <c r="I14" s="202" t="s">
        <v>492</v>
      </c>
      <c r="J14" s="197">
        <f>20%*J13</f>
        <v>10723.80529476361</v>
      </c>
    </row>
    <row r="15" spans="1:16" x14ac:dyDescent="0.25">
      <c r="A15" s="18"/>
      <c r="B15" s="47" t="s">
        <v>476</v>
      </c>
      <c r="C15" s="47"/>
      <c r="D15" s="47"/>
      <c r="E15" s="47"/>
      <c r="F15" s="47"/>
      <c r="G15" s="16"/>
    </row>
    <row r="16" spans="1:16" x14ac:dyDescent="0.25">
      <c r="A16" s="18"/>
      <c r="B16" s="47"/>
      <c r="C16" s="47"/>
      <c r="D16" s="47"/>
      <c r="E16" s="47"/>
      <c r="F16" s="47"/>
      <c r="G16" s="16"/>
      <c r="I16" t="s">
        <v>493</v>
      </c>
      <c r="K16" s="53">
        <f>(J6+J9)/(J11+J14)</f>
        <v>1.4890184558938164</v>
      </c>
    </row>
    <row r="17" spans="1:7" x14ac:dyDescent="0.25">
      <c r="A17" s="52" t="s">
        <v>10</v>
      </c>
      <c r="B17" s="47" t="s">
        <v>477</v>
      </c>
      <c r="C17" s="47"/>
      <c r="D17" s="47"/>
      <c r="E17" s="47"/>
      <c r="F17" s="47"/>
      <c r="G17" s="16"/>
    </row>
    <row r="18" spans="1:7" ht="15.75" thickBot="1" x14ac:dyDescent="0.3">
      <c r="A18" s="19"/>
      <c r="B18" s="20" t="s">
        <v>478</v>
      </c>
      <c r="C18" s="20"/>
      <c r="D18" s="20"/>
      <c r="E18" s="20"/>
      <c r="F18" s="20"/>
      <c r="G18" s="21"/>
    </row>
  </sheetData>
  <mergeCells count="1">
    <mergeCell ref="F1:G1"/>
  </mergeCells>
  <hyperlinks>
    <hyperlink ref="F1" location="TOC!A1" display="Return to TOC" xr:uid="{BACA4F78-1A27-4476-83F6-4BCE0A56CE6C}"/>
  </hyperlinks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25A4F0-29B8-4F09-904C-6E02943809FE}">
  <sheetPr codeName="Sheet13"/>
  <dimension ref="A1:M18"/>
  <sheetViews>
    <sheetView workbookViewId="0"/>
  </sheetViews>
  <sheetFormatPr defaultRowHeight="15" x14ac:dyDescent="0.25"/>
  <cols>
    <col min="1" max="1" width="14" bestFit="1" customWidth="1"/>
    <col min="2" max="2" width="10" customWidth="1"/>
    <col min="8" max="8" width="5.140625" customWidth="1"/>
    <col min="9" max="9" width="3.7109375" customWidth="1"/>
    <col min="10" max="10" width="10.7109375" customWidth="1"/>
  </cols>
  <sheetData>
    <row r="1" spans="1:13" x14ac:dyDescent="0.25">
      <c r="A1" s="6" t="s">
        <v>4</v>
      </c>
      <c r="B1" s="7" t="s">
        <v>443</v>
      </c>
      <c r="C1" s="7"/>
      <c r="D1" s="8"/>
      <c r="E1" s="8"/>
      <c r="F1" s="8"/>
      <c r="G1" s="265" t="s">
        <v>5</v>
      </c>
      <c r="H1" s="266"/>
      <c r="I1" s="9"/>
      <c r="J1" s="10" t="s">
        <v>6</v>
      </c>
    </row>
    <row r="2" spans="1:13" x14ac:dyDescent="0.25">
      <c r="A2" s="11" t="s">
        <v>7</v>
      </c>
      <c r="B2" s="45" t="s">
        <v>494</v>
      </c>
      <c r="C2" s="45"/>
      <c r="D2" s="45"/>
      <c r="E2" s="45"/>
      <c r="F2" s="45"/>
      <c r="G2" s="45"/>
      <c r="H2" s="12"/>
      <c r="I2" t="s">
        <v>14</v>
      </c>
      <c r="J2" t="s">
        <v>505</v>
      </c>
    </row>
    <row r="3" spans="1:13" x14ac:dyDescent="0.25">
      <c r="A3" s="11" t="s">
        <v>8</v>
      </c>
      <c r="B3" s="45" t="s">
        <v>511</v>
      </c>
      <c r="C3" s="45"/>
      <c r="D3" s="45"/>
      <c r="E3" s="45"/>
      <c r="F3" s="45"/>
      <c r="G3" s="45"/>
      <c r="H3" s="12"/>
      <c r="J3" t="s">
        <v>501</v>
      </c>
    </row>
    <row r="4" spans="1:13" x14ac:dyDescent="0.25">
      <c r="A4" s="13"/>
      <c r="B4" s="47"/>
      <c r="C4" s="47"/>
      <c r="D4" s="47"/>
      <c r="E4" s="47"/>
      <c r="F4" s="47"/>
      <c r="G4" s="47"/>
      <c r="H4" s="14"/>
      <c r="J4" t="s">
        <v>502</v>
      </c>
      <c r="K4" s="5">
        <f>(E13+2*C13)/3</f>
        <v>2.2666666666666666</v>
      </c>
      <c r="L4" s="5" t="s">
        <v>510</v>
      </c>
      <c r="M4" s="85">
        <f>(E13/(E9-D9)-(F13-E13)/(F9-E9))*(E9-D9)</f>
        <v>2.6833333333333331</v>
      </c>
    </row>
    <row r="5" spans="1:13" x14ac:dyDescent="0.25">
      <c r="A5" s="15" t="s">
        <v>9</v>
      </c>
      <c r="B5" s="47" t="s">
        <v>495</v>
      </c>
      <c r="C5" s="47"/>
      <c r="D5" s="47"/>
      <c r="E5" s="47"/>
      <c r="F5" s="47"/>
      <c r="G5" s="47"/>
      <c r="H5" s="16"/>
    </row>
    <row r="6" spans="1:13" x14ac:dyDescent="0.25">
      <c r="A6" s="18"/>
      <c r="B6" s="45" t="s">
        <v>496</v>
      </c>
      <c r="C6" s="47"/>
      <c r="D6" s="47"/>
      <c r="E6" s="47"/>
      <c r="F6" s="47"/>
      <c r="G6" s="47"/>
      <c r="H6" s="16"/>
      <c r="J6" t="s">
        <v>504</v>
      </c>
    </row>
    <row r="7" spans="1:13" x14ac:dyDescent="0.25">
      <c r="A7" s="18"/>
      <c r="B7" s="47"/>
      <c r="C7" s="47"/>
      <c r="D7" s="47"/>
      <c r="E7" s="47"/>
      <c r="F7" s="47"/>
      <c r="G7" s="47"/>
      <c r="H7" s="16"/>
      <c r="J7" t="s">
        <v>506</v>
      </c>
    </row>
    <row r="8" spans="1:13" x14ac:dyDescent="0.25">
      <c r="A8" s="18"/>
      <c r="B8" s="26" t="s">
        <v>497</v>
      </c>
      <c r="C8" s="119" t="s">
        <v>414</v>
      </c>
      <c r="D8" s="120"/>
      <c r="E8" s="120"/>
      <c r="F8" s="120"/>
      <c r="G8" s="214"/>
      <c r="H8" s="16"/>
      <c r="J8" t="s">
        <v>507</v>
      </c>
      <c r="K8" s="17">
        <f>(D12-D11)/(B12-B11)*(B13-B12)+D12</f>
        <v>3.0999999999999996</v>
      </c>
      <c r="L8" s="5" t="s">
        <v>503</v>
      </c>
      <c r="M8" s="85">
        <f>(D14*(B13-B12)+D12*(B14-B13))/(B14-B13+(B13-B12))</f>
        <v>2.2075</v>
      </c>
    </row>
    <row r="9" spans="1:13" x14ac:dyDescent="0.25">
      <c r="A9" s="18"/>
      <c r="B9" s="27" t="s">
        <v>411</v>
      </c>
      <c r="C9" s="49">
        <v>25000</v>
      </c>
      <c r="D9" s="215">
        <v>50000</v>
      </c>
      <c r="E9" s="215">
        <v>100000</v>
      </c>
      <c r="F9" s="215">
        <v>250000</v>
      </c>
      <c r="G9" s="178">
        <v>500000</v>
      </c>
      <c r="H9" s="16"/>
      <c r="M9" s="39"/>
    </row>
    <row r="10" spans="1:13" x14ac:dyDescent="0.25">
      <c r="A10" s="18"/>
      <c r="B10" s="205">
        <v>25000</v>
      </c>
      <c r="C10" s="206">
        <v>1</v>
      </c>
      <c r="D10" s="207"/>
      <c r="E10" s="207"/>
      <c r="F10" s="207"/>
      <c r="G10" s="208"/>
      <c r="H10" s="16"/>
      <c r="J10" t="s">
        <v>508</v>
      </c>
      <c r="K10" s="216">
        <f>K4</f>
        <v>2.2666666666666666</v>
      </c>
      <c r="L10" s="217" t="s">
        <v>509</v>
      </c>
      <c r="M10" s="53">
        <f>M4</f>
        <v>2.6833333333333331</v>
      </c>
    </row>
    <row r="11" spans="1:13" x14ac:dyDescent="0.25">
      <c r="A11" s="18"/>
      <c r="B11" s="195">
        <v>50000</v>
      </c>
      <c r="C11" s="209">
        <v>1.5</v>
      </c>
      <c r="D11" s="204">
        <v>1.7</v>
      </c>
      <c r="E11" s="204"/>
      <c r="F11" s="204"/>
      <c r="G11" s="210"/>
      <c r="H11" s="16"/>
    </row>
    <row r="12" spans="1:13" x14ac:dyDescent="0.25">
      <c r="A12" s="18"/>
      <c r="B12" s="195">
        <v>100000</v>
      </c>
      <c r="C12" s="209">
        <v>1.8</v>
      </c>
      <c r="D12" s="204">
        <v>2.0499999999999998</v>
      </c>
      <c r="E12" s="204">
        <v>2.5</v>
      </c>
      <c r="F12" s="204"/>
      <c r="G12" s="210"/>
      <c r="H12" s="16"/>
    </row>
    <row r="13" spans="1:13" x14ac:dyDescent="0.25">
      <c r="A13" s="18"/>
      <c r="B13" s="195">
        <v>250000</v>
      </c>
      <c r="C13" s="209">
        <v>2</v>
      </c>
      <c r="D13" s="204" t="s">
        <v>311</v>
      </c>
      <c r="E13" s="204">
        <v>2.8</v>
      </c>
      <c r="F13" s="204">
        <v>3.15</v>
      </c>
      <c r="G13" s="210"/>
      <c r="H13" s="16"/>
    </row>
    <row r="14" spans="1:13" x14ac:dyDescent="0.25">
      <c r="A14" s="18"/>
      <c r="B14" s="196">
        <v>500000</v>
      </c>
      <c r="C14" s="211">
        <v>2.17</v>
      </c>
      <c r="D14" s="212">
        <v>2.4700000000000002</v>
      </c>
      <c r="E14" s="212">
        <v>3.05</v>
      </c>
      <c r="F14" s="212">
        <v>3.45</v>
      </c>
      <c r="G14" s="213">
        <v>3.6</v>
      </c>
      <c r="H14" s="16"/>
    </row>
    <row r="15" spans="1:13" x14ac:dyDescent="0.25">
      <c r="A15" s="18"/>
      <c r="B15" s="47"/>
      <c r="C15" s="47"/>
      <c r="D15" s="47"/>
      <c r="E15" s="47"/>
      <c r="F15" s="47"/>
      <c r="G15" s="47"/>
      <c r="H15" s="16"/>
    </row>
    <row r="16" spans="1:13" x14ac:dyDescent="0.25">
      <c r="A16" s="52" t="s">
        <v>10</v>
      </c>
      <c r="B16" s="47" t="s">
        <v>498</v>
      </c>
      <c r="C16" s="47"/>
      <c r="D16" s="47"/>
      <c r="E16" s="47"/>
      <c r="F16" s="47"/>
      <c r="G16" s="47"/>
      <c r="H16" s="16"/>
    </row>
    <row r="17" spans="1:8" x14ac:dyDescent="0.25">
      <c r="A17" s="18"/>
      <c r="B17" s="47" t="s">
        <v>500</v>
      </c>
      <c r="C17" s="47"/>
      <c r="D17" s="47"/>
      <c r="E17" s="47"/>
      <c r="F17" s="47"/>
      <c r="G17" s="47"/>
      <c r="H17" s="16"/>
    </row>
    <row r="18" spans="1:8" ht="15.75" thickBot="1" x14ac:dyDescent="0.3">
      <c r="A18" s="19"/>
      <c r="B18" s="20" t="s">
        <v>499</v>
      </c>
      <c r="C18" s="20"/>
      <c r="D18" s="20"/>
      <c r="E18" s="20"/>
      <c r="F18" s="20"/>
      <c r="G18" s="20"/>
      <c r="H18" s="21"/>
    </row>
  </sheetData>
  <mergeCells count="1">
    <mergeCell ref="G1:H1"/>
  </mergeCells>
  <hyperlinks>
    <hyperlink ref="G1" location="TOC!A1" display="Return to TOC" xr:uid="{F64CE4F7-34BB-4EF0-9C59-952EE01F5345}"/>
  </hyperlink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208CCA-050E-4C92-BF3A-A8ECD55939C1}">
  <sheetPr codeName="Sheet14"/>
  <dimension ref="A1:K21"/>
  <sheetViews>
    <sheetView workbookViewId="0"/>
  </sheetViews>
  <sheetFormatPr defaultRowHeight="15" x14ac:dyDescent="0.25"/>
  <cols>
    <col min="1" max="1" width="14" bestFit="1" customWidth="1"/>
    <col min="2" max="2" width="10.85546875" bestFit="1" customWidth="1"/>
    <col min="7" max="7" width="6.42578125" customWidth="1"/>
    <col min="8" max="8" width="3.7109375" customWidth="1"/>
    <col min="9" max="9" width="10.85546875" bestFit="1" customWidth="1"/>
    <col min="11" max="11" width="19.28515625" bestFit="1" customWidth="1"/>
  </cols>
  <sheetData>
    <row r="1" spans="1:11" x14ac:dyDescent="0.25">
      <c r="A1" s="6" t="s">
        <v>4</v>
      </c>
      <c r="B1" s="7" t="s">
        <v>443</v>
      </c>
      <c r="C1" s="7"/>
      <c r="D1" s="8"/>
      <c r="E1" s="8"/>
      <c r="F1" s="265" t="s">
        <v>5</v>
      </c>
      <c r="G1" s="266"/>
      <c r="H1" s="9"/>
      <c r="I1" s="10" t="s">
        <v>6</v>
      </c>
    </row>
    <row r="2" spans="1:11" x14ac:dyDescent="0.25">
      <c r="A2" s="11" t="s">
        <v>7</v>
      </c>
      <c r="B2" s="45" t="s">
        <v>512</v>
      </c>
      <c r="C2" s="45"/>
      <c r="D2" s="45"/>
      <c r="E2" s="45"/>
      <c r="F2" s="45"/>
      <c r="G2" s="12"/>
      <c r="H2" t="s">
        <v>14</v>
      </c>
      <c r="I2" s="88" t="s">
        <v>411</v>
      </c>
      <c r="J2" s="91" t="s">
        <v>515</v>
      </c>
      <c r="K2" s="90" t="s">
        <v>522</v>
      </c>
    </row>
    <row r="3" spans="1:11" x14ac:dyDescent="0.25">
      <c r="A3" s="11" t="s">
        <v>8</v>
      </c>
      <c r="B3" s="45" t="s">
        <v>520</v>
      </c>
      <c r="C3" s="45"/>
      <c r="D3" s="45"/>
      <c r="E3" s="45"/>
      <c r="F3" s="45"/>
      <c r="G3" s="12"/>
      <c r="I3" s="249">
        <v>100000</v>
      </c>
      <c r="J3" s="252">
        <f>C9</f>
        <v>350</v>
      </c>
      <c r="K3" s="65" t="s">
        <v>169</v>
      </c>
    </row>
    <row r="4" spans="1:11" x14ac:dyDescent="0.25">
      <c r="A4" s="13"/>
      <c r="B4" s="47"/>
      <c r="C4" s="47"/>
      <c r="D4" s="47"/>
      <c r="E4" s="47"/>
      <c r="F4" s="47"/>
      <c r="G4" s="14"/>
      <c r="I4" s="199">
        <v>250000</v>
      </c>
      <c r="J4" s="92">
        <f>C10</f>
        <v>700</v>
      </c>
      <c r="K4" s="250">
        <f>(J4-J3)/(I4-I3)</f>
        <v>2.3333333333333335E-3</v>
      </c>
    </row>
    <row r="5" spans="1:11" x14ac:dyDescent="0.25">
      <c r="A5" s="15" t="s">
        <v>9</v>
      </c>
      <c r="B5" s="47" t="s">
        <v>514</v>
      </c>
      <c r="C5" s="47"/>
      <c r="D5" s="47"/>
      <c r="E5" s="47"/>
      <c r="F5" s="47"/>
      <c r="G5" s="16"/>
      <c r="I5" s="199">
        <v>500000</v>
      </c>
      <c r="J5" s="92">
        <f>C17</f>
        <v>1000</v>
      </c>
      <c r="K5" s="250">
        <f t="shared" ref="K5:K6" si="0">(J5-J4)/(I5-I4)</f>
        <v>1.1999999999999999E-3</v>
      </c>
    </row>
    <row r="6" spans="1:11" x14ac:dyDescent="0.25">
      <c r="A6" s="18"/>
      <c r="B6" s="45" t="s">
        <v>513</v>
      </c>
      <c r="C6" s="47"/>
      <c r="D6" s="47"/>
      <c r="E6" s="47"/>
      <c r="F6" s="47"/>
      <c r="G6" s="16"/>
      <c r="I6" s="200">
        <v>1000000</v>
      </c>
      <c r="J6" s="93">
        <f>C18</f>
        <v>1800</v>
      </c>
      <c r="K6" s="251">
        <f t="shared" si="0"/>
        <v>1.6000000000000001E-3</v>
      </c>
    </row>
    <row r="7" spans="1:11" x14ac:dyDescent="0.25">
      <c r="A7" s="18"/>
      <c r="B7" s="47"/>
      <c r="C7" s="47"/>
      <c r="D7" s="47"/>
      <c r="E7" s="47"/>
      <c r="F7" s="47"/>
      <c r="G7" s="16"/>
    </row>
    <row r="8" spans="1:11" x14ac:dyDescent="0.25">
      <c r="A8" s="18"/>
      <c r="B8" s="98" t="s">
        <v>411</v>
      </c>
      <c r="C8" s="194" t="s">
        <v>515</v>
      </c>
      <c r="D8" s="47"/>
      <c r="E8" s="47"/>
      <c r="F8" s="47"/>
      <c r="G8" s="16"/>
      <c r="I8" t="s">
        <v>523</v>
      </c>
    </row>
    <row r="9" spans="1:11" x14ac:dyDescent="0.25">
      <c r="A9" s="18"/>
      <c r="B9" s="195">
        <v>100000</v>
      </c>
      <c r="C9" s="76">
        <v>350</v>
      </c>
      <c r="D9" s="47"/>
      <c r="E9" s="47"/>
      <c r="F9" s="47"/>
      <c r="G9" s="16"/>
      <c r="I9" t="s">
        <v>524</v>
      </c>
    </row>
    <row r="10" spans="1:11" x14ac:dyDescent="0.25">
      <c r="A10" s="18"/>
      <c r="B10" s="196">
        <v>250000</v>
      </c>
      <c r="C10" s="178">
        <v>700</v>
      </c>
      <c r="D10" s="47"/>
      <c r="E10" s="47"/>
      <c r="F10" s="47"/>
      <c r="G10" s="16"/>
      <c r="I10" t="s">
        <v>525</v>
      </c>
    </row>
    <row r="11" spans="1:11" x14ac:dyDescent="0.25">
      <c r="A11" s="18"/>
      <c r="B11" s="47"/>
      <c r="C11" s="47"/>
      <c r="D11" s="47"/>
      <c r="E11" s="47"/>
      <c r="F11" s="47"/>
      <c r="G11" s="16"/>
      <c r="I11" t="s">
        <v>526</v>
      </c>
    </row>
    <row r="12" spans="1:11" x14ac:dyDescent="0.25">
      <c r="A12" s="18"/>
      <c r="B12" s="47" t="s">
        <v>516</v>
      </c>
      <c r="C12" s="47"/>
      <c r="D12" s="47"/>
      <c r="E12" s="47"/>
      <c r="F12" s="47"/>
      <c r="G12" s="16"/>
    </row>
    <row r="13" spans="1:11" x14ac:dyDescent="0.25">
      <c r="A13" s="18"/>
      <c r="B13" s="47" t="s">
        <v>517</v>
      </c>
      <c r="C13" s="47"/>
      <c r="D13" s="47"/>
      <c r="E13" s="47"/>
      <c r="F13" s="47"/>
      <c r="G13" s="16"/>
      <c r="I13" t="s">
        <v>527</v>
      </c>
    </row>
    <row r="14" spans="1:11" x14ac:dyDescent="0.25">
      <c r="A14" s="18"/>
      <c r="B14" s="47" t="s">
        <v>521</v>
      </c>
      <c r="C14" s="47"/>
      <c r="D14" s="47"/>
      <c r="E14" s="47"/>
      <c r="F14" s="47"/>
      <c r="G14" s="16"/>
    </row>
    <row r="15" spans="1:11" x14ac:dyDescent="0.25">
      <c r="A15" s="18"/>
      <c r="B15" s="47"/>
      <c r="C15" s="47"/>
      <c r="D15" s="47"/>
      <c r="E15" s="47"/>
      <c r="F15" s="47"/>
      <c r="G15" s="16"/>
      <c r="I15" t="s">
        <v>528</v>
      </c>
    </row>
    <row r="16" spans="1:11" x14ac:dyDescent="0.25">
      <c r="A16" s="18"/>
      <c r="B16" s="98" t="s">
        <v>411</v>
      </c>
      <c r="C16" s="194" t="s">
        <v>515</v>
      </c>
      <c r="D16" s="47"/>
      <c r="E16" s="47"/>
      <c r="F16" s="47"/>
      <c r="G16" s="16"/>
      <c r="I16" t="s">
        <v>529</v>
      </c>
    </row>
    <row r="17" spans="1:9" x14ac:dyDescent="0.25">
      <c r="A17" s="18"/>
      <c r="B17" s="195">
        <v>500000</v>
      </c>
      <c r="C17" s="76">
        <v>1000</v>
      </c>
      <c r="D17" s="47"/>
      <c r="E17" s="47"/>
      <c r="F17" s="47"/>
      <c r="G17" s="16"/>
      <c r="I17" t="s">
        <v>530</v>
      </c>
    </row>
    <row r="18" spans="1:9" x14ac:dyDescent="0.25">
      <c r="A18" s="18"/>
      <c r="B18" s="196">
        <v>1000000</v>
      </c>
      <c r="C18" s="178">
        <v>1800</v>
      </c>
      <c r="D18" s="47"/>
      <c r="E18" s="47"/>
      <c r="F18" s="47"/>
      <c r="G18" s="16"/>
      <c r="I18" t="s">
        <v>531</v>
      </c>
    </row>
    <row r="19" spans="1:9" x14ac:dyDescent="0.25">
      <c r="A19" s="18"/>
      <c r="B19" s="47"/>
      <c r="C19" s="47"/>
      <c r="D19" s="47"/>
      <c r="E19" s="47"/>
      <c r="F19" s="47"/>
      <c r="G19" s="16"/>
    </row>
    <row r="20" spans="1:9" x14ac:dyDescent="0.25">
      <c r="A20" s="52" t="s">
        <v>10</v>
      </c>
      <c r="B20" s="47" t="s">
        <v>518</v>
      </c>
      <c r="C20" s="47"/>
      <c r="D20" s="47"/>
      <c r="E20" s="47"/>
      <c r="F20" s="47"/>
      <c r="G20" s="16"/>
    </row>
    <row r="21" spans="1:9" ht="15.75" thickBot="1" x14ac:dyDescent="0.3">
      <c r="A21" s="19"/>
      <c r="B21" s="20" t="s">
        <v>519</v>
      </c>
      <c r="C21" s="20"/>
      <c r="D21" s="20"/>
      <c r="E21" s="20"/>
      <c r="F21" s="20"/>
      <c r="G21" s="21"/>
    </row>
  </sheetData>
  <mergeCells count="1">
    <mergeCell ref="F1:G1"/>
  </mergeCells>
  <hyperlinks>
    <hyperlink ref="F1" location="TOC!A1" display="Return to TOC" xr:uid="{4CC2054D-5EDC-4A28-9458-2ED35AF06ECD}"/>
  </hyperlink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84103D-E027-480F-BA5E-BD84004460D7}">
  <sheetPr codeName="Sheet15"/>
  <dimension ref="A1:R22"/>
  <sheetViews>
    <sheetView workbookViewId="0"/>
  </sheetViews>
  <sheetFormatPr defaultRowHeight="15" x14ac:dyDescent="0.25"/>
  <cols>
    <col min="1" max="1" width="14" bestFit="1" customWidth="1"/>
    <col min="3" max="3" width="18.28515625" bestFit="1" customWidth="1"/>
    <col min="7" max="7" width="10" customWidth="1"/>
    <col min="8" max="8" width="3.7109375" customWidth="1"/>
  </cols>
  <sheetData>
    <row r="1" spans="1:18" x14ac:dyDescent="0.25">
      <c r="A1" s="6" t="s">
        <v>4</v>
      </c>
      <c r="B1" s="7" t="s">
        <v>443</v>
      </c>
      <c r="C1" s="7"/>
      <c r="D1" s="8"/>
      <c r="E1" s="8"/>
      <c r="F1" s="265" t="s">
        <v>5</v>
      </c>
      <c r="G1" s="266"/>
      <c r="H1" s="9"/>
      <c r="I1" s="10" t="s">
        <v>6</v>
      </c>
    </row>
    <row r="2" spans="1:18" x14ac:dyDescent="0.25">
      <c r="A2" s="11" t="s">
        <v>7</v>
      </c>
      <c r="B2" s="45" t="s">
        <v>532</v>
      </c>
      <c r="C2" s="45"/>
      <c r="D2" s="45"/>
      <c r="E2" s="45"/>
      <c r="F2" s="45"/>
      <c r="G2" s="12"/>
      <c r="H2" t="s">
        <v>14</v>
      </c>
      <c r="I2" s="94" t="s">
        <v>543</v>
      </c>
      <c r="J2" s="94"/>
      <c r="K2" s="94"/>
      <c r="L2" s="94"/>
      <c r="M2" s="94"/>
      <c r="N2" s="94"/>
      <c r="O2" s="94"/>
      <c r="P2" s="94"/>
      <c r="Q2" s="94"/>
      <c r="R2" s="94"/>
    </row>
    <row r="3" spans="1:18" x14ac:dyDescent="0.25">
      <c r="A3" s="11" t="s">
        <v>8</v>
      </c>
      <c r="B3" s="45" t="s">
        <v>520</v>
      </c>
      <c r="C3" s="45"/>
      <c r="D3" s="45"/>
      <c r="E3" s="45"/>
      <c r="F3" s="45"/>
      <c r="G3" s="12"/>
      <c r="I3" s="94" t="s">
        <v>544</v>
      </c>
      <c r="J3" s="94"/>
      <c r="K3" s="94"/>
      <c r="L3" s="94"/>
      <c r="M3" s="94"/>
      <c r="N3" s="94"/>
      <c r="O3" s="94"/>
      <c r="P3" s="94"/>
      <c r="Q3" s="94"/>
      <c r="R3" s="94"/>
    </row>
    <row r="4" spans="1:18" x14ac:dyDescent="0.25">
      <c r="A4" s="13"/>
      <c r="B4" s="47"/>
      <c r="C4" s="47"/>
      <c r="D4" s="47"/>
      <c r="E4" s="47"/>
      <c r="F4" s="47"/>
      <c r="G4" s="14"/>
      <c r="I4" s="94"/>
      <c r="J4" s="94"/>
      <c r="K4" s="94"/>
      <c r="L4" s="94"/>
      <c r="M4" s="94"/>
      <c r="N4" s="94"/>
      <c r="O4" s="94"/>
      <c r="P4" s="94"/>
      <c r="Q4" s="94"/>
      <c r="R4" s="94"/>
    </row>
    <row r="5" spans="1:18" x14ac:dyDescent="0.25">
      <c r="A5" s="15" t="s">
        <v>9</v>
      </c>
      <c r="B5" s="47" t="s">
        <v>538</v>
      </c>
      <c r="C5" s="47"/>
      <c r="D5" s="47"/>
      <c r="E5" s="47"/>
      <c r="F5" s="47"/>
      <c r="G5" s="16"/>
      <c r="I5" s="94" t="s">
        <v>545</v>
      </c>
      <c r="J5" s="94"/>
      <c r="K5" s="94"/>
      <c r="L5" s="94" t="s">
        <v>546</v>
      </c>
      <c r="M5" s="94"/>
      <c r="N5" s="94"/>
      <c r="O5" s="94" t="s">
        <v>547</v>
      </c>
      <c r="P5" s="94"/>
      <c r="Q5" s="94"/>
      <c r="R5" s="94"/>
    </row>
    <row r="6" spans="1:18" x14ac:dyDescent="0.25">
      <c r="A6" s="18"/>
      <c r="B6" s="47" t="s">
        <v>541</v>
      </c>
      <c r="C6" s="47"/>
      <c r="D6" s="47"/>
      <c r="E6" s="47"/>
      <c r="F6" s="47"/>
      <c r="G6" s="16"/>
      <c r="I6" s="220">
        <v>10000</v>
      </c>
      <c r="J6" s="221">
        <f>SUM(D10:E10)/SUM($D$10:$E$10)</f>
        <v>1</v>
      </c>
      <c r="K6" s="94"/>
      <c r="L6" s="220">
        <v>10000</v>
      </c>
      <c r="M6" s="221">
        <f>D10/$D$10</f>
        <v>1</v>
      </c>
      <c r="N6" s="94"/>
      <c r="O6" s="220">
        <v>10000</v>
      </c>
      <c r="P6" s="221">
        <f>E10/$E$10</f>
        <v>1</v>
      </c>
      <c r="Q6" s="94"/>
      <c r="R6" s="94"/>
    </row>
    <row r="7" spans="1:18" x14ac:dyDescent="0.25">
      <c r="A7" s="18"/>
      <c r="B7" s="47" t="s">
        <v>542</v>
      </c>
      <c r="C7" s="47"/>
      <c r="D7" s="47"/>
      <c r="E7" s="47"/>
      <c r="F7" s="47"/>
      <c r="G7" s="16"/>
      <c r="I7" s="220">
        <v>25000</v>
      </c>
      <c r="J7" s="221">
        <f>SUM(D11:E11)/SUM($D$10:$E$10)</f>
        <v>1.45</v>
      </c>
      <c r="K7" s="94"/>
      <c r="L7" s="220">
        <v>25000</v>
      </c>
      <c r="M7" s="221">
        <f>D11/$D$10</f>
        <v>1.625</v>
      </c>
      <c r="N7" s="94"/>
      <c r="O7" s="220">
        <v>25000</v>
      </c>
      <c r="P7" s="221">
        <f>E11/$E$10</f>
        <v>1.3333333333333333</v>
      </c>
      <c r="Q7" s="94"/>
      <c r="R7" s="94"/>
    </row>
    <row r="8" spans="1:18" x14ac:dyDescent="0.25">
      <c r="A8" s="18"/>
      <c r="B8" s="47"/>
      <c r="C8" s="47"/>
      <c r="D8" s="218" t="s">
        <v>533</v>
      </c>
      <c r="E8" s="81"/>
      <c r="F8" s="47"/>
      <c r="G8" s="16"/>
      <c r="I8" s="220">
        <v>50000</v>
      </c>
      <c r="J8" s="221">
        <f>SUM(D12:E12)/SUM($D$10:$E$10)</f>
        <v>1.95</v>
      </c>
      <c r="K8" s="94"/>
      <c r="L8" s="220">
        <v>50000</v>
      </c>
      <c r="M8" s="221">
        <f>D12/$D$10</f>
        <v>2.25</v>
      </c>
      <c r="N8" s="94"/>
      <c r="O8" s="220">
        <v>50000</v>
      </c>
      <c r="P8" s="221">
        <f>E12/$E$10</f>
        <v>1.75</v>
      </c>
      <c r="Q8" s="94"/>
      <c r="R8" s="94"/>
    </row>
    <row r="9" spans="1:18" x14ac:dyDescent="0.25">
      <c r="A9" s="18"/>
      <c r="B9" s="47"/>
      <c r="C9" s="97" t="s">
        <v>534</v>
      </c>
      <c r="D9" s="219">
        <v>25000</v>
      </c>
      <c r="E9" s="219">
        <v>50000</v>
      </c>
      <c r="F9" s="47"/>
      <c r="G9" s="16"/>
      <c r="I9" s="94"/>
      <c r="J9" s="94"/>
      <c r="K9" s="94"/>
      <c r="L9" s="94"/>
      <c r="M9" s="94"/>
      <c r="N9" s="94"/>
      <c r="O9" s="94"/>
      <c r="P9" s="94"/>
      <c r="Q9" s="94"/>
      <c r="R9" s="94"/>
    </row>
    <row r="10" spans="1:18" x14ac:dyDescent="0.25">
      <c r="A10" s="18"/>
      <c r="B10" s="47"/>
      <c r="C10" s="115">
        <v>10000</v>
      </c>
      <c r="D10" s="115">
        <v>4000</v>
      </c>
      <c r="E10" s="115">
        <v>6000</v>
      </c>
      <c r="F10" s="47"/>
      <c r="G10" s="16"/>
      <c r="I10" s="94" t="s">
        <v>548</v>
      </c>
      <c r="J10" s="94"/>
      <c r="K10" s="94"/>
      <c r="L10" s="94"/>
      <c r="M10" s="94"/>
      <c r="N10" s="94"/>
      <c r="O10" s="94"/>
      <c r="P10" s="94"/>
      <c r="Q10" s="94"/>
      <c r="R10" s="94"/>
    </row>
    <row r="11" spans="1:18" x14ac:dyDescent="0.25">
      <c r="A11" s="18"/>
      <c r="B11" s="47"/>
      <c r="C11" s="115">
        <v>25000</v>
      </c>
      <c r="D11" s="115">
        <v>6500</v>
      </c>
      <c r="E11" s="115">
        <v>8000</v>
      </c>
      <c r="F11" s="47"/>
      <c r="G11" s="16"/>
      <c r="I11" s="94" t="s">
        <v>549</v>
      </c>
      <c r="J11" s="94"/>
      <c r="K11" s="94"/>
      <c r="L11" s="94"/>
      <c r="M11" s="94"/>
      <c r="N11" s="94"/>
      <c r="O11" s="94"/>
      <c r="P11" s="94"/>
      <c r="Q11" s="94"/>
      <c r="R11" s="94"/>
    </row>
    <row r="12" spans="1:18" x14ac:dyDescent="0.25">
      <c r="A12" s="18"/>
      <c r="B12" s="47"/>
      <c r="C12" s="115">
        <v>50000</v>
      </c>
      <c r="D12" s="115">
        <v>9000</v>
      </c>
      <c r="E12" s="115">
        <v>10500</v>
      </c>
      <c r="F12" s="47"/>
      <c r="G12" s="16"/>
      <c r="I12" s="94" t="s">
        <v>550</v>
      </c>
      <c r="J12" s="94"/>
      <c r="K12" s="94"/>
      <c r="L12" s="94"/>
      <c r="M12" s="94"/>
      <c r="N12" s="94"/>
      <c r="O12" s="94"/>
      <c r="P12" s="94"/>
      <c r="Q12" s="94"/>
      <c r="R12" s="94"/>
    </row>
    <row r="13" spans="1:18" x14ac:dyDescent="0.25">
      <c r="A13" s="18"/>
      <c r="B13" s="47"/>
      <c r="C13" s="47"/>
      <c r="D13" s="47"/>
      <c r="E13" s="47"/>
      <c r="F13" s="47"/>
      <c r="G13" s="16"/>
      <c r="I13" s="94"/>
      <c r="J13" s="94"/>
      <c r="K13" s="94"/>
      <c r="L13" s="94"/>
      <c r="M13" s="94"/>
      <c r="N13" s="94"/>
      <c r="O13" s="94"/>
      <c r="P13" s="94"/>
      <c r="Q13" s="94"/>
      <c r="R13" s="94"/>
    </row>
    <row r="14" spans="1:18" x14ac:dyDescent="0.25">
      <c r="A14" s="18"/>
      <c r="B14" s="47" t="s">
        <v>539</v>
      </c>
      <c r="C14" s="47"/>
      <c r="D14" s="47"/>
      <c r="E14" s="47"/>
      <c r="F14" s="47"/>
      <c r="G14" s="16"/>
      <c r="H14" t="s">
        <v>11</v>
      </c>
      <c r="I14" s="222" t="s">
        <v>551</v>
      </c>
      <c r="J14" s="94"/>
      <c r="K14" s="94"/>
      <c r="L14" s="94"/>
      <c r="M14" s="94"/>
      <c r="N14" s="94"/>
      <c r="O14" s="94"/>
      <c r="P14" s="94"/>
      <c r="Q14" s="94"/>
      <c r="R14" s="94"/>
    </row>
    <row r="15" spans="1:18" x14ac:dyDescent="0.25">
      <c r="A15" s="18"/>
      <c r="B15" s="47" t="s">
        <v>540</v>
      </c>
      <c r="C15" s="47"/>
      <c r="D15" s="47"/>
      <c r="E15" s="47"/>
      <c r="F15" s="47"/>
      <c r="G15" s="16"/>
      <c r="I15" s="94" t="s">
        <v>552</v>
      </c>
      <c r="J15" s="94"/>
      <c r="K15" s="94"/>
      <c r="L15" s="94"/>
      <c r="M15" s="94"/>
      <c r="N15" s="94"/>
      <c r="O15" s="94"/>
      <c r="P15" s="94"/>
      <c r="Q15" s="94"/>
      <c r="R15" s="94"/>
    </row>
    <row r="16" spans="1:18" x14ac:dyDescent="0.25">
      <c r="A16" s="52" t="s">
        <v>10</v>
      </c>
      <c r="B16" s="47"/>
      <c r="C16" s="47"/>
      <c r="D16" s="47"/>
      <c r="E16" s="47"/>
      <c r="F16" s="47"/>
      <c r="G16" s="16"/>
      <c r="I16" s="94" t="s">
        <v>553</v>
      </c>
      <c r="J16" s="94"/>
      <c r="K16" s="94"/>
      <c r="L16" s="94"/>
      <c r="M16" s="94"/>
      <c r="N16" s="94"/>
      <c r="O16" s="94"/>
      <c r="P16" s="94"/>
      <c r="Q16" s="94"/>
      <c r="R16" s="94"/>
    </row>
    <row r="17" spans="1:18" x14ac:dyDescent="0.25">
      <c r="A17" s="18"/>
      <c r="B17" s="47" t="s">
        <v>535</v>
      </c>
      <c r="C17" s="47"/>
      <c r="D17" s="47"/>
      <c r="E17" s="47"/>
      <c r="F17" s="47"/>
      <c r="G17" s="16"/>
      <c r="I17" s="94" t="s">
        <v>554</v>
      </c>
      <c r="J17" s="94"/>
      <c r="K17" s="94"/>
      <c r="L17" s="94"/>
      <c r="M17" s="94"/>
      <c r="N17" s="94"/>
      <c r="O17" s="94"/>
      <c r="P17" s="94"/>
      <c r="Q17" s="94"/>
      <c r="R17" s="94"/>
    </row>
    <row r="18" spans="1:18" x14ac:dyDescent="0.25">
      <c r="A18" s="18"/>
      <c r="B18" s="47"/>
      <c r="C18" s="47"/>
      <c r="D18" s="47"/>
      <c r="E18" s="47"/>
      <c r="F18" s="47"/>
      <c r="G18" s="16"/>
      <c r="I18" s="94"/>
      <c r="J18" s="94"/>
      <c r="K18" s="94"/>
      <c r="L18" s="94"/>
      <c r="M18" s="94"/>
      <c r="N18" s="94"/>
      <c r="O18" s="94"/>
      <c r="P18" s="94"/>
      <c r="Q18" s="94"/>
      <c r="R18" s="94"/>
    </row>
    <row r="19" spans="1:18" x14ac:dyDescent="0.25">
      <c r="A19" s="18"/>
      <c r="B19" s="47" t="s">
        <v>536</v>
      </c>
      <c r="C19" s="47"/>
      <c r="D19" s="47"/>
      <c r="E19" s="47"/>
      <c r="F19" s="47"/>
      <c r="G19" s="16"/>
      <c r="I19" s="222" t="s">
        <v>555</v>
      </c>
      <c r="J19" s="94"/>
      <c r="K19" s="94"/>
      <c r="L19" s="94"/>
      <c r="M19" s="94"/>
      <c r="N19" s="94"/>
      <c r="O19" s="94"/>
      <c r="P19" s="94"/>
      <c r="Q19" s="94"/>
      <c r="R19" s="94"/>
    </row>
    <row r="20" spans="1:18" ht="15.75" thickBot="1" x14ac:dyDescent="0.3">
      <c r="A20" s="19"/>
      <c r="B20" s="20" t="s">
        <v>537</v>
      </c>
      <c r="C20" s="20"/>
      <c r="D20" s="20"/>
      <c r="E20" s="20"/>
      <c r="F20" s="20"/>
      <c r="G20" s="21"/>
      <c r="I20" s="94" t="s">
        <v>556</v>
      </c>
      <c r="J20" s="94"/>
      <c r="K20" s="94"/>
      <c r="L20" s="94"/>
      <c r="M20" s="94"/>
      <c r="N20" s="94"/>
      <c r="O20" s="94"/>
      <c r="P20" s="94"/>
      <c r="Q20" s="94"/>
      <c r="R20" s="94"/>
    </row>
    <row r="21" spans="1:18" x14ac:dyDescent="0.25">
      <c r="I21" s="94" t="s">
        <v>557</v>
      </c>
      <c r="J21" s="94"/>
      <c r="K21" s="94"/>
      <c r="L21" s="94"/>
      <c r="M21" s="94"/>
      <c r="N21" s="94"/>
      <c r="O21" s="94"/>
      <c r="P21" s="94"/>
      <c r="Q21" s="94"/>
      <c r="R21" s="94"/>
    </row>
    <row r="22" spans="1:18" x14ac:dyDescent="0.25">
      <c r="I22" s="94" t="s">
        <v>558</v>
      </c>
      <c r="J22" s="94"/>
      <c r="K22" s="94"/>
      <c r="L22" s="94"/>
      <c r="M22" s="94"/>
      <c r="N22" s="94"/>
      <c r="O22" s="94"/>
      <c r="P22" s="94"/>
      <c r="Q22" s="94"/>
      <c r="R22" s="94"/>
    </row>
  </sheetData>
  <mergeCells count="1">
    <mergeCell ref="F1:G1"/>
  </mergeCells>
  <hyperlinks>
    <hyperlink ref="F1" location="TOC!A1" display="Return to TOC" xr:uid="{D31E792F-596C-43A2-BB02-01DE0FF36CB5}"/>
  </hyperlink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7278BA-7349-40B8-AFE4-127CAE0A1E7B}">
  <sheetPr codeName="Sheet16"/>
  <dimension ref="A1:Q20"/>
  <sheetViews>
    <sheetView workbookViewId="0"/>
  </sheetViews>
  <sheetFormatPr defaultRowHeight="15" x14ac:dyDescent="0.25"/>
  <cols>
    <col min="1" max="1" width="14" bestFit="1" customWidth="1"/>
    <col min="9" max="9" width="3.7109375" customWidth="1"/>
  </cols>
  <sheetData>
    <row r="1" spans="1:17" x14ac:dyDescent="0.25">
      <c r="A1" s="6" t="s">
        <v>4</v>
      </c>
      <c r="B1" s="7" t="s">
        <v>443</v>
      </c>
      <c r="C1" s="7"/>
      <c r="D1" s="8"/>
      <c r="E1" s="8"/>
      <c r="F1" s="8"/>
      <c r="G1" s="265" t="s">
        <v>5</v>
      </c>
      <c r="H1" s="266"/>
      <c r="I1" s="9"/>
      <c r="J1" s="10" t="s">
        <v>6</v>
      </c>
    </row>
    <row r="2" spans="1:17" x14ac:dyDescent="0.25">
      <c r="A2" s="11" t="s">
        <v>7</v>
      </c>
      <c r="B2" s="45" t="s">
        <v>559</v>
      </c>
      <c r="C2" s="45"/>
      <c r="D2" s="45"/>
      <c r="E2" s="45"/>
      <c r="F2" s="45"/>
      <c r="G2" s="45"/>
      <c r="H2" s="12"/>
      <c r="I2" t="s">
        <v>14</v>
      </c>
      <c r="J2" s="94" t="s">
        <v>569</v>
      </c>
      <c r="K2" s="94"/>
      <c r="L2" s="94"/>
      <c r="M2" s="94"/>
      <c r="N2" s="94"/>
      <c r="O2" s="94"/>
      <c r="P2" s="94"/>
      <c r="Q2" s="94"/>
    </row>
    <row r="3" spans="1:17" x14ac:dyDescent="0.25">
      <c r="A3" s="11" t="s">
        <v>8</v>
      </c>
      <c r="B3" s="45" t="s">
        <v>568</v>
      </c>
      <c r="C3" s="45"/>
      <c r="D3" s="45"/>
      <c r="E3" s="45"/>
      <c r="F3" s="45"/>
      <c r="G3" s="45"/>
      <c r="H3" s="12"/>
      <c r="J3" s="94"/>
      <c r="K3" s="94"/>
      <c r="L3" s="94"/>
      <c r="M3" s="94"/>
      <c r="N3" s="94"/>
      <c r="O3" s="94"/>
      <c r="P3" s="94"/>
      <c r="Q3" s="94"/>
    </row>
    <row r="4" spans="1:17" x14ac:dyDescent="0.25">
      <c r="A4" s="13"/>
      <c r="B4" s="47"/>
      <c r="C4" s="47"/>
      <c r="D4" s="47"/>
      <c r="E4" s="47"/>
      <c r="F4" s="47"/>
      <c r="G4" s="47"/>
      <c r="H4" s="14"/>
      <c r="J4" s="94" t="s">
        <v>570</v>
      </c>
      <c r="K4" s="94" t="s">
        <v>569</v>
      </c>
      <c r="L4" s="224">
        <f>0.000064*E11</f>
        <v>50.567871999999994</v>
      </c>
      <c r="M4" s="94"/>
      <c r="N4" s="94"/>
      <c r="O4" s="94"/>
      <c r="P4" s="94"/>
      <c r="Q4" s="94"/>
    </row>
    <row r="5" spans="1:17" x14ac:dyDescent="0.25">
      <c r="A5" s="15" t="s">
        <v>9</v>
      </c>
      <c r="B5" s="47" t="s">
        <v>560</v>
      </c>
      <c r="C5" s="47"/>
      <c r="D5" s="47"/>
      <c r="E5" s="47"/>
      <c r="F5" s="47"/>
      <c r="G5" s="47"/>
      <c r="H5" s="16"/>
      <c r="J5" s="94" t="s">
        <v>571</v>
      </c>
      <c r="K5" s="94" t="s">
        <v>569</v>
      </c>
      <c r="L5" s="224">
        <f>0.000064*E12</f>
        <v>605.91718400000002</v>
      </c>
      <c r="M5" s="94"/>
      <c r="N5" s="94"/>
      <c r="O5" s="94"/>
      <c r="P5" s="94"/>
      <c r="Q5" s="94"/>
    </row>
    <row r="6" spans="1:17" x14ac:dyDescent="0.25">
      <c r="A6" s="18"/>
      <c r="B6" s="47" t="s">
        <v>561</v>
      </c>
      <c r="C6" s="47"/>
      <c r="D6" s="47"/>
      <c r="E6" s="47"/>
      <c r="F6" s="47"/>
      <c r="G6" s="47"/>
      <c r="H6" s="16"/>
      <c r="J6" s="94"/>
      <c r="K6" s="94"/>
      <c r="L6" s="94"/>
      <c r="M6" s="94"/>
      <c r="N6" s="94"/>
      <c r="O6" s="94"/>
      <c r="P6" s="94"/>
      <c r="Q6" s="94"/>
    </row>
    <row r="7" spans="1:17" x14ac:dyDescent="0.25">
      <c r="A7" s="18"/>
      <c r="B7" s="47" t="s">
        <v>562</v>
      </c>
      <c r="C7" s="47"/>
      <c r="D7" s="47"/>
      <c r="E7" s="47"/>
      <c r="F7" s="47"/>
      <c r="G7" s="47"/>
      <c r="H7" s="16"/>
      <c r="M7" s="94"/>
      <c r="N7" s="94"/>
      <c r="O7" s="94"/>
      <c r="P7" s="94"/>
      <c r="Q7" s="94"/>
    </row>
    <row r="8" spans="1:17" x14ac:dyDescent="0.25">
      <c r="A8" s="18"/>
      <c r="B8" s="47" t="s">
        <v>563</v>
      </c>
      <c r="C8" s="47"/>
      <c r="D8" s="47"/>
      <c r="E8" s="47"/>
      <c r="F8" s="47"/>
      <c r="G8" s="47"/>
      <c r="H8" s="16"/>
      <c r="M8" s="94"/>
      <c r="N8" s="94"/>
      <c r="O8" s="94"/>
      <c r="P8" s="94"/>
      <c r="Q8" s="94"/>
    </row>
    <row r="9" spans="1:17" x14ac:dyDescent="0.25">
      <c r="A9" s="18"/>
      <c r="B9" s="47"/>
      <c r="C9" s="47"/>
      <c r="D9" s="47"/>
      <c r="E9" s="47"/>
      <c r="F9" s="47"/>
      <c r="G9" s="47"/>
      <c r="H9" s="16"/>
      <c r="J9" s="94" t="s">
        <v>581</v>
      </c>
      <c r="M9" s="94"/>
      <c r="N9" s="94"/>
      <c r="O9" s="94"/>
      <c r="P9" s="94"/>
      <c r="Q9" s="94"/>
    </row>
    <row r="10" spans="1:17" ht="17.25" x14ac:dyDescent="0.25">
      <c r="A10" s="18"/>
      <c r="B10" s="47"/>
      <c r="C10" s="97" t="s">
        <v>564</v>
      </c>
      <c r="D10" s="97" t="s">
        <v>185</v>
      </c>
      <c r="E10" s="97" t="s">
        <v>565</v>
      </c>
      <c r="F10" s="47"/>
      <c r="G10" s="47"/>
      <c r="H10" s="16"/>
      <c r="M10" s="94"/>
      <c r="N10" s="94"/>
      <c r="P10" s="94"/>
      <c r="Q10" s="94"/>
    </row>
    <row r="11" spans="1:17" x14ac:dyDescent="0.25">
      <c r="A11" s="18"/>
      <c r="B11" s="47"/>
      <c r="C11" s="82">
        <v>1000</v>
      </c>
      <c r="D11" s="98">
        <v>840</v>
      </c>
      <c r="E11" s="82">
        <v>790123</v>
      </c>
      <c r="F11" s="47"/>
      <c r="G11" s="47"/>
      <c r="H11" s="16"/>
      <c r="J11" s="94" t="s">
        <v>572</v>
      </c>
      <c r="K11" s="94"/>
      <c r="L11" s="167">
        <f>D12*(1+15%)/(D11*(1+15%))</f>
        <v>2.9583333333333335</v>
      </c>
      <c r="M11" s="94"/>
      <c r="N11" s="94"/>
      <c r="O11" s="94"/>
      <c r="P11" s="94"/>
      <c r="Q11" s="94"/>
    </row>
    <row r="12" spans="1:17" x14ac:dyDescent="0.25">
      <c r="A12" s="18"/>
      <c r="B12" s="47"/>
      <c r="C12" s="82">
        <v>5000</v>
      </c>
      <c r="D12" s="82">
        <v>2485</v>
      </c>
      <c r="E12" s="82">
        <v>9467456</v>
      </c>
      <c r="F12" s="47"/>
      <c r="G12" s="47"/>
      <c r="H12" s="16"/>
      <c r="J12" s="94" t="s">
        <v>573</v>
      </c>
      <c r="K12" s="94"/>
      <c r="L12" s="167">
        <f>(D12*(1+15%)+L5)/(D11*(1+15%)+L4)</f>
        <v>3.4072168513309071</v>
      </c>
      <c r="M12" s="94"/>
      <c r="O12" s="94"/>
      <c r="P12" s="94"/>
      <c r="Q12" s="94"/>
    </row>
    <row r="13" spans="1:17" x14ac:dyDescent="0.25">
      <c r="A13" s="18"/>
      <c r="B13" s="47"/>
      <c r="C13" s="47"/>
      <c r="D13" s="47"/>
      <c r="E13" s="47"/>
      <c r="F13" s="47"/>
      <c r="G13" s="47"/>
      <c r="H13" s="16"/>
      <c r="J13" s="94"/>
      <c r="K13" s="94"/>
      <c r="L13" s="94"/>
    </row>
    <row r="14" spans="1:17" x14ac:dyDescent="0.25">
      <c r="A14" s="52" t="s">
        <v>10</v>
      </c>
      <c r="B14" s="47" t="s">
        <v>577</v>
      </c>
      <c r="C14" s="47"/>
      <c r="D14" s="47"/>
      <c r="E14" s="47"/>
      <c r="F14" s="47"/>
      <c r="G14" s="47"/>
      <c r="H14" s="16"/>
      <c r="I14" t="s">
        <v>11</v>
      </c>
      <c r="J14" s="94" t="s">
        <v>574</v>
      </c>
      <c r="K14" s="94"/>
      <c r="L14" s="223">
        <f>0.75*1+0.25*L11</f>
        <v>1.4895833333333335</v>
      </c>
    </row>
    <row r="15" spans="1:17" x14ac:dyDescent="0.25">
      <c r="A15" s="18"/>
      <c r="B15" s="47" t="s">
        <v>566</v>
      </c>
      <c r="C15" s="47"/>
      <c r="D15" s="47"/>
      <c r="E15" s="47"/>
      <c r="F15" s="47"/>
      <c r="G15" s="47"/>
      <c r="H15" s="16"/>
      <c r="J15" s="94" t="s">
        <v>575</v>
      </c>
      <c r="K15" s="94"/>
      <c r="L15" s="223">
        <f>0.75*1+0.25*L12</f>
        <v>1.6018042128327268</v>
      </c>
    </row>
    <row r="16" spans="1:17" x14ac:dyDescent="0.25">
      <c r="A16" s="18"/>
      <c r="B16" s="47" t="s">
        <v>567</v>
      </c>
      <c r="C16" s="47"/>
      <c r="D16" s="47"/>
      <c r="E16" s="47"/>
      <c r="F16" s="47"/>
      <c r="G16" s="47"/>
      <c r="H16" s="16"/>
      <c r="J16" s="94" t="s">
        <v>576</v>
      </c>
      <c r="K16" s="94"/>
      <c r="L16" s="94"/>
      <c r="N16" s="101">
        <f>L15/L14-1</f>
        <v>7.5337093929662702E-2</v>
      </c>
    </row>
    <row r="17" spans="1:8" x14ac:dyDescent="0.25">
      <c r="A17" s="18"/>
      <c r="B17" s="47"/>
      <c r="C17" s="47"/>
      <c r="D17" s="47"/>
      <c r="E17" s="47"/>
      <c r="F17" s="47"/>
      <c r="G17" s="47"/>
      <c r="H17" s="16"/>
    </row>
    <row r="18" spans="1:8" x14ac:dyDescent="0.25">
      <c r="A18" s="18"/>
      <c r="B18" s="47" t="s">
        <v>578</v>
      </c>
      <c r="C18" s="47"/>
      <c r="D18" s="47"/>
      <c r="E18" s="47"/>
      <c r="F18" s="47"/>
      <c r="G18" s="47"/>
      <c r="H18" s="16"/>
    </row>
    <row r="19" spans="1:8" x14ac:dyDescent="0.25">
      <c r="A19" s="18"/>
      <c r="B19" s="47" t="s">
        <v>579</v>
      </c>
      <c r="C19" s="47"/>
      <c r="D19" s="47"/>
      <c r="E19" s="47"/>
      <c r="F19" s="47"/>
      <c r="G19" s="47"/>
      <c r="H19" s="16"/>
    </row>
    <row r="20" spans="1:8" ht="15.75" thickBot="1" x14ac:dyDescent="0.3">
      <c r="A20" s="19"/>
      <c r="B20" s="20" t="s">
        <v>580</v>
      </c>
      <c r="C20" s="20"/>
      <c r="D20" s="20"/>
      <c r="E20" s="20"/>
      <c r="F20" s="20"/>
      <c r="G20" s="20"/>
      <c r="H20" s="21"/>
    </row>
  </sheetData>
  <mergeCells count="1">
    <mergeCell ref="G1:H1"/>
  </mergeCells>
  <hyperlinks>
    <hyperlink ref="G1" location="TOC!A1" display="Return to TOC" xr:uid="{F05E0A68-29D6-400A-A6EA-EF98447E5E54}"/>
  </hyperlinks>
  <pageMargins left="0.7" right="0.7" top="0.75" bottom="0.75" header="0.3" footer="0.3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31805E-7169-4376-A411-BCC0462FFF32}">
  <sheetPr codeName="Sheet17"/>
  <dimension ref="A1:R91"/>
  <sheetViews>
    <sheetView workbookViewId="0"/>
  </sheetViews>
  <sheetFormatPr defaultRowHeight="15" x14ac:dyDescent="0.25"/>
  <cols>
    <col min="1" max="1" width="14" bestFit="1" customWidth="1"/>
    <col min="2" max="2" width="11.85546875" customWidth="1"/>
    <col min="3" max="3" width="13.28515625" customWidth="1"/>
    <col min="4" max="4" width="9.5703125" bestFit="1" customWidth="1"/>
    <col min="8" max="8" width="8.85546875" customWidth="1"/>
    <col min="9" max="9" width="3.7109375" customWidth="1"/>
    <col min="10" max="10" width="10.85546875" customWidth="1"/>
    <col min="11" max="11" width="10.85546875" bestFit="1" customWidth="1"/>
    <col min="14" max="14" width="10.85546875" bestFit="1" customWidth="1"/>
    <col min="17" max="17" width="12.7109375" customWidth="1"/>
    <col min="18" max="18" width="16.5703125" bestFit="1" customWidth="1"/>
  </cols>
  <sheetData>
    <row r="1" spans="1:18" x14ac:dyDescent="0.25">
      <c r="A1" s="6" t="s">
        <v>4</v>
      </c>
      <c r="B1" s="7" t="s">
        <v>253</v>
      </c>
      <c r="C1" s="7"/>
      <c r="D1" s="8"/>
      <c r="E1" s="8"/>
      <c r="F1" s="8"/>
      <c r="G1" s="265" t="s">
        <v>5</v>
      </c>
      <c r="H1" s="266"/>
      <c r="I1" s="9"/>
      <c r="J1" s="10" t="s">
        <v>6</v>
      </c>
    </row>
    <row r="2" spans="1:18" x14ac:dyDescent="0.25">
      <c r="A2" s="11" t="s">
        <v>7</v>
      </c>
      <c r="B2" s="45" t="s">
        <v>341</v>
      </c>
      <c r="C2" s="45"/>
      <c r="D2" s="45"/>
      <c r="E2" s="45"/>
      <c r="F2" s="45"/>
      <c r="G2" s="45"/>
      <c r="H2" s="12"/>
      <c r="I2" t="s">
        <v>14</v>
      </c>
      <c r="J2" s="94" t="s">
        <v>287</v>
      </c>
      <c r="K2" s="99">
        <f>SUMPRODUCT(C21:C23,D21:D23)</f>
        <v>0.25</v>
      </c>
      <c r="L2" s="94"/>
      <c r="M2" s="94"/>
      <c r="N2" s="94"/>
      <c r="O2" s="94"/>
      <c r="P2" s="94"/>
      <c r="Q2" s="94"/>
      <c r="R2" s="94"/>
    </row>
    <row r="3" spans="1:18" x14ac:dyDescent="0.25">
      <c r="A3" s="11" t="s">
        <v>8</v>
      </c>
      <c r="B3" s="45" t="s">
        <v>286</v>
      </c>
      <c r="C3" s="45"/>
      <c r="D3" s="45"/>
      <c r="E3" s="45"/>
      <c r="F3" s="45"/>
      <c r="G3" s="45"/>
      <c r="H3" s="12"/>
      <c r="J3" s="94" t="s">
        <v>40</v>
      </c>
      <c r="K3" s="95">
        <f>SUMPRODUCT(C29:C32,D29:D32)</f>
        <v>257500</v>
      </c>
      <c r="L3" s="94"/>
      <c r="M3" s="94"/>
      <c r="N3" s="94"/>
      <c r="O3" s="94"/>
      <c r="P3" s="94"/>
      <c r="Q3" s="94"/>
      <c r="R3" s="94"/>
    </row>
    <row r="4" spans="1:18" x14ac:dyDescent="0.25">
      <c r="A4" s="13"/>
      <c r="B4" s="47"/>
      <c r="C4" s="47"/>
      <c r="D4" s="47"/>
      <c r="E4" s="47"/>
      <c r="F4" s="47"/>
      <c r="G4" s="47"/>
      <c r="H4" s="14"/>
      <c r="J4" s="94" t="s">
        <v>288</v>
      </c>
      <c r="K4" s="94"/>
      <c r="L4" s="95">
        <f>K3*K2</f>
        <v>64375</v>
      </c>
      <c r="M4" s="94"/>
      <c r="N4" s="94"/>
      <c r="O4" s="94"/>
      <c r="P4" s="94"/>
      <c r="Q4" s="94"/>
      <c r="R4" s="94"/>
    </row>
    <row r="5" spans="1:18" x14ac:dyDescent="0.25">
      <c r="A5" s="15" t="s">
        <v>9</v>
      </c>
      <c r="B5" s="47" t="s">
        <v>254</v>
      </c>
      <c r="C5" s="47"/>
      <c r="D5" s="47"/>
      <c r="E5" s="47"/>
      <c r="F5" s="47"/>
      <c r="G5" s="47"/>
      <c r="H5" s="16"/>
      <c r="J5" s="94" t="s">
        <v>289</v>
      </c>
      <c r="K5" s="94"/>
      <c r="L5" s="94"/>
      <c r="M5" s="94"/>
      <c r="N5" s="94"/>
      <c r="O5" s="94"/>
      <c r="P5" s="94"/>
      <c r="Q5" s="94"/>
      <c r="R5" s="94"/>
    </row>
    <row r="6" spans="1:18" x14ac:dyDescent="0.25">
      <c r="A6" s="18"/>
      <c r="B6" s="47" t="s">
        <v>255</v>
      </c>
      <c r="C6" s="47"/>
      <c r="D6" s="47"/>
      <c r="E6" s="47"/>
      <c r="F6" s="47"/>
      <c r="G6" s="47"/>
      <c r="H6" s="16"/>
      <c r="J6" s="94" t="s">
        <v>290</v>
      </c>
      <c r="K6" s="94"/>
      <c r="L6" s="94"/>
      <c r="M6" s="94"/>
      <c r="N6" s="94"/>
      <c r="O6" s="94"/>
      <c r="P6" s="94"/>
      <c r="Q6" s="94"/>
      <c r="R6" s="94"/>
    </row>
    <row r="7" spans="1:18" x14ac:dyDescent="0.25">
      <c r="A7" s="18"/>
      <c r="B7" s="47"/>
      <c r="C7" s="47"/>
      <c r="D7" s="47"/>
      <c r="E7" s="47"/>
      <c r="F7" s="47"/>
      <c r="G7" s="47"/>
      <c r="H7" s="16"/>
      <c r="J7" s="94">
        <f>1/(1-SUM(D36:D39))</f>
        <v>1.3888888888888888</v>
      </c>
      <c r="K7" s="94"/>
      <c r="L7" s="94"/>
      <c r="M7" s="94"/>
      <c r="N7" s="94"/>
      <c r="O7" s="94"/>
      <c r="P7" s="94"/>
      <c r="Q7" s="94"/>
      <c r="R7" s="94"/>
    </row>
    <row r="8" spans="1:18" x14ac:dyDescent="0.25">
      <c r="A8" s="18"/>
      <c r="B8" s="47" t="s">
        <v>256</v>
      </c>
      <c r="C8" s="47"/>
      <c r="D8" s="47"/>
      <c r="E8" s="47"/>
      <c r="F8" s="47"/>
      <c r="G8" s="47"/>
      <c r="H8" s="16"/>
      <c r="J8" s="94"/>
      <c r="K8" s="94"/>
      <c r="L8" s="94"/>
      <c r="M8" s="94"/>
      <c r="N8" s="94"/>
      <c r="O8" s="94"/>
      <c r="P8" s="94"/>
      <c r="Q8" s="94"/>
      <c r="R8" s="94"/>
    </row>
    <row r="9" spans="1:18" x14ac:dyDescent="0.25">
      <c r="A9" s="18"/>
      <c r="B9" s="47" t="s">
        <v>257</v>
      </c>
      <c r="C9" s="47"/>
      <c r="D9" s="47"/>
      <c r="E9" s="47"/>
      <c r="F9" s="47"/>
      <c r="G9" s="47"/>
      <c r="H9" s="16"/>
      <c r="J9" s="94" t="s">
        <v>291</v>
      </c>
      <c r="K9" s="94"/>
      <c r="L9" s="94"/>
      <c r="M9" s="94"/>
      <c r="N9" s="94"/>
      <c r="O9" s="94"/>
      <c r="P9" s="94"/>
      <c r="Q9" s="94"/>
      <c r="R9" s="94"/>
    </row>
    <row r="10" spans="1:18" x14ac:dyDescent="0.25">
      <c r="A10" s="18"/>
      <c r="B10" s="47"/>
      <c r="C10" s="47"/>
      <c r="D10" s="47"/>
      <c r="E10" s="47"/>
      <c r="F10" s="47"/>
      <c r="G10" s="47"/>
      <c r="H10" s="16"/>
      <c r="J10" s="94"/>
      <c r="K10" s="94"/>
      <c r="L10" s="94"/>
      <c r="M10" s="94"/>
      <c r="N10" s="94"/>
      <c r="O10" s="94"/>
      <c r="P10" s="94"/>
      <c r="Q10" s="94"/>
      <c r="R10" s="94"/>
    </row>
    <row r="11" spans="1:18" x14ac:dyDescent="0.25">
      <c r="A11" s="18"/>
      <c r="B11" s="47" t="s">
        <v>260</v>
      </c>
      <c r="C11" s="47"/>
      <c r="D11" s="47"/>
      <c r="E11" s="47"/>
      <c r="F11" s="47"/>
      <c r="G11" s="47"/>
      <c r="H11" s="16"/>
      <c r="J11" s="94" t="s">
        <v>292</v>
      </c>
      <c r="K11" s="94"/>
      <c r="L11" s="94"/>
      <c r="M11" s="96">
        <f>L4*J7</f>
        <v>89409.722222222219</v>
      </c>
      <c r="N11" s="94"/>
      <c r="O11" s="94"/>
      <c r="P11" s="94"/>
      <c r="Q11" s="94"/>
      <c r="R11" s="94"/>
    </row>
    <row r="12" spans="1:18" x14ac:dyDescent="0.25">
      <c r="A12" s="18"/>
      <c r="B12" s="47" t="s">
        <v>261</v>
      </c>
      <c r="C12" s="47"/>
      <c r="D12" s="47"/>
      <c r="E12" s="47"/>
      <c r="F12" s="47"/>
      <c r="G12" s="47"/>
      <c r="H12" s="16"/>
      <c r="J12" s="94"/>
      <c r="K12" s="94"/>
      <c r="L12" s="94"/>
      <c r="M12" s="94"/>
      <c r="N12" s="94"/>
      <c r="O12" s="94"/>
      <c r="P12" s="94"/>
      <c r="Q12" s="94"/>
      <c r="R12" s="94"/>
    </row>
    <row r="13" spans="1:18" x14ac:dyDescent="0.25">
      <c r="A13" s="18"/>
      <c r="B13" s="47"/>
      <c r="C13" s="47"/>
      <c r="D13" s="47"/>
      <c r="E13" s="47"/>
      <c r="F13" s="47"/>
      <c r="G13" s="47"/>
      <c r="H13" s="16"/>
      <c r="I13" t="s">
        <v>11</v>
      </c>
      <c r="J13" s="94" t="s">
        <v>293</v>
      </c>
      <c r="K13" s="94"/>
      <c r="L13" s="94"/>
      <c r="M13" s="94"/>
      <c r="N13" s="94"/>
      <c r="O13" s="94"/>
      <c r="P13" s="94"/>
      <c r="Q13" s="94"/>
      <c r="R13" s="94"/>
    </row>
    <row r="14" spans="1:18" x14ac:dyDescent="0.25">
      <c r="A14" s="18"/>
      <c r="B14" s="47" t="s">
        <v>258</v>
      </c>
      <c r="C14" s="47"/>
      <c r="D14" s="47"/>
      <c r="E14" s="47"/>
      <c r="F14" s="47"/>
      <c r="G14" s="47"/>
      <c r="H14" s="16"/>
      <c r="J14" s="132" t="s">
        <v>238</v>
      </c>
      <c r="K14" s="144" t="s">
        <v>239</v>
      </c>
      <c r="L14" s="94"/>
      <c r="M14" s="94"/>
      <c r="N14" s="94"/>
      <c r="O14" s="94"/>
      <c r="P14" s="94"/>
      <c r="Q14" s="94"/>
      <c r="R14" s="94"/>
    </row>
    <row r="15" spans="1:18" x14ac:dyDescent="0.25">
      <c r="A15" s="18"/>
      <c r="B15" s="47" t="s">
        <v>259</v>
      </c>
      <c r="C15" s="47"/>
      <c r="D15" s="47"/>
      <c r="E15" s="47"/>
      <c r="F15" s="47"/>
      <c r="G15" s="47"/>
      <c r="H15" s="16"/>
      <c r="J15" s="145">
        <f>C29-100000</f>
        <v>0</v>
      </c>
      <c r="K15" s="141">
        <f>D29</f>
        <v>0.4</v>
      </c>
      <c r="L15" s="94"/>
      <c r="M15" s="94"/>
      <c r="N15" s="94"/>
      <c r="O15" s="94"/>
      <c r="P15" s="94"/>
      <c r="Q15" s="94"/>
      <c r="R15" s="94"/>
    </row>
    <row r="16" spans="1:18" x14ac:dyDescent="0.25">
      <c r="A16" s="18"/>
      <c r="B16" s="47"/>
      <c r="C16" s="47"/>
      <c r="D16" s="47"/>
      <c r="E16" s="47"/>
      <c r="F16" s="47"/>
      <c r="G16" s="47"/>
      <c r="H16" s="16"/>
      <c r="J16" s="145">
        <f t="shared" ref="J16:J18" si="0">C30-100000</f>
        <v>150000</v>
      </c>
      <c r="K16" s="141">
        <f t="shared" ref="K16:K18" si="1">D30</f>
        <v>0.35</v>
      </c>
      <c r="L16" s="94"/>
      <c r="M16" s="94"/>
      <c r="N16" s="94"/>
      <c r="O16" s="94"/>
      <c r="P16" s="94"/>
      <c r="Q16" s="94"/>
      <c r="R16" s="94"/>
    </row>
    <row r="17" spans="1:18" x14ac:dyDescent="0.25">
      <c r="A17" s="18"/>
      <c r="B17" s="47" t="s">
        <v>234</v>
      </c>
      <c r="C17" s="47"/>
      <c r="D17" s="47"/>
      <c r="E17" s="47"/>
      <c r="F17" s="47"/>
      <c r="G17" s="47"/>
      <c r="H17" s="16"/>
      <c r="J17" s="145">
        <f t="shared" si="0"/>
        <v>400000</v>
      </c>
      <c r="K17" s="141">
        <f t="shared" si="1"/>
        <v>0.24</v>
      </c>
      <c r="L17" s="94"/>
      <c r="M17" s="94"/>
      <c r="N17" s="94"/>
      <c r="O17" s="94"/>
      <c r="P17" s="94"/>
      <c r="Q17" s="94"/>
      <c r="R17" s="94"/>
    </row>
    <row r="18" spans="1:18" x14ac:dyDescent="0.25">
      <c r="A18" s="18"/>
      <c r="B18" s="47" t="s">
        <v>262</v>
      </c>
      <c r="C18" s="47"/>
      <c r="D18" s="47"/>
      <c r="E18" s="47"/>
      <c r="F18" s="47"/>
      <c r="G18" s="47"/>
      <c r="H18" s="16"/>
      <c r="J18" s="146">
        <f t="shared" si="0"/>
        <v>900000</v>
      </c>
      <c r="K18" s="143">
        <f t="shared" si="1"/>
        <v>0.01</v>
      </c>
      <c r="L18" s="94"/>
      <c r="M18" s="94"/>
      <c r="N18" s="94"/>
      <c r="O18" s="94"/>
      <c r="P18" s="94"/>
      <c r="Q18" s="94"/>
      <c r="R18" s="94"/>
    </row>
    <row r="19" spans="1:18" x14ac:dyDescent="0.25">
      <c r="A19" s="18"/>
      <c r="B19" s="47" t="s">
        <v>263</v>
      </c>
      <c r="C19" s="47"/>
      <c r="D19" s="47"/>
      <c r="E19" s="47"/>
      <c r="F19" s="47"/>
      <c r="G19" s="47"/>
      <c r="H19" s="16"/>
      <c r="J19" s="94"/>
      <c r="K19" s="94"/>
      <c r="L19" s="94"/>
      <c r="M19" s="94"/>
      <c r="N19" s="94"/>
      <c r="O19" s="94"/>
      <c r="P19" s="94"/>
      <c r="Q19" s="94"/>
      <c r="R19" s="94"/>
    </row>
    <row r="20" spans="1:18" x14ac:dyDescent="0.25">
      <c r="A20" s="18"/>
      <c r="B20" s="47"/>
      <c r="C20" s="113" t="s">
        <v>235</v>
      </c>
      <c r="D20" s="113" t="s">
        <v>236</v>
      </c>
      <c r="E20" s="47"/>
      <c r="F20" s="47"/>
      <c r="G20" s="47"/>
      <c r="H20" s="16"/>
      <c r="J20" s="94" t="s">
        <v>40</v>
      </c>
      <c r="K20" s="95">
        <f>SUMPRODUCT(J15:J18,K15:K18)</f>
        <v>157500</v>
      </c>
      <c r="L20" s="94"/>
      <c r="M20" s="94"/>
      <c r="N20" s="94"/>
      <c r="O20" s="94"/>
      <c r="P20" s="94"/>
      <c r="Q20" s="94"/>
      <c r="R20" s="94"/>
    </row>
    <row r="21" spans="1:18" x14ac:dyDescent="0.25">
      <c r="A21" s="18"/>
      <c r="B21" s="47"/>
      <c r="C21" s="98">
        <v>0</v>
      </c>
      <c r="D21" s="114">
        <v>0.8</v>
      </c>
      <c r="E21" s="47"/>
      <c r="F21" s="47"/>
      <c r="G21" s="47"/>
      <c r="H21" s="16"/>
      <c r="J21" s="94" t="s">
        <v>287</v>
      </c>
      <c r="K21" s="99">
        <f>SUMPRODUCT(C21:C23,D21:D23)</f>
        <v>0.25</v>
      </c>
      <c r="L21" s="94"/>
      <c r="M21" s="94"/>
      <c r="N21" s="94"/>
      <c r="O21" s="94"/>
      <c r="P21" s="94"/>
      <c r="Q21" s="94"/>
      <c r="R21" s="94"/>
    </row>
    <row r="22" spans="1:18" x14ac:dyDescent="0.25">
      <c r="A22" s="18"/>
      <c r="B22" s="47"/>
      <c r="C22" s="98">
        <v>1</v>
      </c>
      <c r="D22" s="114">
        <v>0.15</v>
      </c>
      <c r="E22" s="47"/>
      <c r="F22" s="47"/>
      <c r="G22" s="47"/>
      <c r="H22" s="16"/>
      <c r="J22" s="94" t="s">
        <v>223</v>
      </c>
      <c r="K22" s="95">
        <f>K21*K20</f>
        <v>39375</v>
      </c>
      <c r="L22" s="94"/>
      <c r="M22" s="94"/>
      <c r="N22" s="94"/>
      <c r="O22" s="94"/>
      <c r="P22" s="94"/>
      <c r="Q22" s="94"/>
      <c r="R22" s="94"/>
    </row>
    <row r="23" spans="1:18" x14ac:dyDescent="0.25">
      <c r="A23" s="18"/>
      <c r="B23" s="47"/>
      <c r="C23" s="98">
        <v>2</v>
      </c>
      <c r="D23" s="114">
        <v>0.05</v>
      </c>
      <c r="E23" s="47"/>
      <c r="F23" s="47"/>
      <c r="G23" s="47"/>
      <c r="H23" s="16"/>
      <c r="J23" s="94" t="s">
        <v>294</v>
      </c>
      <c r="K23" s="94"/>
      <c r="L23" s="94"/>
      <c r="M23" s="94"/>
      <c r="N23" s="94"/>
      <c r="O23" s="94"/>
      <c r="P23" s="94"/>
      <c r="Q23" s="94"/>
      <c r="R23" s="94"/>
    </row>
    <row r="24" spans="1:18" x14ac:dyDescent="0.25">
      <c r="A24" s="18"/>
      <c r="B24" s="47"/>
      <c r="C24" s="98" t="s">
        <v>237</v>
      </c>
      <c r="D24" s="114">
        <v>0</v>
      </c>
      <c r="E24" s="47"/>
      <c r="F24" s="47"/>
      <c r="G24" s="47"/>
      <c r="H24" s="16"/>
      <c r="J24" s="94"/>
      <c r="K24" s="94"/>
      <c r="L24" s="94"/>
      <c r="M24" s="94"/>
      <c r="N24" s="94"/>
      <c r="O24" s="94"/>
      <c r="P24" s="94"/>
      <c r="Q24" s="94"/>
      <c r="R24" s="94"/>
    </row>
    <row r="25" spans="1:18" x14ac:dyDescent="0.25">
      <c r="A25" s="18"/>
      <c r="B25" s="47"/>
      <c r="C25" s="47"/>
      <c r="D25" s="47"/>
      <c r="E25" s="47"/>
      <c r="F25" s="47"/>
      <c r="G25" s="47"/>
      <c r="H25" s="16"/>
      <c r="J25" s="94" t="s">
        <v>295</v>
      </c>
      <c r="K25" s="94"/>
      <c r="M25" s="139">
        <f>K22*J7</f>
        <v>54687.5</v>
      </c>
      <c r="N25" s="94"/>
      <c r="O25" s="94"/>
      <c r="P25" s="94"/>
      <c r="Q25" s="94"/>
      <c r="R25" s="94"/>
    </row>
    <row r="26" spans="1:18" x14ac:dyDescent="0.25">
      <c r="A26" s="18"/>
      <c r="B26" s="47" t="s">
        <v>264</v>
      </c>
      <c r="C26" s="47"/>
      <c r="D26" s="47"/>
      <c r="E26" s="47"/>
      <c r="F26" s="47"/>
      <c r="G26" s="47"/>
      <c r="H26" s="16"/>
      <c r="J26" s="94"/>
      <c r="K26" s="94"/>
      <c r="L26" s="94"/>
      <c r="M26" s="94"/>
      <c r="N26" s="94"/>
      <c r="O26" s="94"/>
      <c r="P26" s="94"/>
      <c r="Q26" s="94"/>
      <c r="R26" s="94"/>
    </row>
    <row r="27" spans="1:18" x14ac:dyDescent="0.25">
      <c r="A27" s="18"/>
      <c r="B27" s="47" t="s">
        <v>265</v>
      </c>
      <c r="C27" s="47"/>
      <c r="D27" s="47"/>
      <c r="E27" s="47"/>
      <c r="F27" s="47"/>
      <c r="G27" s="47"/>
      <c r="H27" s="16"/>
      <c r="I27" t="s">
        <v>12</v>
      </c>
      <c r="J27" s="94" t="s">
        <v>296</v>
      </c>
      <c r="K27" s="94"/>
      <c r="L27" s="94"/>
      <c r="M27" s="94"/>
      <c r="N27" s="94"/>
      <c r="O27" s="94"/>
      <c r="P27" s="94"/>
      <c r="Q27" s="94"/>
      <c r="R27" s="94"/>
    </row>
    <row r="28" spans="1:18" x14ac:dyDescent="0.25">
      <c r="A28" s="18"/>
      <c r="B28" s="47"/>
      <c r="C28" s="113" t="s">
        <v>238</v>
      </c>
      <c r="D28" s="113" t="s">
        <v>239</v>
      </c>
      <c r="E28" s="47"/>
      <c r="F28" s="47"/>
      <c r="G28" s="47"/>
      <c r="H28" s="16"/>
      <c r="J28" s="94" t="s">
        <v>297</v>
      </c>
      <c r="K28" s="94"/>
      <c r="L28" s="94"/>
      <c r="M28" s="94"/>
      <c r="N28" s="94"/>
      <c r="O28" s="94"/>
      <c r="P28" s="94"/>
      <c r="Q28" s="94"/>
      <c r="R28" s="94"/>
    </row>
    <row r="29" spans="1:18" x14ac:dyDescent="0.25">
      <c r="A29" s="18"/>
      <c r="B29" s="47"/>
      <c r="C29" s="115">
        <v>100000</v>
      </c>
      <c r="D29" s="114">
        <v>0.4</v>
      </c>
      <c r="E29" s="47"/>
      <c r="F29" s="47"/>
      <c r="G29" s="47"/>
      <c r="H29" s="16"/>
      <c r="J29" s="94" t="s">
        <v>298</v>
      </c>
      <c r="K29" s="94"/>
      <c r="L29" s="94"/>
      <c r="M29" s="94"/>
      <c r="N29" s="94"/>
      <c r="O29" s="94"/>
      <c r="P29" s="94"/>
      <c r="Q29" s="94"/>
      <c r="R29" s="94"/>
    </row>
    <row r="30" spans="1:18" x14ac:dyDescent="0.25">
      <c r="A30" s="18"/>
      <c r="B30" s="47"/>
      <c r="C30" s="115">
        <v>250000</v>
      </c>
      <c r="D30" s="114">
        <v>0.35</v>
      </c>
      <c r="E30" s="47"/>
      <c r="F30" s="47"/>
      <c r="G30" s="47"/>
      <c r="H30" s="16"/>
      <c r="J30" s="147" t="s">
        <v>299</v>
      </c>
      <c r="K30" s="148" t="s">
        <v>300</v>
      </c>
      <c r="L30" s="147" t="s">
        <v>301</v>
      </c>
      <c r="M30" s="149" t="s">
        <v>302</v>
      </c>
      <c r="N30" s="149" t="s">
        <v>303</v>
      </c>
      <c r="O30" s="94"/>
      <c r="P30" s="94"/>
      <c r="Q30" s="94"/>
      <c r="R30" s="94"/>
    </row>
    <row r="31" spans="1:18" x14ac:dyDescent="0.25">
      <c r="A31" s="18"/>
      <c r="B31" s="47"/>
      <c r="C31" s="115">
        <v>500000</v>
      </c>
      <c r="D31" s="114">
        <v>0.24</v>
      </c>
      <c r="E31" s="47"/>
      <c r="F31" s="47"/>
      <c r="G31" s="47"/>
      <c r="H31" s="16"/>
      <c r="J31" s="150">
        <v>1000000</v>
      </c>
      <c r="K31" s="151">
        <v>100000</v>
      </c>
      <c r="L31" s="156">
        <f>D32*D29</f>
        <v>4.0000000000000001E-3</v>
      </c>
      <c r="M31" s="157">
        <v>2</v>
      </c>
      <c r="N31" s="152">
        <f>K31</f>
        <v>100000</v>
      </c>
      <c r="O31" s="94"/>
      <c r="P31" s="94"/>
      <c r="Q31" s="94"/>
      <c r="R31" s="94"/>
    </row>
    <row r="32" spans="1:18" x14ac:dyDescent="0.25">
      <c r="A32" s="18"/>
      <c r="B32" s="47"/>
      <c r="C32" s="115">
        <v>1000000</v>
      </c>
      <c r="D32" s="114">
        <v>0.01</v>
      </c>
      <c r="E32" s="47"/>
      <c r="F32" s="47"/>
      <c r="G32" s="47"/>
      <c r="H32" s="16"/>
      <c r="J32" s="140">
        <v>1000000</v>
      </c>
      <c r="K32" s="135">
        <v>250000</v>
      </c>
      <c r="L32" s="158">
        <f>D32*D30</f>
        <v>3.4999999999999996E-3</v>
      </c>
      <c r="M32" s="159">
        <v>2</v>
      </c>
      <c r="N32" s="153">
        <f t="shared" ref="N32:N34" si="2">K32</f>
        <v>250000</v>
      </c>
      <c r="O32" s="94"/>
      <c r="P32" s="94"/>
      <c r="Q32" s="94"/>
      <c r="R32" s="94"/>
    </row>
    <row r="33" spans="1:18" x14ac:dyDescent="0.25">
      <c r="A33" s="18"/>
      <c r="B33" s="47"/>
      <c r="C33" s="47"/>
      <c r="D33" s="47"/>
      <c r="E33" s="47"/>
      <c r="F33" s="47"/>
      <c r="G33" s="47"/>
      <c r="H33" s="16"/>
      <c r="J33" s="140">
        <v>1000000</v>
      </c>
      <c r="K33" s="135">
        <v>500000</v>
      </c>
      <c r="L33" s="158">
        <f>D32*D31</f>
        <v>2.3999999999999998E-3</v>
      </c>
      <c r="M33" s="159">
        <v>2</v>
      </c>
      <c r="N33" s="153">
        <f t="shared" si="2"/>
        <v>500000</v>
      </c>
      <c r="O33" s="94"/>
      <c r="P33" s="94"/>
      <c r="Q33" s="94"/>
      <c r="R33" s="94"/>
    </row>
    <row r="34" spans="1:18" x14ac:dyDescent="0.25">
      <c r="A34" s="18"/>
      <c r="B34" s="47" t="s">
        <v>240</v>
      </c>
      <c r="C34" s="47"/>
      <c r="D34" s="47"/>
      <c r="E34" s="47"/>
      <c r="F34" s="47"/>
      <c r="G34" s="47"/>
      <c r="H34" s="16"/>
      <c r="J34" s="142">
        <v>1000000</v>
      </c>
      <c r="K34" s="154">
        <v>1000000</v>
      </c>
      <c r="L34" s="160">
        <f>D32*D32</f>
        <v>1E-4</v>
      </c>
      <c r="M34" s="161">
        <v>1</v>
      </c>
      <c r="N34" s="155">
        <f t="shared" si="2"/>
        <v>1000000</v>
      </c>
      <c r="O34" s="94"/>
      <c r="P34" s="94"/>
      <c r="Q34" s="94"/>
      <c r="R34" s="94"/>
    </row>
    <row r="35" spans="1:18" x14ac:dyDescent="0.25">
      <c r="A35" s="18"/>
      <c r="B35" s="119" t="s">
        <v>241</v>
      </c>
      <c r="C35" s="120"/>
      <c r="D35" s="129">
        <v>0</v>
      </c>
      <c r="E35" s="121" t="s">
        <v>242</v>
      </c>
      <c r="F35" s="122"/>
      <c r="G35" s="47"/>
      <c r="H35" s="16"/>
      <c r="J35" s="94"/>
      <c r="K35" s="94"/>
      <c r="L35" s="94"/>
      <c r="M35" s="94"/>
      <c r="N35" s="94"/>
      <c r="O35" s="94"/>
      <c r="P35" s="94"/>
      <c r="Q35" s="94"/>
      <c r="R35" s="94"/>
    </row>
    <row r="36" spans="1:18" x14ac:dyDescent="0.25">
      <c r="A36" s="18"/>
      <c r="B36" s="123" t="s">
        <v>243</v>
      </c>
      <c r="C36" s="84"/>
      <c r="D36" s="130">
        <v>0.08</v>
      </c>
      <c r="E36" s="47" t="s">
        <v>244</v>
      </c>
      <c r="F36" s="124"/>
      <c r="G36" s="47"/>
      <c r="H36" s="16"/>
      <c r="J36" s="94" t="s">
        <v>40</v>
      </c>
      <c r="K36" s="95">
        <f>SUMPRODUCT(L31:L34,M31:M34,N31:N34)</f>
        <v>5050</v>
      </c>
      <c r="L36" s="94"/>
      <c r="M36" s="94"/>
      <c r="N36" s="94"/>
      <c r="O36" s="94"/>
      <c r="P36" s="94"/>
      <c r="Q36" s="94"/>
      <c r="R36" s="94"/>
    </row>
    <row r="37" spans="1:18" x14ac:dyDescent="0.25">
      <c r="A37" s="18"/>
      <c r="B37" s="123" t="s">
        <v>245</v>
      </c>
      <c r="C37" s="84"/>
      <c r="D37" s="130">
        <v>0.1</v>
      </c>
      <c r="E37" s="47" t="s">
        <v>244</v>
      </c>
      <c r="F37" s="124"/>
      <c r="G37" s="47"/>
      <c r="H37" s="16"/>
      <c r="J37" s="94" t="s">
        <v>304</v>
      </c>
      <c r="K37" s="94"/>
      <c r="L37" s="136">
        <f>SUM(D23:D24)</f>
        <v>0.05</v>
      </c>
      <c r="M37" s="94"/>
      <c r="N37" s="94"/>
      <c r="O37" s="94"/>
      <c r="P37" s="94"/>
      <c r="Q37" s="94"/>
      <c r="R37" s="94"/>
    </row>
    <row r="38" spans="1:18" x14ac:dyDescent="0.25">
      <c r="A38" s="18"/>
      <c r="B38" s="123" t="s">
        <v>246</v>
      </c>
      <c r="C38" s="84"/>
      <c r="D38" s="130">
        <v>0.05</v>
      </c>
      <c r="E38" s="47" t="s">
        <v>244</v>
      </c>
      <c r="F38" s="124"/>
      <c r="G38" s="47"/>
      <c r="H38" s="16"/>
      <c r="J38" s="94" t="s">
        <v>305</v>
      </c>
      <c r="K38" s="100">
        <f>K36*L37</f>
        <v>252.5</v>
      </c>
      <c r="L38" s="94"/>
      <c r="M38" s="94"/>
      <c r="N38" s="94"/>
      <c r="O38" s="94"/>
      <c r="P38" s="94"/>
      <c r="Q38" s="94"/>
      <c r="R38" s="94"/>
    </row>
    <row r="39" spans="1:18" x14ac:dyDescent="0.25">
      <c r="A39" s="18"/>
      <c r="B39" s="125" t="s">
        <v>247</v>
      </c>
      <c r="C39" s="126"/>
      <c r="D39" s="131">
        <v>0.05</v>
      </c>
      <c r="E39" s="127" t="s">
        <v>244</v>
      </c>
      <c r="F39" s="128"/>
      <c r="G39" s="47"/>
      <c r="H39" s="16"/>
      <c r="J39" s="94" t="s">
        <v>306</v>
      </c>
      <c r="K39" s="94"/>
      <c r="L39" s="94"/>
      <c r="M39" s="94"/>
      <c r="N39" s="94"/>
      <c r="O39" s="94"/>
      <c r="P39" s="94"/>
      <c r="Q39" s="94"/>
      <c r="R39" s="94"/>
    </row>
    <row r="40" spans="1:18" x14ac:dyDescent="0.25">
      <c r="A40" s="18"/>
      <c r="B40" s="47"/>
      <c r="C40" s="47"/>
      <c r="D40" s="47"/>
      <c r="E40" s="47"/>
      <c r="F40" s="47"/>
      <c r="G40" s="47"/>
      <c r="H40" s="16"/>
      <c r="J40" s="94"/>
      <c r="K40" s="94"/>
      <c r="L40" s="94"/>
      <c r="M40" s="94"/>
      <c r="N40" s="94"/>
      <c r="O40" s="94"/>
      <c r="P40" s="94"/>
      <c r="Q40" s="94"/>
      <c r="R40" s="94"/>
    </row>
    <row r="41" spans="1:18" x14ac:dyDescent="0.25">
      <c r="A41" s="18"/>
      <c r="B41" s="47" t="s">
        <v>248</v>
      </c>
      <c r="C41" s="47"/>
      <c r="D41" s="47"/>
      <c r="E41" s="47"/>
      <c r="F41" s="47"/>
      <c r="G41" s="47"/>
      <c r="H41" s="16"/>
      <c r="J41" s="94" t="s">
        <v>307</v>
      </c>
      <c r="K41" s="94"/>
      <c r="L41" s="162">
        <f>K38*J7</f>
        <v>350.69444444444446</v>
      </c>
      <c r="M41" s="94"/>
      <c r="N41" s="94"/>
      <c r="O41" s="94"/>
      <c r="P41" s="94"/>
      <c r="Q41" s="94"/>
      <c r="R41" s="94"/>
    </row>
    <row r="42" spans="1:18" x14ac:dyDescent="0.25">
      <c r="A42" s="18"/>
      <c r="B42" s="47"/>
      <c r="C42" s="47"/>
      <c r="D42" s="47"/>
      <c r="E42" s="47"/>
      <c r="F42" s="47"/>
      <c r="G42" s="47"/>
      <c r="H42" s="16"/>
      <c r="J42" s="94"/>
      <c r="K42" s="94"/>
      <c r="L42" s="94"/>
      <c r="M42" s="94"/>
      <c r="N42" s="94"/>
      <c r="O42" s="94"/>
      <c r="P42" s="94"/>
      <c r="Q42" s="94"/>
      <c r="R42" s="94"/>
    </row>
    <row r="43" spans="1:18" x14ac:dyDescent="0.25">
      <c r="A43" s="52" t="s">
        <v>10</v>
      </c>
      <c r="B43" s="47" t="s">
        <v>266</v>
      </c>
      <c r="C43" s="47"/>
      <c r="D43" s="47"/>
      <c r="E43" s="47"/>
      <c r="F43" s="47"/>
      <c r="G43" s="47"/>
      <c r="H43" s="16"/>
      <c r="I43" t="s">
        <v>326</v>
      </c>
      <c r="J43" s="94" t="s">
        <v>308</v>
      </c>
      <c r="K43" s="94"/>
      <c r="L43" s="94"/>
      <c r="M43" s="94"/>
      <c r="N43" s="94"/>
      <c r="O43" s="94"/>
      <c r="P43" s="94"/>
      <c r="Q43" s="94"/>
      <c r="R43" s="94"/>
    </row>
    <row r="44" spans="1:18" x14ac:dyDescent="0.25">
      <c r="A44" s="18"/>
      <c r="B44" s="47"/>
      <c r="C44" s="47"/>
      <c r="D44" s="47"/>
      <c r="E44" s="47"/>
      <c r="F44" s="47"/>
      <c r="G44" s="47"/>
      <c r="H44" s="16"/>
      <c r="J44" s="94" t="s">
        <v>309</v>
      </c>
      <c r="K44" s="94"/>
      <c r="L44" s="94"/>
      <c r="M44" s="94"/>
      <c r="N44" s="94"/>
      <c r="O44" s="94"/>
      <c r="P44" s="94"/>
      <c r="Q44" s="94"/>
      <c r="R44" s="94"/>
    </row>
    <row r="45" spans="1:18" x14ac:dyDescent="0.25">
      <c r="A45" s="18"/>
      <c r="B45" s="47" t="s">
        <v>267</v>
      </c>
      <c r="C45" s="47"/>
      <c r="D45" s="47"/>
      <c r="E45" s="47"/>
      <c r="F45" s="47"/>
      <c r="G45" s="47"/>
      <c r="H45" s="16"/>
      <c r="J45" s="94" t="s">
        <v>310</v>
      </c>
      <c r="K45" s="94"/>
      <c r="L45" s="94"/>
      <c r="M45" s="94"/>
      <c r="N45" s="94"/>
      <c r="O45" s="94"/>
      <c r="P45" s="94"/>
      <c r="Q45" s="94"/>
      <c r="R45" s="94"/>
    </row>
    <row r="46" spans="1:18" x14ac:dyDescent="0.25">
      <c r="A46" s="18"/>
      <c r="B46" s="47" t="s">
        <v>268</v>
      </c>
      <c r="C46" s="47"/>
      <c r="D46" s="47"/>
      <c r="E46" s="47"/>
      <c r="F46" s="47"/>
      <c r="G46" s="47"/>
      <c r="H46" s="16"/>
      <c r="J46" s="132" t="s">
        <v>311</v>
      </c>
      <c r="K46" s="132" t="s">
        <v>301</v>
      </c>
      <c r="L46" s="94"/>
      <c r="M46" s="94"/>
      <c r="N46" s="94"/>
      <c r="O46" s="94"/>
      <c r="P46" s="94"/>
      <c r="Q46" s="94"/>
      <c r="R46" s="94"/>
    </row>
    <row r="47" spans="1:18" x14ac:dyDescent="0.25">
      <c r="A47" s="18"/>
      <c r="B47" s="47"/>
      <c r="C47" s="47"/>
      <c r="D47" s="47"/>
      <c r="E47" s="47"/>
      <c r="F47" s="47"/>
      <c r="G47" s="47"/>
      <c r="H47" s="16"/>
      <c r="J47" s="133">
        <f>IF(C29&lt;=250000,0,C29)</f>
        <v>0</v>
      </c>
      <c r="K47" s="134">
        <f>D29</f>
        <v>0.4</v>
      </c>
      <c r="L47" s="94"/>
      <c r="M47" s="94"/>
      <c r="N47" s="94"/>
      <c r="O47" s="94"/>
      <c r="P47" s="94"/>
      <c r="Q47" s="94"/>
      <c r="R47" s="94"/>
    </row>
    <row r="48" spans="1:18" x14ac:dyDescent="0.25">
      <c r="A48" s="18"/>
      <c r="B48" s="47" t="s">
        <v>269</v>
      </c>
      <c r="C48" s="47"/>
      <c r="D48" s="47"/>
      <c r="E48" s="47"/>
      <c r="F48" s="47"/>
      <c r="G48" s="47"/>
      <c r="H48" s="16"/>
      <c r="J48" s="133">
        <f>IF(C30&lt;=250000,0,C30)</f>
        <v>0</v>
      </c>
      <c r="K48" s="134">
        <f t="shared" ref="K48:K50" si="3">D30</f>
        <v>0.35</v>
      </c>
      <c r="L48" s="94"/>
      <c r="M48" s="94"/>
      <c r="N48" s="94"/>
      <c r="O48" s="94"/>
      <c r="P48" s="94"/>
      <c r="Q48" s="94"/>
      <c r="R48" s="94"/>
    </row>
    <row r="49" spans="1:18" x14ac:dyDescent="0.25">
      <c r="A49" s="18"/>
      <c r="B49" s="47" t="s">
        <v>270</v>
      </c>
      <c r="C49" s="47"/>
      <c r="D49" s="47"/>
      <c r="E49" s="47"/>
      <c r="F49" s="47"/>
      <c r="G49" s="47"/>
      <c r="H49" s="16"/>
      <c r="J49" s="133">
        <f>IF(C31&lt;=250000,0,C31)</f>
        <v>500000</v>
      </c>
      <c r="K49" s="134">
        <f t="shared" si="3"/>
        <v>0.24</v>
      </c>
      <c r="L49" s="94"/>
      <c r="M49" s="94"/>
      <c r="N49" s="94"/>
      <c r="O49" s="94"/>
      <c r="P49" s="94"/>
      <c r="Q49" s="94"/>
      <c r="R49" s="94"/>
    </row>
    <row r="50" spans="1:18" x14ac:dyDescent="0.25">
      <c r="A50" s="18"/>
      <c r="B50" s="47"/>
      <c r="C50" s="47"/>
      <c r="D50" s="47"/>
      <c r="E50" s="47"/>
      <c r="F50" s="47"/>
      <c r="G50" s="47"/>
      <c r="H50" s="16"/>
      <c r="J50" s="133">
        <f>IF(C32&lt;=250000,0,C32)</f>
        <v>1000000</v>
      </c>
      <c r="K50" s="134">
        <f t="shared" si="3"/>
        <v>0.01</v>
      </c>
      <c r="L50" s="94"/>
      <c r="M50" s="94"/>
      <c r="N50" s="94"/>
      <c r="O50" s="94"/>
      <c r="P50" s="94"/>
      <c r="Q50" s="94"/>
      <c r="R50" s="94"/>
    </row>
    <row r="51" spans="1:18" x14ac:dyDescent="0.25">
      <c r="A51" s="18"/>
      <c r="B51" s="47" t="s">
        <v>271</v>
      </c>
      <c r="C51" s="47"/>
      <c r="D51" s="47"/>
      <c r="E51" s="47"/>
      <c r="F51" s="47"/>
      <c r="G51" s="47"/>
      <c r="H51" s="16"/>
      <c r="J51" s="94"/>
      <c r="K51" s="94"/>
      <c r="L51" s="94"/>
      <c r="M51" s="94"/>
      <c r="N51" s="94"/>
      <c r="O51" s="94"/>
      <c r="P51" s="94"/>
      <c r="Q51" s="94"/>
      <c r="R51" s="94"/>
    </row>
    <row r="52" spans="1:18" x14ac:dyDescent="0.25">
      <c r="A52" s="18"/>
      <c r="B52" s="47" t="s">
        <v>272</v>
      </c>
      <c r="C52" s="47"/>
      <c r="D52" s="47"/>
      <c r="E52" s="47"/>
      <c r="F52" s="47"/>
      <c r="G52" s="47"/>
      <c r="H52" s="16"/>
      <c r="J52" s="94" t="s">
        <v>40</v>
      </c>
      <c r="K52" s="95">
        <f>SUMPRODUCT(J47:J50,K47:K50)</f>
        <v>130000</v>
      </c>
      <c r="L52" s="94"/>
      <c r="M52" s="94"/>
      <c r="N52" s="94"/>
      <c r="O52" s="94"/>
      <c r="P52" s="94"/>
      <c r="Q52" s="94"/>
      <c r="R52" s="94"/>
    </row>
    <row r="53" spans="1:18" x14ac:dyDescent="0.25">
      <c r="A53" s="18"/>
      <c r="B53" s="47"/>
      <c r="C53" s="47"/>
      <c r="D53" s="47"/>
      <c r="E53" s="47"/>
      <c r="F53" s="47"/>
      <c r="G53" s="47"/>
      <c r="H53" s="16"/>
      <c r="J53" s="94" t="s">
        <v>287</v>
      </c>
      <c r="K53" s="99">
        <f>SUMPRODUCT(C21:C23,D21:D23)</f>
        <v>0.25</v>
      </c>
      <c r="L53" s="94"/>
      <c r="M53" s="94"/>
      <c r="N53" s="94"/>
      <c r="O53" s="94"/>
      <c r="P53" s="94"/>
      <c r="Q53" s="94"/>
      <c r="R53" s="94"/>
    </row>
    <row r="54" spans="1:18" x14ac:dyDescent="0.25">
      <c r="A54" s="18"/>
      <c r="B54" s="47" t="s">
        <v>273</v>
      </c>
      <c r="C54" s="47"/>
      <c r="D54" s="47"/>
      <c r="E54" s="47"/>
      <c r="F54" s="47"/>
      <c r="G54" s="47"/>
      <c r="H54" s="16"/>
      <c r="J54" s="94" t="s">
        <v>305</v>
      </c>
      <c r="K54" s="95">
        <f>K52*K53</f>
        <v>32500</v>
      </c>
      <c r="L54" s="94"/>
      <c r="M54" s="94"/>
      <c r="N54" s="94"/>
      <c r="O54" s="94"/>
      <c r="P54" s="94"/>
      <c r="Q54" s="94"/>
      <c r="R54" s="94"/>
    </row>
    <row r="55" spans="1:18" x14ac:dyDescent="0.25">
      <c r="A55" s="18"/>
      <c r="B55" s="47" t="s">
        <v>274</v>
      </c>
      <c r="C55" s="47"/>
      <c r="D55" s="47"/>
      <c r="E55" s="47"/>
      <c r="F55" s="47"/>
      <c r="G55" s="47"/>
      <c r="H55" s="16"/>
      <c r="J55" s="94" t="s">
        <v>294</v>
      </c>
      <c r="K55" s="94"/>
      <c r="L55" s="94"/>
      <c r="M55" s="94"/>
      <c r="N55" s="94"/>
      <c r="O55" s="94"/>
      <c r="P55" s="94"/>
      <c r="Q55" s="94"/>
      <c r="R55" s="94"/>
    </row>
    <row r="56" spans="1:18" x14ac:dyDescent="0.25">
      <c r="A56" s="18"/>
      <c r="B56" s="47"/>
      <c r="C56" s="47"/>
      <c r="D56" s="47"/>
      <c r="E56" s="47"/>
      <c r="F56" s="47"/>
      <c r="G56" s="47"/>
      <c r="H56" s="16"/>
      <c r="J56" s="94" t="s">
        <v>307</v>
      </c>
      <c r="K56" s="94"/>
      <c r="L56" s="96">
        <f>K54*J7</f>
        <v>45138.888888888891</v>
      </c>
      <c r="M56" s="94"/>
      <c r="N56" s="94"/>
      <c r="O56" s="94"/>
      <c r="P56" s="94"/>
      <c r="Q56" s="94"/>
      <c r="R56" s="94"/>
    </row>
    <row r="57" spans="1:18" x14ac:dyDescent="0.25">
      <c r="A57" s="18"/>
      <c r="B57" s="47" t="s">
        <v>275</v>
      </c>
      <c r="C57" s="47"/>
      <c r="D57" s="47"/>
      <c r="E57" s="47"/>
      <c r="F57" s="47"/>
      <c r="G57" s="47"/>
      <c r="H57" s="16"/>
      <c r="J57" s="94"/>
      <c r="K57" s="94"/>
      <c r="L57" s="94"/>
      <c r="M57" s="94"/>
      <c r="N57" s="94"/>
      <c r="O57" s="94"/>
      <c r="P57" s="94"/>
      <c r="Q57" s="94"/>
      <c r="R57" s="94"/>
    </row>
    <row r="58" spans="1:18" x14ac:dyDescent="0.25">
      <c r="A58" s="18"/>
      <c r="B58" s="47" t="s">
        <v>276</v>
      </c>
      <c r="C58" s="47"/>
      <c r="D58" s="47"/>
      <c r="E58" s="47"/>
      <c r="F58" s="47"/>
      <c r="G58" s="47"/>
      <c r="H58" s="16"/>
      <c r="I58" t="s">
        <v>327</v>
      </c>
      <c r="J58" s="94" t="s">
        <v>312</v>
      </c>
      <c r="K58" s="94"/>
      <c r="L58" s="94"/>
      <c r="M58" s="94"/>
      <c r="N58" s="94"/>
      <c r="O58" s="94"/>
      <c r="P58" s="94"/>
      <c r="Q58" s="94"/>
      <c r="R58" s="94"/>
    </row>
    <row r="59" spans="1:18" x14ac:dyDescent="0.25">
      <c r="A59" s="18"/>
      <c r="B59" s="47"/>
      <c r="C59" s="47"/>
      <c r="D59" s="47"/>
      <c r="E59" s="47"/>
      <c r="F59" s="47"/>
      <c r="G59" s="47"/>
      <c r="H59" s="16"/>
      <c r="J59" s="94" t="s">
        <v>313</v>
      </c>
      <c r="K59" s="94"/>
      <c r="L59" s="94"/>
      <c r="M59" s="94"/>
      <c r="N59" s="94"/>
      <c r="O59" s="94"/>
      <c r="P59" s="94"/>
      <c r="Q59" s="94"/>
      <c r="R59" s="94"/>
    </row>
    <row r="60" spans="1:18" x14ac:dyDescent="0.25">
      <c r="A60" s="18"/>
      <c r="B60" s="47" t="s">
        <v>283</v>
      </c>
      <c r="C60" s="47"/>
      <c r="D60" s="47"/>
      <c r="E60" s="47"/>
      <c r="F60" s="47"/>
      <c r="G60" s="47"/>
      <c r="H60" s="16"/>
      <c r="J60" s="94" t="s">
        <v>314</v>
      </c>
      <c r="K60" s="94"/>
      <c r="L60" s="94"/>
      <c r="M60" s="94"/>
      <c r="N60" s="94"/>
      <c r="O60" s="94"/>
      <c r="P60" s="94"/>
      <c r="Q60" s="94"/>
      <c r="R60" s="94"/>
    </row>
    <row r="61" spans="1:18" x14ac:dyDescent="0.25">
      <c r="A61" s="18"/>
      <c r="B61" s="47" t="s">
        <v>284</v>
      </c>
      <c r="C61" s="47"/>
      <c r="D61" s="47"/>
      <c r="E61" s="47"/>
      <c r="F61" s="47"/>
      <c r="G61" s="47"/>
      <c r="H61" s="16"/>
      <c r="J61" s="94" t="s">
        <v>315</v>
      </c>
      <c r="K61" s="94"/>
      <c r="L61" s="94"/>
      <c r="M61" s="94"/>
      <c r="N61" s="94"/>
      <c r="O61" s="94"/>
      <c r="P61" s="94"/>
      <c r="Q61" s="94"/>
      <c r="R61" s="94"/>
    </row>
    <row r="62" spans="1:18" x14ac:dyDescent="0.25">
      <c r="A62" s="18"/>
      <c r="B62" s="47" t="s">
        <v>285</v>
      </c>
      <c r="C62" s="47"/>
      <c r="D62" s="47"/>
      <c r="E62" s="47"/>
      <c r="F62" s="47"/>
      <c r="G62" s="47"/>
      <c r="H62" s="16"/>
      <c r="J62" s="94" t="s">
        <v>316</v>
      </c>
      <c r="K62" s="94"/>
      <c r="L62" s="94"/>
      <c r="M62" s="94"/>
      <c r="N62" s="94"/>
      <c r="O62" s="94"/>
      <c r="P62" s="94"/>
      <c r="Q62" s="94"/>
      <c r="R62" s="94"/>
    </row>
    <row r="63" spans="1:18" x14ac:dyDescent="0.25">
      <c r="A63" s="18"/>
      <c r="B63" s="47" t="s">
        <v>249</v>
      </c>
      <c r="C63" s="47"/>
      <c r="D63" s="47"/>
      <c r="E63" s="47"/>
      <c r="F63" s="47"/>
      <c r="G63" s="47"/>
      <c r="H63" s="16"/>
      <c r="J63" s="163">
        <f>L4-K38</f>
        <v>64122.5</v>
      </c>
      <c r="K63" s="94"/>
      <c r="L63" s="94"/>
      <c r="M63" s="94"/>
      <c r="N63" s="94"/>
      <c r="O63" s="94"/>
      <c r="P63" s="94"/>
      <c r="Q63" s="94"/>
      <c r="R63" s="94"/>
    </row>
    <row r="64" spans="1:18" x14ac:dyDescent="0.25">
      <c r="A64" s="18"/>
      <c r="B64" s="47" t="s">
        <v>250</v>
      </c>
      <c r="C64" s="47"/>
      <c r="D64" s="47"/>
      <c r="E64" s="47"/>
      <c r="F64" s="47"/>
      <c r="G64" s="47"/>
      <c r="H64" s="16"/>
      <c r="J64" s="94"/>
      <c r="K64" s="94"/>
      <c r="L64" s="94"/>
      <c r="M64" s="94"/>
      <c r="N64" s="94"/>
      <c r="O64" s="94"/>
      <c r="P64" s="94"/>
      <c r="Q64" s="94"/>
      <c r="R64" s="94"/>
    </row>
    <row r="65" spans="1:18" x14ac:dyDescent="0.25">
      <c r="A65" s="18"/>
      <c r="B65" s="47" t="s">
        <v>251</v>
      </c>
      <c r="C65" s="47"/>
      <c r="D65" s="47"/>
      <c r="E65" s="47"/>
      <c r="F65" s="47"/>
      <c r="G65" s="47"/>
      <c r="H65" s="16"/>
      <c r="I65" t="s">
        <v>328</v>
      </c>
      <c r="J65" s="94" t="s">
        <v>317</v>
      </c>
      <c r="K65" s="94"/>
      <c r="L65" s="94"/>
      <c r="M65" s="94"/>
      <c r="N65" s="94"/>
      <c r="O65" s="94"/>
      <c r="P65" s="94"/>
      <c r="Q65" s="94"/>
      <c r="R65" s="94"/>
    </row>
    <row r="66" spans="1:18" x14ac:dyDescent="0.25">
      <c r="A66" s="18"/>
      <c r="B66" s="47"/>
      <c r="C66" s="47"/>
      <c r="D66" s="47"/>
      <c r="E66" s="47"/>
      <c r="F66" s="47"/>
      <c r="G66" s="47"/>
      <c r="H66" s="16"/>
      <c r="J66" s="94" t="s">
        <v>318</v>
      </c>
      <c r="K66" s="94"/>
      <c r="L66" s="94"/>
      <c r="M66" s="94"/>
      <c r="N66" s="94"/>
      <c r="O66" s="94"/>
      <c r="P66" s="94"/>
      <c r="Q66" s="94"/>
      <c r="R66" s="94"/>
    </row>
    <row r="67" spans="1:18" x14ac:dyDescent="0.25">
      <c r="A67" s="18"/>
      <c r="B67" s="47" t="s">
        <v>325</v>
      </c>
      <c r="C67" s="47"/>
      <c r="D67" s="47"/>
      <c r="E67" s="47"/>
      <c r="F67" s="47"/>
      <c r="G67" s="47"/>
      <c r="H67" s="16"/>
      <c r="J67" s="94" t="s">
        <v>329</v>
      </c>
      <c r="K67" s="94"/>
      <c r="L67" s="94"/>
      <c r="M67" s="94"/>
      <c r="N67" s="94"/>
      <c r="O67" s="94"/>
      <c r="P67" s="94"/>
      <c r="Q67" s="94"/>
      <c r="R67" s="99">
        <f>K22/L4</f>
        <v>0.61165048543689315</v>
      </c>
    </row>
    <row r="68" spans="1:18" x14ac:dyDescent="0.25">
      <c r="A68" s="18"/>
      <c r="B68" s="47" t="s">
        <v>277</v>
      </c>
      <c r="C68" s="47"/>
      <c r="D68" s="47"/>
      <c r="E68" s="47"/>
      <c r="F68" s="47"/>
      <c r="G68" s="47"/>
      <c r="H68" s="16"/>
      <c r="K68" s="94"/>
      <c r="L68" s="94"/>
      <c r="M68" s="94"/>
      <c r="N68" s="94"/>
      <c r="O68" s="94"/>
      <c r="P68" s="94"/>
      <c r="Q68" s="94"/>
      <c r="R68" s="94"/>
    </row>
    <row r="69" spans="1:18" x14ac:dyDescent="0.25">
      <c r="A69" s="18"/>
      <c r="B69" s="47" t="s">
        <v>278</v>
      </c>
      <c r="C69" s="47"/>
      <c r="D69" s="47"/>
      <c r="E69" s="47"/>
      <c r="F69" s="47"/>
      <c r="G69" s="47"/>
      <c r="H69" s="16"/>
      <c r="J69" s="94" t="s">
        <v>330</v>
      </c>
      <c r="K69" s="94"/>
      <c r="L69" s="94"/>
      <c r="M69" s="94"/>
      <c r="N69" s="94"/>
      <c r="O69" s="94"/>
      <c r="P69" s="94"/>
      <c r="Q69" s="94"/>
      <c r="R69" s="100">
        <f>R67*45000</f>
        <v>27524.27184466019</v>
      </c>
    </row>
    <row r="70" spans="1:18" x14ac:dyDescent="0.25">
      <c r="A70" s="18"/>
      <c r="B70" s="47" t="s">
        <v>252</v>
      </c>
      <c r="C70" s="47"/>
      <c r="D70" s="47"/>
      <c r="E70" s="47"/>
      <c r="F70" s="47"/>
      <c r="G70" s="47"/>
      <c r="H70" s="16"/>
      <c r="K70" s="94"/>
      <c r="L70" s="94"/>
      <c r="M70" s="94"/>
      <c r="N70" s="94"/>
      <c r="O70" s="94"/>
      <c r="P70" s="94"/>
      <c r="Q70" s="94"/>
      <c r="R70" s="94"/>
    </row>
    <row r="71" spans="1:18" x14ac:dyDescent="0.25">
      <c r="A71" s="18"/>
      <c r="B71" s="47"/>
      <c r="C71" s="47"/>
      <c r="D71" s="47"/>
      <c r="E71" s="47"/>
      <c r="F71" s="47"/>
      <c r="G71" s="47"/>
      <c r="H71" s="16"/>
      <c r="J71" s="94" t="s">
        <v>331</v>
      </c>
      <c r="K71" s="94"/>
      <c r="L71" s="94"/>
      <c r="M71" s="94"/>
      <c r="N71" s="94"/>
      <c r="O71" s="94"/>
      <c r="P71" s="164"/>
      <c r="Q71" s="164"/>
      <c r="R71" s="164"/>
    </row>
    <row r="72" spans="1:18" x14ac:dyDescent="0.25">
      <c r="A72" s="18"/>
      <c r="B72" s="47" t="s">
        <v>324</v>
      </c>
      <c r="C72" s="47"/>
      <c r="D72" s="47"/>
      <c r="E72" s="47"/>
      <c r="F72" s="47"/>
      <c r="G72" s="47"/>
      <c r="H72" s="16"/>
      <c r="J72" s="94"/>
      <c r="K72" s="94"/>
      <c r="L72" s="94"/>
      <c r="M72" s="94"/>
      <c r="N72" s="94"/>
      <c r="O72" s="94"/>
      <c r="P72" s="94"/>
      <c r="Q72" s="94"/>
      <c r="R72" s="94"/>
    </row>
    <row r="73" spans="1:18" ht="17.25" x14ac:dyDescent="0.25">
      <c r="A73" s="18"/>
      <c r="B73" s="47" t="s">
        <v>279</v>
      </c>
      <c r="C73" s="47"/>
      <c r="D73" s="47"/>
      <c r="E73" s="47"/>
      <c r="F73" s="47"/>
      <c r="G73" s="47"/>
      <c r="H73" s="16"/>
      <c r="I73" t="s">
        <v>332</v>
      </c>
      <c r="J73" s="94"/>
      <c r="K73" s="94"/>
      <c r="L73" s="94"/>
      <c r="M73" s="94"/>
      <c r="N73" s="94"/>
      <c r="O73" s="94"/>
      <c r="P73" s="94"/>
      <c r="Q73" s="137" t="s">
        <v>333</v>
      </c>
      <c r="R73" s="149" t="s">
        <v>334</v>
      </c>
    </row>
    <row r="74" spans="1:18" x14ac:dyDescent="0.25">
      <c r="A74" s="18"/>
      <c r="B74" s="47" t="s">
        <v>280</v>
      </c>
      <c r="C74" s="47"/>
      <c r="D74" s="47"/>
      <c r="E74" s="47"/>
      <c r="F74" s="47"/>
      <c r="G74" s="47"/>
      <c r="H74" s="16"/>
      <c r="J74" s="94" t="s">
        <v>319</v>
      </c>
      <c r="K74" s="94"/>
      <c r="L74" s="99">
        <f>(C75/C76-R80)/Q80^2</f>
        <v>0.15</v>
      </c>
      <c r="M74" s="94"/>
      <c r="N74" s="94"/>
      <c r="O74" s="94"/>
      <c r="P74" s="94"/>
      <c r="Q74" s="165">
        <f>MIN(C29,100000)</f>
        <v>100000</v>
      </c>
      <c r="R74" s="152">
        <f>MIN(C29,100000)^2</f>
        <v>10000000000</v>
      </c>
    </row>
    <row r="75" spans="1:18" ht="17.25" x14ac:dyDescent="0.25">
      <c r="A75" s="18"/>
      <c r="B75" s="75" t="s">
        <v>281</v>
      </c>
      <c r="C75" s="116">
        <v>5750</v>
      </c>
      <c r="D75" s="47"/>
      <c r="E75" s="47"/>
      <c r="F75" s="47"/>
      <c r="G75" s="47"/>
      <c r="H75" s="16"/>
      <c r="J75" s="94" t="s">
        <v>320</v>
      </c>
      <c r="K75" s="94"/>
      <c r="L75" s="94"/>
      <c r="M75" s="94"/>
      <c r="N75" s="94"/>
      <c r="O75" s="94"/>
      <c r="P75" s="94"/>
      <c r="Q75" s="145">
        <f t="shared" ref="Q75:Q77" si="4">MIN(C30,100000)</f>
        <v>100000</v>
      </c>
      <c r="R75" s="153">
        <f t="shared" ref="R75:R77" si="5">MIN(C30,100000)^2</f>
        <v>10000000000</v>
      </c>
    </row>
    <row r="76" spans="1:18" ht="15.75" thickBot="1" x14ac:dyDescent="0.3">
      <c r="A76" s="19"/>
      <c r="B76" s="118" t="s">
        <v>282</v>
      </c>
      <c r="C76" s="117">
        <v>4.9999999999999998E-7</v>
      </c>
      <c r="D76" s="20"/>
      <c r="E76" s="20"/>
      <c r="F76" s="20"/>
      <c r="G76" s="20"/>
      <c r="H76" s="21"/>
      <c r="J76" s="94"/>
      <c r="K76" s="94"/>
      <c r="L76" s="94"/>
      <c r="M76" s="94"/>
      <c r="N76" s="94"/>
      <c r="O76" s="94"/>
      <c r="P76" s="94"/>
      <c r="Q76" s="145">
        <f t="shared" si="4"/>
        <v>100000</v>
      </c>
      <c r="R76" s="153">
        <f t="shared" si="5"/>
        <v>10000000000</v>
      </c>
    </row>
    <row r="77" spans="1:18" x14ac:dyDescent="0.25">
      <c r="J77" s="138" t="s">
        <v>321</v>
      </c>
      <c r="K77" s="111">
        <f>C76*(R89+L74*Q89^2)</f>
        <v>48969.21875</v>
      </c>
      <c r="L77" s="94"/>
      <c r="M77" s="94"/>
      <c r="N77" s="94"/>
      <c r="O77" s="94"/>
      <c r="P77" s="94"/>
      <c r="Q77" s="146">
        <f t="shared" si="4"/>
        <v>100000</v>
      </c>
      <c r="R77" s="155">
        <f t="shared" si="5"/>
        <v>10000000000</v>
      </c>
    </row>
    <row r="78" spans="1:18" x14ac:dyDescent="0.25">
      <c r="J78" s="94"/>
      <c r="K78" s="94"/>
      <c r="L78" s="94"/>
      <c r="M78" s="94"/>
      <c r="N78" s="94"/>
      <c r="O78" s="94"/>
      <c r="P78" s="94"/>
      <c r="Q78" s="9"/>
      <c r="R78" s="135"/>
    </row>
    <row r="79" spans="1:18" ht="17.25" x14ac:dyDescent="0.25">
      <c r="J79" s="94"/>
      <c r="K79" s="94"/>
      <c r="L79" s="94"/>
      <c r="M79" s="94"/>
      <c r="N79" s="94"/>
      <c r="O79" s="94"/>
      <c r="P79" s="94"/>
      <c r="Q79" s="137" t="s">
        <v>335</v>
      </c>
      <c r="R79" s="149" t="s">
        <v>336</v>
      </c>
    </row>
    <row r="80" spans="1:18" x14ac:dyDescent="0.25">
      <c r="J80" s="94"/>
      <c r="K80" s="94"/>
      <c r="L80" s="94"/>
      <c r="M80" s="94"/>
      <c r="N80" s="94"/>
      <c r="O80" s="94"/>
      <c r="P80" s="94"/>
      <c r="Q80" s="133">
        <f>SUMPRODUCT(Q74:Q77,D29:D32)</f>
        <v>100000</v>
      </c>
      <c r="R80" s="166">
        <f>SUMPRODUCT(R74:R77,D29:D32)</f>
        <v>10000000000</v>
      </c>
    </row>
    <row r="81" spans="10:18" x14ac:dyDescent="0.25">
      <c r="J81" s="94" t="s">
        <v>322</v>
      </c>
      <c r="K81" s="94"/>
      <c r="L81" s="94"/>
      <c r="M81" s="94"/>
      <c r="N81" s="94"/>
      <c r="O81" s="94"/>
      <c r="P81" s="94"/>
      <c r="Q81" s="9"/>
      <c r="R81" s="9"/>
    </row>
    <row r="82" spans="10:18" ht="17.25" x14ac:dyDescent="0.25">
      <c r="J82" s="94" t="s">
        <v>323</v>
      </c>
      <c r="K82" s="94"/>
      <c r="L82" s="167">
        <f>(Q89+K77)/(Q80+5750)</f>
        <v>2.8507727541371159</v>
      </c>
      <c r="M82" s="94"/>
      <c r="N82" s="94"/>
      <c r="O82" s="94"/>
      <c r="P82" s="94"/>
      <c r="Q82" s="137" t="s">
        <v>337</v>
      </c>
      <c r="R82" s="149" t="s">
        <v>338</v>
      </c>
    </row>
    <row r="83" spans="10:18" x14ac:dyDescent="0.25">
      <c r="J83" s="94"/>
      <c r="K83" s="94"/>
      <c r="L83" s="94"/>
      <c r="M83" s="94"/>
      <c r="N83" s="94"/>
      <c r="O83" s="94"/>
      <c r="P83" s="94"/>
      <c r="Q83" s="165">
        <f>MIN(C29,500000)</f>
        <v>100000</v>
      </c>
      <c r="R83" s="152">
        <f>MIN(C29,500000)^2</f>
        <v>10000000000</v>
      </c>
    </row>
    <row r="84" spans="10:18" x14ac:dyDescent="0.25">
      <c r="J84" s="94"/>
      <c r="K84" s="94"/>
      <c r="L84" s="94"/>
      <c r="M84" s="94"/>
      <c r="N84" s="94"/>
      <c r="O84" s="94"/>
      <c r="P84" s="94"/>
      <c r="Q84" s="145">
        <f t="shared" ref="Q84:Q86" si="6">MIN(C30,500000)</f>
        <v>250000</v>
      </c>
      <c r="R84" s="153">
        <f t="shared" ref="R84:R86" si="7">MIN(C30,500000)^2</f>
        <v>62500000000</v>
      </c>
    </row>
    <row r="85" spans="10:18" x14ac:dyDescent="0.25">
      <c r="J85" s="94"/>
      <c r="K85" s="94"/>
      <c r="L85" s="94"/>
      <c r="M85" s="94"/>
      <c r="N85" s="94"/>
      <c r="O85" s="94"/>
      <c r="P85" s="94"/>
      <c r="Q85" s="145">
        <f t="shared" si="6"/>
        <v>500000</v>
      </c>
      <c r="R85" s="153">
        <f t="shared" si="7"/>
        <v>250000000000</v>
      </c>
    </row>
    <row r="86" spans="10:18" x14ac:dyDescent="0.25">
      <c r="J86" s="94"/>
      <c r="K86" s="94"/>
      <c r="L86" s="94"/>
      <c r="M86" s="94"/>
      <c r="N86" s="94"/>
      <c r="O86" s="94"/>
      <c r="P86" s="94"/>
      <c r="Q86" s="146">
        <f t="shared" si="6"/>
        <v>500000</v>
      </c>
      <c r="R86" s="155">
        <f t="shared" si="7"/>
        <v>250000000000</v>
      </c>
    </row>
    <row r="87" spans="10:18" x14ac:dyDescent="0.25">
      <c r="J87" s="94"/>
      <c r="K87" s="94"/>
      <c r="L87" s="94"/>
      <c r="M87" s="94"/>
      <c r="N87" s="94"/>
      <c r="O87" s="94"/>
      <c r="P87" s="94"/>
      <c r="Q87" s="9"/>
      <c r="R87" s="135"/>
    </row>
    <row r="88" spans="10:18" ht="17.25" x14ac:dyDescent="0.25">
      <c r="J88" s="94"/>
      <c r="K88" s="94"/>
      <c r="L88" s="94"/>
      <c r="M88" s="94"/>
      <c r="N88" s="94"/>
      <c r="O88" s="94"/>
      <c r="P88" s="94"/>
      <c r="Q88" s="137" t="s">
        <v>339</v>
      </c>
      <c r="R88" s="149" t="s">
        <v>340</v>
      </c>
    </row>
    <row r="89" spans="10:18" x14ac:dyDescent="0.25">
      <c r="J89" s="94"/>
      <c r="K89" s="94"/>
      <c r="L89" s="94"/>
      <c r="M89" s="94"/>
      <c r="N89" s="94"/>
      <c r="O89" s="94"/>
      <c r="P89" s="94"/>
      <c r="Q89" s="133">
        <f>SUMPRODUCT(Q83:Q86,D29:D32)</f>
        <v>252500</v>
      </c>
      <c r="R89" s="166">
        <f>SUMPRODUCT(R83:R86,D29:D32)</f>
        <v>88375000000</v>
      </c>
    </row>
    <row r="90" spans="10:18" x14ac:dyDescent="0.25">
      <c r="J90" s="94"/>
      <c r="K90" s="94"/>
      <c r="L90" s="94"/>
      <c r="M90" s="94"/>
      <c r="N90" s="94"/>
      <c r="O90" s="94"/>
      <c r="P90" s="94"/>
      <c r="Q90" s="94"/>
      <c r="R90" s="94"/>
    </row>
    <row r="91" spans="10:18" x14ac:dyDescent="0.25">
      <c r="J91" s="94"/>
      <c r="K91" s="94"/>
      <c r="L91" s="94"/>
      <c r="M91" s="94"/>
      <c r="N91" s="94"/>
      <c r="O91" s="94"/>
      <c r="P91" s="94"/>
      <c r="Q91" s="94"/>
      <c r="R91" s="94"/>
    </row>
  </sheetData>
  <mergeCells count="1">
    <mergeCell ref="G1:H1"/>
  </mergeCells>
  <hyperlinks>
    <hyperlink ref="G1" location="TOC!A1" display="Return to TOC" xr:uid="{FCF9282B-04D2-4622-8228-2BEE7610C368}"/>
  </hyperlinks>
  <pageMargins left="0.7" right="0.7" top="0.75" bottom="0.75" header="0.3" footer="0.3"/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F1A3CC-BCCF-45E6-B773-8F5942EFB9AA}">
  <sheetPr codeName="Sheet18"/>
  <dimension ref="A1:K13"/>
  <sheetViews>
    <sheetView workbookViewId="0"/>
  </sheetViews>
  <sheetFormatPr defaultRowHeight="15" x14ac:dyDescent="0.25"/>
  <cols>
    <col min="1" max="1" width="14" bestFit="1" customWidth="1"/>
    <col min="2" max="2" width="10.85546875" bestFit="1" customWidth="1"/>
    <col min="9" max="9" width="3.7109375" customWidth="1"/>
    <col min="10" max="10" width="10.85546875" bestFit="1" customWidth="1"/>
  </cols>
  <sheetData>
    <row r="1" spans="1:11" x14ac:dyDescent="0.25">
      <c r="A1" s="6" t="s">
        <v>4</v>
      </c>
      <c r="B1" s="7" t="s">
        <v>443</v>
      </c>
      <c r="C1" s="7"/>
      <c r="D1" s="8"/>
      <c r="E1" s="8"/>
      <c r="F1" s="8"/>
      <c r="G1" s="265" t="s">
        <v>5</v>
      </c>
      <c r="H1" s="266"/>
      <c r="I1" s="9"/>
      <c r="J1" s="10" t="s">
        <v>6</v>
      </c>
    </row>
    <row r="2" spans="1:11" x14ac:dyDescent="0.25">
      <c r="A2" s="11" t="s">
        <v>7</v>
      </c>
      <c r="B2" s="45" t="s">
        <v>582</v>
      </c>
      <c r="C2" s="45"/>
      <c r="D2" s="45"/>
      <c r="E2" s="45"/>
      <c r="F2" s="45"/>
      <c r="G2" s="45"/>
      <c r="H2" s="12"/>
      <c r="I2" t="s">
        <v>14</v>
      </c>
      <c r="J2" t="s">
        <v>590</v>
      </c>
    </row>
    <row r="3" spans="1:11" x14ac:dyDescent="0.25">
      <c r="A3" s="11" t="s">
        <v>8</v>
      </c>
      <c r="B3" s="45" t="s">
        <v>595</v>
      </c>
      <c r="C3" s="45"/>
      <c r="D3" s="45"/>
      <c r="E3" s="45"/>
      <c r="F3" s="45"/>
      <c r="G3" s="45"/>
      <c r="H3" s="12"/>
      <c r="J3" s="39">
        <f>B9*B8</f>
        <v>13000</v>
      </c>
      <c r="K3" t="s">
        <v>591</v>
      </c>
    </row>
    <row r="4" spans="1:11" x14ac:dyDescent="0.25">
      <c r="A4" s="13"/>
      <c r="B4" s="47"/>
      <c r="C4" s="47"/>
      <c r="D4" s="47"/>
      <c r="E4" s="47"/>
      <c r="F4" s="47"/>
      <c r="G4" s="47"/>
      <c r="H4" s="14"/>
      <c r="J4" s="39">
        <f>B7</f>
        <v>5000</v>
      </c>
      <c r="K4" t="s">
        <v>592</v>
      </c>
    </row>
    <row r="5" spans="1:11" x14ac:dyDescent="0.25">
      <c r="A5" s="15" t="s">
        <v>9</v>
      </c>
      <c r="B5" s="47" t="s">
        <v>583</v>
      </c>
      <c r="C5" s="47"/>
      <c r="D5" s="47"/>
      <c r="E5" s="47"/>
      <c r="F5" s="47"/>
      <c r="G5" s="47"/>
      <c r="H5" s="16"/>
      <c r="J5" s="39">
        <f>SUM(J3:J4)</f>
        <v>18000</v>
      </c>
      <c r="K5" t="s">
        <v>593</v>
      </c>
    </row>
    <row r="6" spans="1:11" x14ac:dyDescent="0.25">
      <c r="A6" s="18"/>
      <c r="B6" s="47"/>
      <c r="C6" s="47"/>
      <c r="D6" s="47"/>
      <c r="E6" s="47"/>
      <c r="F6" s="47"/>
      <c r="G6" s="47"/>
      <c r="H6" s="16"/>
    </row>
    <row r="7" spans="1:11" x14ac:dyDescent="0.25">
      <c r="A7" s="18"/>
      <c r="B7" s="205">
        <v>5000</v>
      </c>
      <c r="C7" s="225" t="s">
        <v>588</v>
      </c>
      <c r="D7" s="121"/>
      <c r="E7" s="121"/>
      <c r="F7" s="121"/>
      <c r="G7" s="122"/>
      <c r="H7" s="16"/>
      <c r="J7" s="228">
        <f>J5/B10</f>
        <v>10285.714285714286</v>
      </c>
      <c r="K7" t="s">
        <v>594</v>
      </c>
    </row>
    <row r="8" spans="1:11" x14ac:dyDescent="0.25">
      <c r="A8" s="18"/>
      <c r="B8" s="195">
        <v>130000</v>
      </c>
      <c r="C8" s="226" t="s">
        <v>584</v>
      </c>
      <c r="D8" s="47"/>
      <c r="E8" s="47"/>
      <c r="F8" s="47"/>
      <c r="G8" s="124"/>
      <c r="H8" s="16"/>
    </row>
    <row r="9" spans="1:11" x14ac:dyDescent="0.25">
      <c r="A9" s="18"/>
      <c r="B9" s="130">
        <v>0.1</v>
      </c>
      <c r="C9" s="226" t="s">
        <v>585</v>
      </c>
      <c r="D9" s="47"/>
      <c r="E9" s="47"/>
      <c r="F9" s="47"/>
      <c r="G9" s="124"/>
      <c r="H9" s="16"/>
    </row>
    <row r="10" spans="1:11" x14ac:dyDescent="0.25">
      <c r="A10" s="18"/>
      <c r="B10" s="77">
        <v>1.75</v>
      </c>
      <c r="C10" s="226" t="s">
        <v>586</v>
      </c>
      <c r="D10" s="47"/>
      <c r="E10" s="47"/>
      <c r="F10" s="47"/>
      <c r="G10" s="124"/>
      <c r="H10" s="16"/>
    </row>
    <row r="11" spans="1:11" x14ac:dyDescent="0.25">
      <c r="A11" s="18"/>
      <c r="B11" s="196">
        <v>1000000</v>
      </c>
      <c r="C11" s="227" t="s">
        <v>587</v>
      </c>
      <c r="D11" s="127"/>
      <c r="E11" s="127"/>
      <c r="F11" s="127"/>
      <c r="G11" s="128"/>
      <c r="H11" s="16"/>
    </row>
    <row r="12" spans="1:11" x14ac:dyDescent="0.25">
      <c r="A12" s="18"/>
      <c r="B12" s="47"/>
      <c r="C12" s="47"/>
      <c r="D12" s="47"/>
      <c r="E12" s="47"/>
      <c r="F12" s="47"/>
      <c r="G12" s="47"/>
      <c r="H12" s="16"/>
    </row>
    <row r="13" spans="1:11" ht="15.75" thickBot="1" x14ac:dyDescent="0.3">
      <c r="A13" s="179" t="s">
        <v>10</v>
      </c>
      <c r="B13" s="20" t="s">
        <v>589</v>
      </c>
      <c r="C13" s="20"/>
      <c r="D13" s="20"/>
      <c r="E13" s="20"/>
      <c r="F13" s="20"/>
      <c r="G13" s="20"/>
      <c r="H13" s="21"/>
    </row>
  </sheetData>
  <mergeCells count="1">
    <mergeCell ref="G1:H1"/>
  </mergeCells>
  <hyperlinks>
    <hyperlink ref="G1" location="TOC!A1" display="Return to TOC" xr:uid="{58CC83AB-8452-4C87-B730-E91F4443D6CB}"/>
  </hyperlinks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9393B1-C76C-42BE-9707-FE4E5350875D}">
  <sheetPr codeName="Sheet19"/>
  <dimension ref="A1:K20"/>
  <sheetViews>
    <sheetView workbookViewId="0"/>
  </sheetViews>
  <sheetFormatPr defaultRowHeight="15" x14ac:dyDescent="0.25"/>
  <cols>
    <col min="1" max="1" width="14" bestFit="1" customWidth="1"/>
    <col min="3" max="3" width="10.7109375" bestFit="1" customWidth="1"/>
    <col min="4" max="5" width="12.5703125" customWidth="1"/>
    <col min="6" max="6" width="12.140625" customWidth="1"/>
    <col min="8" max="8" width="3.7109375" customWidth="1"/>
    <col min="9" max="11" width="9.140625" customWidth="1"/>
  </cols>
  <sheetData>
    <row r="1" spans="1:11" x14ac:dyDescent="0.25">
      <c r="A1" s="6" t="s">
        <v>4</v>
      </c>
      <c r="B1" s="7" t="s">
        <v>443</v>
      </c>
      <c r="C1" s="7"/>
      <c r="D1" s="7"/>
      <c r="E1" s="8"/>
      <c r="F1" s="265" t="s">
        <v>5</v>
      </c>
      <c r="G1" s="266"/>
      <c r="H1" s="9"/>
      <c r="I1" s="10" t="s">
        <v>6</v>
      </c>
    </row>
    <row r="2" spans="1:11" x14ac:dyDescent="0.25">
      <c r="A2" s="11" t="s">
        <v>7</v>
      </c>
      <c r="B2" s="45" t="s">
        <v>596</v>
      </c>
      <c r="C2" s="45"/>
      <c r="D2" s="45"/>
      <c r="E2" s="45"/>
      <c r="F2" s="45"/>
      <c r="G2" s="12"/>
      <c r="H2" t="s">
        <v>14</v>
      </c>
      <c r="I2" t="s">
        <v>602</v>
      </c>
    </row>
    <row r="3" spans="1:11" x14ac:dyDescent="0.25">
      <c r="A3" s="11" t="s">
        <v>8</v>
      </c>
      <c r="B3" s="45" t="s">
        <v>601</v>
      </c>
      <c r="C3" s="45"/>
      <c r="D3" s="45"/>
      <c r="E3" s="45"/>
      <c r="F3" s="45"/>
      <c r="G3" s="12"/>
      <c r="I3" s="39"/>
    </row>
    <row r="4" spans="1:11" x14ac:dyDescent="0.25">
      <c r="A4" s="13"/>
      <c r="B4" s="47"/>
      <c r="C4" s="47"/>
      <c r="D4" s="47"/>
      <c r="E4" s="47"/>
      <c r="F4" s="47"/>
      <c r="G4" s="14"/>
      <c r="I4" s="39"/>
    </row>
    <row r="5" spans="1:11" x14ac:dyDescent="0.25">
      <c r="A5" s="15" t="s">
        <v>9</v>
      </c>
      <c r="B5" s="47" t="s">
        <v>603</v>
      </c>
      <c r="C5" s="47"/>
      <c r="D5" s="47"/>
      <c r="E5" s="47"/>
      <c r="F5" s="47"/>
      <c r="G5" s="16"/>
    </row>
    <row r="6" spans="1:11" x14ac:dyDescent="0.25">
      <c r="A6" s="18"/>
      <c r="B6" s="47"/>
      <c r="C6" s="47"/>
      <c r="D6" s="47"/>
      <c r="E6" s="47"/>
      <c r="F6" s="47"/>
      <c r="G6" s="16"/>
      <c r="I6" t="s">
        <v>606</v>
      </c>
    </row>
    <row r="7" spans="1:11" x14ac:dyDescent="0.25">
      <c r="A7" s="18"/>
      <c r="B7" s="98" t="s">
        <v>447</v>
      </c>
      <c r="C7" s="194" t="s">
        <v>13</v>
      </c>
      <c r="D7" s="75"/>
      <c r="E7" s="47"/>
      <c r="F7" s="47"/>
      <c r="G7" s="16"/>
      <c r="I7" t="s">
        <v>607</v>
      </c>
    </row>
    <row r="8" spans="1:11" x14ac:dyDescent="0.25">
      <c r="A8" s="18"/>
      <c r="B8" s="195">
        <v>0</v>
      </c>
      <c r="C8" s="229">
        <v>0.8</v>
      </c>
      <c r="D8" s="203"/>
      <c r="E8" s="47"/>
      <c r="F8" s="47"/>
      <c r="G8" s="16"/>
      <c r="I8" t="s">
        <v>608</v>
      </c>
    </row>
    <row r="9" spans="1:11" x14ac:dyDescent="0.25">
      <c r="A9" s="18"/>
      <c r="B9" s="195">
        <v>2000</v>
      </c>
      <c r="C9" s="229">
        <v>0.15</v>
      </c>
      <c r="D9" s="203"/>
      <c r="E9" s="47"/>
      <c r="F9" s="47"/>
      <c r="G9" s="16"/>
    </row>
    <row r="10" spans="1:11" x14ac:dyDescent="0.25">
      <c r="A10" s="18"/>
      <c r="B10" s="196">
        <v>15000</v>
      </c>
      <c r="C10" s="230">
        <v>0.05</v>
      </c>
      <c r="D10" s="203"/>
      <c r="E10" s="47"/>
      <c r="F10" s="47"/>
      <c r="G10" s="16"/>
      <c r="I10" s="88" t="s">
        <v>609</v>
      </c>
      <c r="J10" s="91" t="s">
        <v>615</v>
      </c>
      <c r="K10" s="90" t="s">
        <v>610</v>
      </c>
    </row>
    <row r="11" spans="1:11" x14ac:dyDescent="0.25">
      <c r="A11" s="18"/>
      <c r="B11" s="47"/>
      <c r="C11" s="47"/>
      <c r="D11" s="47"/>
      <c r="E11" s="47"/>
      <c r="F11" s="47"/>
      <c r="G11" s="16"/>
      <c r="I11" s="199">
        <f>B8</f>
        <v>0</v>
      </c>
      <c r="J11" s="92">
        <f>MIN(I11,$B$13)</f>
        <v>0</v>
      </c>
      <c r="K11" s="72">
        <f>MIN(I11,$B$14)</f>
        <v>0</v>
      </c>
    </row>
    <row r="12" spans="1:11" x14ac:dyDescent="0.25">
      <c r="A12" s="18"/>
      <c r="B12" s="129">
        <v>0.1</v>
      </c>
      <c r="C12" s="225" t="s">
        <v>604</v>
      </c>
      <c r="D12" s="121"/>
      <c r="E12" s="121"/>
      <c r="F12" s="122"/>
      <c r="G12" s="16"/>
      <c r="I12" s="199">
        <f t="shared" ref="I12:I13" si="0">B9</f>
        <v>2000</v>
      </c>
      <c r="J12" s="92">
        <f t="shared" ref="J12:J13" si="1">MIN(I12,$B$13)</f>
        <v>2000</v>
      </c>
      <c r="K12" s="72">
        <f t="shared" ref="K12:K13" si="2">MIN(I12,$B$14)</f>
        <v>2000</v>
      </c>
    </row>
    <row r="13" spans="1:11" x14ac:dyDescent="0.25">
      <c r="A13" s="18"/>
      <c r="B13" s="195">
        <v>3000</v>
      </c>
      <c r="C13" s="226" t="s">
        <v>597</v>
      </c>
      <c r="D13" s="47"/>
      <c r="E13" s="47"/>
      <c r="F13" s="124"/>
      <c r="G13" s="16"/>
      <c r="I13" s="200">
        <f t="shared" si="0"/>
        <v>15000</v>
      </c>
      <c r="J13" s="93">
        <f t="shared" si="1"/>
        <v>3000</v>
      </c>
      <c r="K13" s="201">
        <f t="shared" si="2"/>
        <v>5000</v>
      </c>
    </row>
    <row r="14" spans="1:11" x14ac:dyDescent="0.25">
      <c r="A14" s="18"/>
      <c r="B14" s="195">
        <v>5000</v>
      </c>
      <c r="C14" s="226" t="s">
        <v>598</v>
      </c>
      <c r="D14" s="47"/>
      <c r="E14" s="47"/>
      <c r="F14" s="124"/>
      <c r="G14" s="16"/>
    </row>
    <row r="15" spans="1:11" x14ac:dyDescent="0.25">
      <c r="A15" s="18"/>
      <c r="B15" s="195">
        <v>50</v>
      </c>
      <c r="C15" s="226" t="s">
        <v>599</v>
      </c>
      <c r="D15" s="47"/>
      <c r="E15" s="47"/>
      <c r="F15" s="124"/>
      <c r="G15" s="16"/>
      <c r="I15" s="5" t="s">
        <v>611</v>
      </c>
      <c r="J15" s="5">
        <f>SUMPRODUCT(J11:J13,C8:C10)</f>
        <v>450</v>
      </c>
      <c r="K15" s="5">
        <f>SUMPRODUCT(C8:C10,K11:K13)</f>
        <v>550</v>
      </c>
    </row>
    <row r="16" spans="1:11" ht="17.25" x14ac:dyDescent="0.25">
      <c r="A16" s="18"/>
      <c r="B16" s="131">
        <v>0.02</v>
      </c>
      <c r="C16" s="227" t="s">
        <v>600</v>
      </c>
      <c r="D16" s="127"/>
      <c r="E16" s="127"/>
      <c r="F16" s="128"/>
      <c r="G16" s="16"/>
      <c r="I16" s="5" t="s">
        <v>612</v>
      </c>
      <c r="J16" s="5">
        <f>SUMPRODUCT(C8:C10,J11:J13,J11:J13)</f>
        <v>1050000</v>
      </c>
      <c r="K16" s="5">
        <f>SUMPRODUCT(C8:C10,K11:K13,K11:K13)</f>
        <v>1850000</v>
      </c>
    </row>
    <row r="17" spans="1:11" x14ac:dyDescent="0.25">
      <c r="A17" s="18"/>
      <c r="B17" s="47"/>
      <c r="C17" s="47"/>
      <c r="D17" s="47"/>
      <c r="E17" s="47"/>
      <c r="F17" s="47"/>
      <c r="G17" s="16"/>
      <c r="I17" s="5" t="s">
        <v>613</v>
      </c>
      <c r="J17" s="5">
        <f>SQRT(J16-J15^2)</f>
        <v>920.59763197609846</v>
      </c>
      <c r="K17" s="5">
        <f>SQRT(K16-K15^2)</f>
        <v>1243.9855304624728</v>
      </c>
    </row>
    <row r="18" spans="1:11" ht="15.75" thickBot="1" x14ac:dyDescent="0.3">
      <c r="A18" s="179" t="s">
        <v>10</v>
      </c>
      <c r="B18" s="20" t="s">
        <v>605</v>
      </c>
      <c r="C18" s="20"/>
      <c r="D18" s="20"/>
      <c r="E18" s="20"/>
      <c r="F18" s="20"/>
      <c r="G18" s="21"/>
      <c r="I18" s="5" t="s">
        <v>569</v>
      </c>
      <c r="J18" s="232">
        <f>$B$12*J17</f>
        <v>92.059763197609854</v>
      </c>
      <c r="K18" s="232">
        <f>$B$12*K17</f>
        <v>124.39855304624729</v>
      </c>
    </row>
    <row r="20" spans="1:11" x14ac:dyDescent="0.25">
      <c r="I20" s="5" t="s">
        <v>614</v>
      </c>
      <c r="J20" s="53">
        <f>((K15+B15)*(1+$B$16)+K18)/((J15+B15)*(1+B16)+J18)</f>
        <v>1.2231319846640281</v>
      </c>
    </row>
  </sheetData>
  <mergeCells count="1">
    <mergeCell ref="F1:G1"/>
  </mergeCells>
  <hyperlinks>
    <hyperlink ref="F1" location="TOC!A1" display="Return to TOC" xr:uid="{36AABE10-1275-48B6-B726-C809914A37D6}"/>
  </hyperlink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1B5EC9-CF72-49B6-8A8E-3EF97153F3AD}">
  <sheetPr codeName="Sheet2"/>
  <dimension ref="A1:L33"/>
  <sheetViews>
    <sheetView workbookViewId="0"/>
  </sheetViews>
  <sheetFormatPr defaultRowHeight="15" x14ac:dyDescent="0.25"/>
  <cols>
    <col min="1" max="1" width="14" bestFit="1" customWidth="1"/>
    <col min="2" max="2" width="10.5703125" customWidth="1"/>
    <col min="3" max="3" width="18.140625" customWidth="1"/>
    <col min="5" max="5" width="13.42578125" bestFit="1" customWidth="1"/>
    <col min="6" max="6" width="11.7109375" customWidth="1"/>
    <col min="7" max="7" width="11.85546875" customWidth="1"/>
    <col min="8" max="9" width="3.7109375" customWidth="1"/>
    <col min="10" max="10" width="13.85546875" customWidth="1"/>
    <col min="11" max="11" width="14.5703125" bestFit="1" customWidth="1"/>
    <col min="12" max="12" width="10" bestFit="1" customWidth="1"/>
    <col min="13" max="13" width="11.140625" bestFit="1" customWidth="1"/>
    <col min="14" max="14" width="10" bestFit="1" customWidth="1"/>
  </cols>
  <sheetData>
    <row r="1" spans="1:11" x14ac:dyDescent="0.25">
      <c r="A1" s="6" t="s">
        <v>4</v>
      </c>
      <c r="B1" s="7" t="s">
        <v>17</v>
      </c>
      <c r="C1" s="7"/>
      <c r="D1" s="8"/>
      <c r="E1" s="8"/>
      <c r="F1" s="8"/>
      <c r="G1" s="265" t="s">
        <v>5</v>
      </c>
      <c r="H1" s="266"/>
      <c r="I1" s="9"/>
      <c r="J1" s="10" t="s">
        <v>6</v>
      </c>
    </row>
    <row r="2" spans="1:11" x14ac:dyDescent="0.25">
      <c r="A2" s="11" t="s">
        <v>7</v>
      </c>
      <c r="B2" s="45" t="s">
        <v>18</v>
      </c>
      <c r="C2" s="45"/>
      <c r="D2" s="45"/>
      <c r="E2" s="45"/>
      <c r="F2" s="45"/>
      <c r="G2" s="45"/>
      <c r="H2" s="12"/>
      <c r="I2" t="s">
        <v>14</v>
      </c>
      <c r="J2" t="s">
        <v>38</v>
      </c>
    </row>
    <row r="3" spans="1:11" x14ac:dyDescent="0.25">
      <c r="A3" s="11" t="s">
        <v>8</v>
      </c>
      <c r="B3" s="45" t="s">
        <v>53</v>
      </c>
      <c r="C3" s="45"/>
      <c r="D3" s="45"/>
      <c r="E3" s="45"/>
      <c r="F3" s="45"/>
      <c r="G3" s="45"/>
      <c r="H3" s="12"/>
    </row>
    <row r="4" spans="1:11" x14ac:dyDescent="0.25">
      <c r="A4" s="13"/>
      <c r="B4" s="46"/>
      <c r="C4" s="46"/>
      <c r="D4" s="46"/>
      <c r="E4" s="46"/>
      <c r="F4" s="46"/>
      <c r="G4" s="46"/>
      <c r="H4" s="14"/>
    </row>
    <row r="5" spans="1:11" x14ac:dyDescent="0.25">
      <c r="A5" s="15" t="s">
        <v>9</v>
      </c>
      <c r="B5" s="47" t="s">
        <v>19</v>
      </c>
      <c r="C5" s="47"/>
      <c r="D5" s="47"/>
      <c r="E5" s="47"/>
      <c r="F5" s="47"/>
      <c r="G5" s="47"/>
      <c r="H5" s="16"/>
    </row>
    <row r="6" spans="1:11" x14ac:dyDescent="0.25">
      <c r="A6" s="18"/>
      <c r="B6" s="45" t="s">
        <v>20</v>
      </c>
      <c r="C6" s="47"/>
      <c r="D6" s="47"/>
      <c r="E6" s="47"/>
      <c r="F6" s="47"/>
      <c r="G6" s="47"/>
      <c r="H6" s="16"/>
    </row>
    <row r="7" spans="1:11" ht="18" x14ac:dyDescent="0.35">
      <c r="A7" s="18"/>
      <c r="B7" s="45" t="s">
        <v>21</v>
      </c>
      <c r="C7" s="47"/>
      <c r="D7" s="47"/>
      <c r="E7" s="47"/>
      <c r="F7" s="47"/>
      <c r="G7" s="47"/>
      <c r="H7" s="16"/>
      <c r="J7" t="s">
        <v>39</v>
      </c>
      <c r="K7" s="17">
        <f>1+8%</f>
        <v>1.08</v>
      </c>
    </row>
    <row r="8" spans="1:11" x14ac:dyDescent="0.25">
      <c r="A8" s="18"/>
      <c r="B8" s="47"/>
      <c r="C8" s="47"/>
      <c r="D8" s="47"/>
      <c r="E8" s="47"/>
      <c r="F8" s="47"/>
      <c r="G8" s="47"/>
      <c r="H8" s="16"/>
    </row>
    <row r="9" spans="1:11" x14ac:dyDescent="0.25">
      <c r="A9" s="18"/>
      <c r="B9" s="47" t="s">
        <v>22</v>
      </c>
      <c r="C9" s="47"/>
      <c r="D9" s="47"/>
      <c r="E9" s="47"/>
      <c r="F9" s="47"/>
      <c r="G9" s="47"/>
      <c r="H9" s="16"/>
      <c r="J9" t="s">
        <v>41</v>
      </c>
      <c r="K9" s="39">
        <v>30000000</v>
      </c>
    </row>
    <row r="10" spans="1:11" x14ac:dyDescent="0.25">
      <c r="A10" s="18"/>
      <c r="B10" s="50" t="s">
        <v>23</v>
      </c>
      <c r="C10" s="47"/>
      <c r="D10" s="47"/>
      <c r="E10" s="47"/>
      <c r="F10" s="47"/>
      <c r="G10" s="47"/>
      <c r="H10" s="16"/>
      <c r="J10" t="s">
        <v>42</v>
      </c>
      <c r="K10" s="39">
        <v>10000000</v>
      </c>
    </row>
    <row r="11" spans="1:11" x14ac:dyDescent="0.25">
      <c r="A11" s="18"/>
      <c r="B11" s="47" t="s">
        <v>24</v>
      </c>
      <c r="C11" s="47"/>
      <c r="D11" s="47"/>
      <c r="E11" s="47"/>
      <c r="F11" s="47"/>
      <c r="G11" s="47"/>
      <c r="H11" s="16"/>
    </row>
    <row r="12" spans="1:11" x14ac:dyDescent="0.25">
      <c r="A12" s="18"/>
      <c r="B12" s="50" t="s">
        <v>25</v>
      </c>
      <c r="C12" s="47"/>
      <c r="D12" s="47"/>
      <c r="E12" s="47"/>
      <c r="F12" s="47"/>
      <c r="G12" s="47"/>
      <c r="H12" s="16"/>
      <c r="J12" t="s">
        <v>40</v>
      </c>
      <c r="K12" s="39">
        <v>5890000</v>
      </c>
    </row>
    <row r="13" spans="1:11" x14ac:dyDescent="0.25">
      <c r="A13" s="18"/>
      <c r="B13" s="47" t="s">
        <v>26</v>
      </c>
      <c r="C13" s="47"/>
      <c r="D13" s="47"/>
      <c r="E13" s="47"/>
      <c r="F13" s="47"/>
      <c r="G13" s="47"/>
      <c r="H13" s="16"/>
      <c r="J13" t="s">
        <v>43</v>
      </c>
      <c r="K13" s="40">
        <f>D24</f>
        <v>4359735</v>
      </c>
    </row>
    <row r="14" spans="1:11" x14ac:dyDescent="0.25">
      <c r="A14" s="18"/>
      <c r="B14" s="50" t="s">
        <v>27</v>
      </c>
      <c r="C14" s="47"/>
      <c r="D14" s="47"/>
      <c r="E14" s="47"/>
      <c r="F14" s="47"/>
      <c r="G14" s="47"/>
      <c r="H14" s="16"/>
      <c r="J14" t="s">
        <v>44</v>
      </c>
      <c r="K14" s="40">
        <f>D23</f>
        <v>4063944</v>
      </c>
    </row>
    <row r="15" spans="1:11" x14ac:dyDescent="0.25">
      <c r="A15" s="18"/>
      <c r="B15" s="47"/>
      <c r="C15" s="47"/>
      <c r="D15" s="47"/>
      <c r="E15" s="47"/>
      <c r="F15" s="47"/>
      <c r="G15" s="47"/>
      <c r="H15" s="16"/>
    </row>
    <row r="16" spans="1:11" ht="18" x14ac:dyDescent="0.35">
      <c r="A16" s="18"/>
      <c r="B16" s="47"/>
      <c r="C16" s="22" t="s">
        <v>28</v>
      </c>
      <c r="D16" s="26"/>
      <c r="E16" s="23"/>
      <c r="F16" s="47"/>
      <c r="G16" s="47"/>
      <c r="H16" s="16"/>
      <c r="J16" t="s">
        <v>45</v>
      </c>
      <c r="K16" s="40">
        <f>E24</f>
        <v>4282929</v>
      </c>
    </row>
    <row r="17" spans="1:12" ht="18" x14ac:dyDescent="0.35">
      <c r="A17" s="18"/>
      <c r="B17" s="47"/>
      <c r="C17" s="24" t="s">
        <v>29</v>
      </c>
      <c r="D17" s="27" t="s">
        <v>30</v>
      </c>
      <c r="E17" s="25" t="s">
        <v>31</v>
      </c>
      <c r="F17" s="47"/>
      <c r="G17" s="47"/>
      <c r="H17" s="16"/>
      <c r="J17" t="s">
        <v>46</v>
      </c>
      <c r="K17" s="40">
        <f>E23</f>
        <v>3981081</v>
      </c>
    </row>
    <row r="18" spans="1:12" x14ac:dyDescent="0.25">
      <c r="A18" s="18"/>
      <c r="B18" s="47"/>
      <c r="C18" s="48">
        <v>1000000</v>
      </c>
      <c r="D18" s="28">
        <v>715812</v>
      </c>
      <c r="E18" s="35">
        <v>675097</v>
      </c>
      <c r="F18" s="47"/>
      <c r="G18" s="47"/>
      <c r="H18" s="16"/>
    </row>
    <row r="19" spans="1:12" x14ac:dyDescent="0.25">
      <c r="A19" s="18"/>
      <c r="B19" s="47"/>
      <c r="C19" s="48">
        <v>2000000</v>
      </c>
      <c r="D19" s="28">
        <v>1170998</v>
      </c>
      <c r="E19" s="35">
        <v>1112349</v>
      </c>
      <c r="F19" s="47"/>
      <c r="G19" s="47"/>
      <c r="H19" s="16"/>
      <c r="J19" t="s">
        <v>47</v>
      </c>
      <c r="L19" s="51">
        <f>K7*(K16-K17)/(K13-K14)-1</f>
        <v>0.1021154801870241</v>
      </c>
    </row>
    <row r="20" spans="1:12" x14ac:dyDescent="0.25">
      <c r="A20" s="18"/>
      <c r="B20" s="47"/>
      <c r="C20" s="48">
        <v>3000000</v>
      </c>
      <c r="D20" s="28">
        <v>1513415</v>
      </c>
      <c r="E20" s="35">
        <v>1444181</v>
      </c>
      <c r="F20" s="47"/>
      <c r="G20" s="47"/>
      <c r="H20" s="16"/>
    </row>
    <row r="21" spans="1:12" x14ac:dyDescent="0.25">
      <c r="A21" s="18"/>
      <c r="B21" s="47"/>
      <c r="C21" s="48">
        <v>10000000</v>
      </c>
      <c r="D21" s="28">
        <v>2800239</v>
      </c>
      <c r="E21" s="35">
        <v>2710132</v>
      </c>
      <c r="F21" s="47"/>
      <c r="G21" s="47"/>
      <c r="H21" s="16"/>
      <c r="I21" t="s">
        <v>11</v>
      </c>
      <c r="J21" t="s">
        <v>51</v>
      </c>
    </row>
    <row r="22" spans="1:12" x14ac:dyDescent="0.25">
      <c r="A22" s="18"/>
      <c r="B22" s="47"/>
      <c r="C22" s="48">
        <v>20000000</v>
      </c>
      <c r="D22" s="28">
        <v>3613385</v>
      </c>
      <c r="E22" s="35">
        <v>3524644</v>
      </c>
      <c r="F22" s="47"/>
      <c r="G22" s="47"/>
      <c r="H22" s="16"/>
      <c r="J22" t="s">
        <v>48</v>
      </c>
    </row>
    <row r="23" spans="1:12" x14ac:dyDescent="0.25">
      <c r="A23" s="18"/>
      <c r="B23" s="47"/>
      <c r="C23" s="48">
        <v>30000000</v>
      </c>
      <c r="D23" s="28">
        <v>4063944</v>
      </c>
      <c r="E23" s="35">
        <v>3981081</v>
      </c>
      <c r="F23" s="47"/>
      <c r="G23" s="47"/>
      <c r="H23" s="16"/>
      <c r="J23" t="s">
        <v>49</v>
      </c>
    </row>
    <row r="24" spans="1:12" x14ac:dyDescent="0.25">
      <c r="A24" s="18"/>
      <c r="B24" s="47"/>
      <c r="C24" s="48">
        <v>40000000</v>
      </c>
      <c r="D24" s="28">
        <v>4359735</v>
      </c>
      <c r="E24" s="35">
        <v>4282929</v>
      </c>
      <c r="F24" s="47"/>
      <c r="G24" s="47"/>
      <c r="H24" s="16"/>
      <c r="J24" t="s">
        <v>52</v>
      </c>
    </row>
    <row r="25" spans="1:12" x14ac:dyDescent="0.25">
      <c r="A25" s="18"/>
      <c r="B25" s="47"/>
      <c r="C25" s="49">
        <v>50000000</v>
      </c>
      <c r="D25" s="29">
        <v>4571783</v>
      </c>
      <c r="E25" s="36">
        <v>4500504</v>
      </c>
      <c r="F25" s="47"/>
      <c r="G25" s="47"/>
      <c r="H25" s="16"/>
      <c r="J25" t="s">
        <v>50</v>
      </c>
    </row>
    <row r="26" spans="1:12" x14ac:dyDescent="0.25">
      <c r="A26" s="18"/>
      <c r="B26" s="47"/>
      <c r="C26" s="47"/>
      <c r="D26" s="47"/>
      <c r="E26" s="47"/>
      <c r="F26" s="47"/>
      <c r="G26" s="47"/>
      <c r="H26" s="16"/>
    </row>
    <row r="27" spans="1:12" x14ac:dyDescent="0.25">
      <c r="A27" s="52" t="s">
        <v>10</v>
      </c>
      <c r="B27" s="47" t="s">
        <v>32</v>
      </c>
      <c r="C27" s="47"/>
      <c r="D27" s="47"/>
      <c r="E27" s="47"/>
      <c r="F27" s="47"/>
      <c r="G27" s="47"/>
      <c r="H27" s="16"/>
    </row>
    <row r="28" spans="1:12" x14ac:dyDescent="0.25">
      <c r="A28" s="18"/>
      <c r="B28" s="47" t="s">
        <v>33</v>
      </c>
      <c r="C28" s="47"/>
      <c r="D28" s="47"/>
      <c r="E28" s="47"/>
      <c r="F28" s="47"/>
      <c r="G28" s="47"/>
      <c r="H28" s="16"/>
    </row>
    <row r="29" spans="1:12" x14ac:dyDescent="0.25">
      <c r="A29" s="18"/>
      <c r="B29" s="47"/>
      <c r="C29" s="47"/>
      <c r="D29" s="47"/>
      <c r="E29" s="47"/>
      <c r="F29" s="47"/>
      <c r="G29" s="47"/>
      <c r="H29" s="16"/>
    </row>
    <row r="30" spans="1:12" x14ac:dyDescent="0.25">
      <c r="A30" s="18"/>
      <c r="B30" s="47" t="s">
        <v>34</v>
      </c>
      <c r="C30" s="47"/>
      <c r="D30" s="47"/>
      <c r="E30" s="47"/>
      <c r="F30" s="47"/>
      <c r="G30" s="47"/>
      <c r="H30" s="16"/>
    </row>
    <row r="31" spans="1:12" x14ac:dyDescent="0.25">
      <c r="A31" s="18"/>
      <c r="B31" s="47" t="s">
        <v>35</v>
      </c>
      <c r="C31" s="47"/>
      <c r="D31" s="47"/>
      <c r="E31" s="47"/>
      <c r="F31" s="47"/>
      <c r="G31" s="47"/>
      <c r="H31" s="16"/>
    </row>
    <row r="32" spans="1:12" x14ac:dyDescent="0.25">
      <c r="A32" s="18"/>
      <c r="B32" s="47" t="s">
        <v>36</v>
      </c>
      <c r="C32" s="47"/>
      <c r="D32" s="47"/>
      <c r="E32" s="47"/>
      <c r="F32" s="47"/>
      <c r="G32" s="47"/>
      <c r="H32" s="16"/>
    </row>
    <row r="33" spans="1:8" ht="15.75" thickBot="1" x14ac:dyDescent="0.3">
      <c r="A33" s="19"/>
      <c r="B33" s="20" t="s">
        <v>37</v>
      </c>
      <c r="C33" s="20"/>
      <c r="D33" s="20"/>
      <c r="E33" s="20"/>
      <c r="F33" s="20"/>
      <c r="G33" s="20"/>
      <c r="H33" s="21"/>
    </row>
  </sheetData>
  <mergeCells count="1">
    <mergeCell ref="G1:H1"/>
  </mergeCells>
  <hyperlinks>
    <hyperlink ref="G1" location="TOC!A1" display="Return to TOC" xr:uid="{F86FEEA0-D69A-469A-961D-1EC6EB23E8C9}"/>
  </hyperlinks>
  <pageMargins left="0.7" right="0.7" top="0.75" bottom="0.75" header="0.3" footer="0.3"/>
  <pageSetup paperSize="9" orientation="portrait" r:id="rId1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CF7437-DB99-48F6-A3D7-0C0B7F476E87}">
  <sheetPr codeName="Sheet20"/>
  <dimension ref="A1:K24"/>
  <sheetViews>
    <sheetView workbookViewId="0"/>
  </sheetViews>
  <sheetFormatPr defaultRowHeight="15" x14ac:dyDescent="0.25"/>
  <cols>
    <col min="1" max="1" width="14" bestFit="1" customWidth="1"/>
    <col min="2" max="2" width="11.85546875" customWidth="1"/>
    <col min="3" max="3" width="10.28515625" bestFit="1" customWidth="1"/>
    <col min="7" max="7" width="6.85546875" customWidth="1"/>
    <col min="8" max="8" width="3.7109375" customWidth="1"/>
    <col min="9" max="9" width="11.85546875" bestFit="1" customWidth="1"/>
    <col min="10" max="10" width="15" bestFit="1" customWidth="1"/>
  </cols>
  <sheetData>
    <row r="1" spans="1:11" x14ac:dyDescent="0.25">
      <c r="A1" s="6" t="s">
        <v>4</v>
      </c>
      <c r="B1" s="7" t="s">
        <v>443</v>
      </c>
      <c r="C1" s="7"/>
      <c r="D1" s="8"/>
      <c r="E1" s="8"/>
      <c r="F1" s="265" t="s">
        <v>5</v>
      </c>
      <c r="G1" s="266"/>
      <c r="H1" s="9"/>
      <c r="I1" s="10" t="s">
        <v>6</v>
      </c>
    </row>
    <row r="2" spans="1:11" x14ac:dyDescent="0.25">
      <c r="A2" s="11" t="s">
        <v>7</v>
      </c>
      <c r="B2" s="45" t="s">
        <v>616</v>
      </c>
      <c r="C2" s="45"/>
      <c r="D2" s="45"/>
      <c r="E2" s="45"/>
      <c r="F2" s="45"/>
      <c r="G2" s="12"/>
      <c r="H2" t="s">
        <v>14</v>
      </c>
      <c r="I2" s="91" t="s">
        <v>629</v>
      </c>
      <c r="J2" s="90" t="s">
        <v>630</v>
      </c>
    </row>
    <row r="3" spans="1:11" x14ac:dyDescent="0.25">
      <c r="A3" s="11" t="s">
        <v>8</v>
      </c>
      <c r="B3" s="45" t="s">
        <v>637</v>
      </c>
      <c r="C3" s="45"/>
      <c r="D3" s="45"/>
      <c r="E3" s="45"/>
      <c r="F3" s="45"/>
      <c r="G3" s="12"/>
      <c r="I3" s="247">
        <f>B9*(1+$B$17)</f>
        <v>550</v>
      </c>
      <c r="J3" s="245">
        <f>MIN(I3,$B$14)</f>
        <v>550</v>
      </c>
    </row>
    <row r="4" spans="1:11" x14ac:dyDescent="0.25">
      <c r="A4" s="13"/>
      <c r="B4" s="47"/>
      <c r="C4" s="47"/>
      <c r="D4" s="47"/>
      <c r="E4" s="47"/>
      <c r="F4" s="47"/>
      <c r="G4" s="14"/>
      <c r="I4" s="247">
        <f t="shared" ref="I4:I6" si="0">B10*(1+$B$17)</f>
        <v>2750</v>
      </c>
      <c r="J4" s="245">
        <f t="shared" ref="J4:J6" si="1">MIN(I4,$B$14)</f>
        <v>2750</v>
      </c>
    </row>
    <row r="5" spans="1:11" x14ac:dyDescent="0.25">
      <c r="A5" s="15" t="s">
        <v>9</v>
      </c>
      <c r="B5" s="47" t="s">
        <v>628</v>
      </c>
      <c r="C5" s="47"/>
      <c r="D5" s="47"/>
      <c r="E5" s="47"/>
      <c r="F5" s="47"/>
      <c r="G5" s="16"/>
      <c r="I5" s="247">
        <f t="shared" si="0"/>
        <v>11000</v>
      </c>
      <c r="J5" s="245">
        <f t="shared" si="1"/>
        <v>5000</v>
      </c>
    </row>
    <row r="6" spans="1:11" x14ac:dyDescent="0.25">
      <c r="A6" s="18"/>
      <c r="B6" s="47"/>
      <c r="C6" s="47"/>
      <c r="D6" s="47"/>
      <c r="E6" s="47"/>
      <c r="F6" s="47"/>
      <c r="G6" s="16"/>
      <c r="I6" s="248">
        <f t="shared" si="0"/>
        <v>27500.000000000004</v>
      </c>
      <c r="J6" s="246">
        <f t="shared" si="1"/>
        <v>5000</v>
      </c>
    </row>
    <row r="7" spans="1:11" x14ac:dyDescent="0.25">
      <c r="A7" s="18"/>
      <c r="B7" s="233" t="s">
        <v>617</v>
      </c>
      <c r="C7" s="233"/>
      <c r="D7" s="47"/>
      <c r="E7" s="47"/>
      <c r="F7" s="47"/>
      <c r="G7" s="16"/>
    </row>
    <row r="8" spans="1:11" x14ac:dyDescent="0.25">
      <c r="A8" s="18"/>
      <c r="B8" s="98" t="s">
        <v>618</v>
      </c>
      <c r="C8" s="194" t="s">
        <v>585</v>
      </c>
      <c r="D8" s="47"/>
      <c r="E8" s="47"/>
      <c r="F8" s="47"/>
      <c r="G8" s="16"/>
      <c r="I8" t="s">
        <v>305</v>
      </c>
      <c r="J8" s="244">
        <f>SUMPRODUCT(C9:C12,I3:I6)</f>
        <v>4235</v>
      </c>
    </row>
    <row r="9" spans="1:11" ht="18" x14ac:dyDescent="0.35">
      <c r="A9" s="18"/>
      <c r="B9" s="234">
        <v>500</v>
      </c>
      <c r="C9" s="78">
        <v>0.45</v>
      </c>
      <c r="D9" s="47"/>
      <c r="E9" s="47"/>
      <c r="F9" s="47"/>
      <c r="G9" s="16"/>
      <c r="I9" t="s">
        <v>631</v>
      </c>
      <c r="J9" s="244">
        <f>SUMPRODUCT(C9:C12,J3:J6)</f>
        <v>2210</v>
      </c>
      <c r="K9" t="s">
        <v>632</v>
      </c>
    </row>
    <row r="10" spans="1:11" x14ac:dyDescent="0.25">
      <c r="A10" s="18"/>
      <c r="B10" s="234">
        <v>2500</v>
      </c>
      <c r="C10" s="78">
        <v>0.35</v>
      </c>
      <c r="D10" s="47"/>
      <c r="E10" s="47"/>
      <c r="F10" s="47"/>
      <c r="G10" s="16"/>
      <c r="I10" t="s">
        <v>680</v>
      </c>
      <c r="J10" s="186">
        <f>J9/J8</f>
        <v>0.52184179456906732</v>
      </c>
      <c r="K10" t="s">
        <v>633</v>
      </c>
    </row>
    <row r="11" spans="1:11" x14ac:dyDescent="0.25">
      <c r="A11" s="18"/>
      <c r="B11" s="234">
        <v>10000</v>
      </c>
      <c r="C11" s="78">
        <v>0.15</v>
      </c>
      <c r="D11" s="47"/>
      <c r="E11" s="47"/>
      <c r="F11" s="47"/>
      <c r="G11" s="16"/>
    </row>
    <row r="12" spans="1:11" x14ac:dyDescent="0.25">
      <c r="A12" s="18"/>
      <c r="B12" s="235">
        <v>25000</v>
      </c>
      <c r="C12" s="25">
        <v>0.05</v>
      </c>
      <c r="D12" s="47"/>
      <c r="E12" s="47"/>
      <c r="F12" s="47"/>
      <c r="G12" s="16"/>
      <c r="I12" s="39">
        <f>B16*B15*(1+B17)</f>
        <v>330000</v>
      </c>
      <c r="J12" t="s">
        <v>634</v>
      </c>
    </row>
    <row r="13" spans="1:11" x14ac:dyDescent="0.25">
      <c r="A13" s="18"/>
      <c r="B13" s="47"/>
      <c r="C13" s="47"/>
      <c r="D13" s="47"/>
      <c r="E13" s="47"/>
      <c r="F13" s="47"/>
      <c r="G13" s="16"/>
      <c r="I13" s="189">
        <f>I12*(1-J10)</f>
        <v>157792.20779220777</v>
      </c>
      <c r="J13" t="s">
        <v>635</v>
      </c>
    </row>
    <row r="14" spans="1:11" x14ac:dyDescent="0.25">
      <c r="A14" s="18"/>
      <c r="B14" s="205">
        <v>5000</v>
      </c>
      <c r="C14" s="225" t="s">
        <v>619</v>
      </c>
      <c r="D14" s="121"/>
      <c r="E14" s="122"/>
      <c r="F14" s="47"/>
      <c r="G14" s="16"/>
    </row>
    <row r="15" spans="1:11" x14ac:dyDescent="0.25">
      <c r="A15" s="18"/>
      <c r="B15" s="195">
        <v>500000</v>
      </c>
      <c r="C15" s="226" t="s">
        <v>620</v>
      </c>
      <c r="D15" s="47"/>
      <c r="E15" s="124"/>
      <c r="F15" s="47"/>
      <c r="G15" s="16"/>
      <c r="I15" s="228">
        <f>(I13+B18)/(1-B19-B20)</f>
        <v>297402.59740259737</v>
      </c>
      <c r="J15" t="s">
        <v>636</v>
      </c>
    </row>
    <row r="16" spans="1:11" x14ac:dyDescent="0.25">
      <c r="A16" s="18"/>
      <c r="B16" s="130">
        <v>0.6</v>
      </c>
      <c r="C16" s="226" t="s">
        <v>621</v>
      </c>
      <c r="D16" s="47"/>
      <c r="E16" s="124"/>
      <c r="F16" s="47"/>
      <c r="G16" s="16"/>
    </row>
    <row r="17" spans="1:7" x14ac:dyDescent="0.25">
      <c r="A17" s="18"/>
      <c r="B17" s="130">
        <v>0.1</v>
      </c>
      <c r="C17" s="226" t="s">
        <v>622</v>
      </c>
      <c r="D17" s="47"/>
      <c r="E17" s="124"/>
      <c r="F17" s="47"/>
      <c r="G17" s="16"/>
    </row>
    <row r="18" spans="1:7" x14ac:dyDescent="0.25">
      <c r="A18" s="18"/>
      <c r="B18" s="195">
        <v>95000</v>
      </c>
      <c r="C18" s="226" t="s">
        <v>623</v>
      </c>
      <c r="D18" s="47"/>
      <c r="E18" s="124"/>
      <c r="F18" s="47"/>
      <c r="G18" s="16"/>
    </row>
    <row r="19" spans="1:7" x14ac:dyDescent="0.25">
      <c r="A19" s="18"/>
      <c r="B19" s="130">
        <v>0.12</v>
      </c>
      <c r="C19" s="226" t="s">
        <v>624</v>
      </c>
      <c r="D19" s="47"/>
      <c r="E19" s="124"/>
      <c r="F19" s="47"/>
      <c r="G19" s="16"/>
    </row>
    <row r="20" spans="1:7" x14ac:dyDescent="0.25">
      <c r="A20" s="18"/>
      <c r="B20" s="131">
        <v>0.03</v>
      </c>
      <c r="C20" s="227" t="s">
        <v>625</v>
      </c>
      <c r="D20" s="127"/>
      <c r="E20" s="128"/>
      <c r="F20" s="47"/>
      <c r="G20" s="16"/>
    </row>
    <row r="21" spans="1:7" x14ac:dyDescent="0.25">
      <c r="A21" s="18"/>
      <c r="B21" s="47"/>
      <c r="C21" s="47"/>
      <c r="D21" s="47"/>
      <c r="E21" s="47"/>
      <c r="F21" s="47"/>
      <c r="G21" s="16"/>
    </row>
    <row r="22" spans="1:7" x14ac:dyDescent="0.25">
      <c r="A22" s="18"/>
      <c r="B22" s="47" t="s">
        <v>626</v>
      </c>
      <c r="C22" s="47"/>
      <c r="D22" s="47"/>
      <c r="E22" s="47"/>
      <c r="F22" s="47"/>
      <c r="G22" s="16"/>
    </row>
    <row r="23" spans="1:7" x14ac:dyDescent="0.25">
      <c r="A23" s="18"/>
      <c r="B23" s="47"/>
      <c r="C23" s="47"/>
      <c r="D23" s="47"/>
      <c r="E23" s="47"/>
      <c r="F23" s="47"/>
      <c r="G23" s="16"/>
    </row>
    <row r="24" spans="1:7" ht="15.75" thickBot="1" x14ac:dyDescent="0.3">
      <c r="A24" s="179" t="s">
        <v>10</v>
      </c>
      <c r="B24" s="20" t="s">
        <v>627</v>
      </c>
      <c r="C24" s="20"/>
      <c r="D24" s="20"/>
      <c r="E24" s="20"/>
      <c r="F24" s="20"/>
      <c r="G24" s="21"/>
    </row>
  </sheetData>
  <mergeCells count="1">
    <mergeCell ref="F1:G1"/>
  </mergeCells>
  <hyperlinks>
    <hyperlink ref="F1" location="TOC!A1" display="Return to TOC" xr:uid="{6D383F8A-B8B5-488D-BA87-89FD7CDA4368}"/>
  </hyperlinks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07D8D0-92BE-4AE7-B809-24AA99399984}">
  <sheetPr codeName="Sheet21"/>
  <dimension ref="A1:M31"/>
  <sheetViews>
    <sheetView workbookViewId="0"/>
  </sheetViews>
  <sheetFormatPr defaultRowHeight="15" x14ac:dyDescent="0.25"/>
  <cols>
    <col min="1" max="1" width="14" bestFit="1" customWidth="1"/>
    <col min="2" max="2" width="11" customWidth="1"/>
    <col min="3" max="3" width="11.28515625" bestFit="1" customWidth="1"/>
    <col min="5" max="5" width="11.140625" customWidth="1"/>
    <col min="7" max="7" width="4.140625" customWidth="1"/>
    <col min="8" max="8" width="3.7109375" customWidth="1"/>
    <col min="9" max="9" width="9.85546875" bestFit="1" customWidth="1"/>
    <col min="11" max="12" width="10.85546875" bestFit="1" customWidth="1"/>
  </cols>
  <sheetData>
    <row r="1" spans="1:13" x14ac:dyDescent="0.25">
      <c r="A1" s="6" t="s">
        <v>4</v>
      </c>
      <c r="B1" s="7" t="s">
        <v>443</v>
      </c>
      <c r="C1" s="7"/>
      <c r="D1" s="8"/>
      <c r="E1" s="8"/>
      <c r="F1" s="265" t="s">
        <v>5</v>
      </c>
      <c r="G1" s="266"/>
      <c r="H1" s="9"/>
      <c r="I1" s="10" t="s">
        <v>6</v>
      </c>
    </row>
    <row r="2" spans="1:13" x14ac:dyDescent="0.25">
      <c r="A2" s="11" t="s">
        <v>7</v>
      </c>
      <c r="B2" s="45" t="s">
        <v>638</v>
      </c>
      <c r="C2" s="45"/>
      <c r="D2" s="45"/>
      <c r="E2" s="45"/>
      <c r="F2" s="45"/>
      <c r="G2" s="12"/>
      <c r="H2" t="s">
        <v>14</v>
      </c>
    </row>
    <row r="3" spans="1:13" x14ac:dyDescent="0.25">
      <c r="A3" s="11" t="s">
        <v>8</v>
      </c>
      <c r="B3" s="45" t="s">
        <v>662</v>
      </c>
      <c r="C3" s="45"/>
      <c r="D3" s="45"/>
      <c r="E3" s="45"/>
      <c r="F3" s="45"/>
      <c r="G3" s="12"/>
    </row>
    <row r="4" spans="1:13" x14ac:dyDescent="0.25">
      <c r="A4" s="13"/>
      <c r="B4" s="47"/>
      <c r="C4" s="47"/>
      <c r="D4" s="47"/>
      <c r="E4" s="47"/>
      <c r="F4" s="47"/>
      <c r="G4" s="14"/>
    </row>
    <row r="5" spans="1:13" x14ac:dyDescent="0.25">
      <c r="A5" s="15" t="s">
        <v>9</v>
      </c>
      <c r="B5" s="47" t="s">
        <v>639</v>
      </c>
      <c r="C5" s="47"/>
      <c r="D5" s="47"/>
      <c r="E5" s="47"/>
      <c r="F5" s="47"/>
      <c r="G5" s="16"/>
      <c r="I5" t="s">
        <v>654</v>
      </c>
    </row>
    <row r="6" spans="1:13" x14ac:dyDescent="0.25">
      <c r="A6" s="18"/>
      <c r="B6" s="47"/>
      <c r="C6" s="47"/>
      <c r="D6" s="47"/>
      <c r="E6" s="47"/>
      <c r="F6" s="47"/>
      <c r="G6" s="16"/>
      <c r="I6" s="88" t="s">
        <v>651</v>
      </c>
      <c r="J6" s="91" t="s">
        <v>652</v>
      </c>
      <c r="K6" s="90" t="s">
        <v>614</v>
      </c>
    </row>
    <row r="7" spans="1:13" x14ac:dyDescent="0.25">
      <c r="A7" s="18"/>
      <c r="B7" s="26" t="s">
        <v>640</v>
      </c>
      <c r="C7" s="23" t="s">
        <v>641</v>
      </c>
      <c r="D7" s="47"/>
      <c r="E7" s="47"/>
      <c r="F7" s="47"/>
      <c r="G7" s="16"/>
      <c r="I7" s="238">
        <v>100000</v>
      </c>
      <c r="J7" s="43">
        <f>I7/(1+$B$22)</f>
        <v>95238.095238095237</v>
      </c>
      <c r="K7" s="239">
        <f>C9</f>
        <v>0.95599999999999996</v>
      </c>
    </row>
    <row r="8" spans="1:13" x14ac:dyDescent="0.25">
      <c r="A8" s="18"/>
      <c r="B8" s="27" t="s">
        <v>411</v>
      </c>
      <c r="C8" s="25" t="s">
        <v>642</v>
      </c>
      <c r="D8" s="47"/>
      <c r="E8" s="47"/>
      <c r="F8" s="47"/>
      <c r="G8" s="16"/>
      <c r="I8" s="240">
        <v>500000</v>
      </c>
      <c r="J8" s="44">
        <f>I8/(1+$B$22)</f>
        <v>476190.47619047615</v>
      </c>
      <c r="K8" s="241">
        <f>C12</f>
        <v>1.6</v>
      </c>
    </row>
    <row r="9" spans="1:13" x14ac:dyDescent="0.25">
      <c r="A9" s="18"/>
      <c r="B9" s="195">
        <v>95238</v>
      </c>
      <c r="C9" s="236">
        <v>0.95599999999999996</v>
      </c>
      <c r="D9" s="47"/>
      <c r="E9" s="47"/>
      <c r="F9" s="47"/>
      <c r="G9" s="16"/>
    </row>
    <row r="10" spans="1:13" x14ac:dyDescent="0.25">
      <c r="A10" s="18"/>
      <c r="B10" s="195">
        <v>100000</v>
      </c>
      <c r="C10" s="236">
        <v>1</v>
      </c>
      <c r="D10" s="47"/>
      <c r="E10" s="47"/>
      <c r="F10" s="47"/>
      <c r="G10" s="16"/>
      <c r="I10" t="s">
        <v>653</v>
      </c>
      <c r="J10" s="53">
        <f>K8/K7</f>
        <v>1.6736401673640169</v>
      </c>
    </row>
    <row r="11" spans="1:13" x14ac:dyDescent="0.25">
      <c r="A11" s="18"/>
      <c r="B11" s="195">
        <v>105000</v>
      </c>
      <c r="C11" s="236">
        <v>1.0449999999999999</v>
      </c>
      <c r="D11" s="47"/>
      <c r="E11" s="47"/>
      <c r="F11" s="47"/>
      <c r="G11" s="16"/>
    </row>
    <row r="12" spans="1:13" x14ac:dyDescent="0.25">
      <c r="A12" s="18"/>
      <c r="B12" s="195">
        <v>476190</v>
      </c>
      <c r="C12" s="236">
        <v>1.6</v>
      </c>
      <c r="D12" s="47"/>
      <c r="E12" s="47"/>
      <c r="F12" s="47"/>
      <c r="G12" s="16"/>
      <c r="H12" t="s">
        <v>11</v>
      </c>
      <c r="L12" t="s">
        <v>657</v>
      </c>
      <c r="M12" t="s">
        <v>614</v>
      </c>
    </row>
    <row r="13" spans="1:13" x14ac:dyDescent="0.25">
      <c r="A13" s="18"/>
      <c r="B13" s="195">
        <v>500000</v>
      </c>
      <c r="C13" s="236">
        <v>1.6319999999999999</v>
      </c>
      <c r="D13" s="47"/>
      <c r="E13" s="47"/>
      <c r="F13" s="47"/>
      <c r="G13" s="16"/>
      <c r="I13" t="s">
        <v>655</v>
      </c>
      <c r="K13" s="39">
        <v>500000</v>
      </c>
      <c r="L13" s="39">
        <f>K13/(1+$B$22)</f>
        <v>476190.47619047615</v>
      </c>
      <c r="M13" s="231">
        <f>C12</f>
        <v>1.6</v>
      </c>
    </row>
    <row r="14" spans="1:13" x14ac:dyDescent="0.25">
      <c r="A14" s="18"/>
      <c r="B14" s="195">
        <v>525000</v>
      </c>
      <c r="C14" s="236">
        <v>1.66</v>
      </c>
      <c r="D14" s="47"/>
      <c r="E14" s="47"/>
      <c r="F14" s="47"/>
      <c r="G14" s="16"/>
      <c r="I14" t="s">
        <v>656</v>
      </c>
      <c r="K14" s="39">
        <f>K13+2*10^6</f>
        <v>2500000</v>
      </c>
      <c r="L14" s="39">
        <f>K14/(1+$B$22)</f>
        <v>2380952.3809523811</v>
      </c>
      <c r="M14" s="231">
        <f>C18</f>
        <v>2.3039999999999998</v>
      </c>
    </row>
    <row r="15" spans="1:13" x14ac:dyDescent="0.25">
      <c r="A15" s="18"/>
      <c r="B15" s="195">
        <v>1904762</v>
      </c>
      <c r="C15" s="236">
        <v>2.1720000000000002</v>
      </c>
      <c r="D15" s="47"/>
      <c r="E15" s="47"/>
      <c r="F15" s="47"/>
      <c r="G15" s="16"/>
    </row>
    <row r="16" spans="1:13" x14ac:dyDescent="0.25">
      <c r="A16" s="18"/>
      <c r="B16" s="195">
        <v>2000000</v>
      </c>
      <c r="C16" s="236">
        <v>2.2050000000000001</v>
      </c>
      <c r="D16" s="47"/>
      <c r="E16" s="47"/>
      <c r="F16" s="47"/>
      <c r="G16" s="16"/>
      <c r="I16" t="s">
        <v>653</v>
      </c>
      <c r="J16" s="61">
        <f>M14-M13</f>
        <v>0.70399999999999974</v>
      </c>
      <c r="K16" t="s">
        <v>661</v>
      </c>
    </row>
    <row r="17" spans="1:10" x14ac:dyDescent="0.25">
      <c r="A17" s="18"/>
      <c r="B17" s="195">
        <v>2100000</v>
      </c>
      <c r="C17" s="236">
        <v>2.2349999999999999</v>
      </c>
      <c r="D17" s="47"/>
      <c r="E17" s="47"/>
      <c r="F17" s="47"/>
      <c r="G17" s="16"/>
    </row>
    <row r="18" spans="1:10" x14ac:dyDescent="0.25">
      <c r="A18" s="18"/>
      <c r="B18" s="195">
        <v>2380952</v>
      </c>
      <c r="C18" s="236">
        <v>2.3039999999999998</v>
      </c>
      <c r="D18" s="47"/>
      <c r="E18" s="47"/>
      <c r="F18" s="47"/>
      <c r="G18" s="16"/>
      <c r="I18" s="39">
        <f>B24*B23</f>
        <v>3200</v>
      </c>
      <c r="J18" t="s">
        <v>658</v>
      </c>
    </row>
    <row r="19" spans="1:10" x14ac:dyDescent="0.25">
      <c r="A19" s="18"/>
      <c r="B19" s="195">
        <v>2500000</v>
      </c>
      <c r="C19" s="236">
        <v>2.3250000000000002</v>
      </c>
      <c r="D19" s="47"/>
      <c r="E19" s="47"/>
      <c r="F19" s="47"/>
      <c r="G19" s="16"/>
    </row>
    <row r="20" spans="1:10" x14ac:dyDescent="0.25">
      <c r="A20" s="18"/>
      <c r="B20" s="196">
        <v>2625000</v>
      </c>
      <c r="C20" s="237">
        <v>2.3330000000000002</v>
      </c>
      <c r="D20" s="47"/>
      <c r="E20" s="47"/>
      <c r="F20" s="47"/>
      <c r="G20" s="16"/>
      <c r="I20" s="39">
        <f>I18*(1+B22)</f>
        <v>3360</v>
      </c>
      <c r="J20" t="s">
        <v>659</v>
      </c>
    </row>
    <row r="21" spans="1:10" x14ac:dyDescent="0.25">
      <c r="A21" s="18"/>
      <c r="B21" s="47"/>
      <c r="C21" s="47"/>
      <c r="D21" s="47"/>
      <c r="E21" s="47"/>
      <c r="F21" s="47"/>
      <c r="G21" s="16"/>
    </row>
    <row r="22" spans="1:10" x14ac:dyDescent="0.25">
      <c r="A22" s="18"/>
      <c r="B22" s="129">
        <v>0.05</v>
      </c>
      <c r="C22" s="225" t="s">
        <v>643</v>
      </c>
      <c r="D22" s="121"/>
      <c r="E22" s="122"/>
      <c r="F22" s="47"/>
      <c r="G22" s="16"/>
      <c r="I22" s="228">
        <f>I20*J16</f>
        <v>2365.4399999999991</v>
      </c>
      <c r="J22" t="s">
        <v>660</v>
      </c>
    </row>
    <row r="23" spans="1:10" x14ac:dyDescent="0.25">
      <c r="A23" s="18"/>
      <c r="B23" s="130">
        <v>0.2</v>
      </c>
      <c r="C23" s="226" t="s">
        <v>644</v>
      </c>
      <c r="D23" s="47"/>
      <c r="E23" s="124"/>
      <c r="F23" s="47"/>
      <c r="G23" s="16"/>
    </row>
    <row r="24" spans="1:10" x14ac:dyDescent="0.25">
      <c r="A24" s="18"/>
      <c r="B24" s="196">
        <v>16000</v>
      </c>
      <c r="C24" s="227" t="s">
        <v>645</v>
      </c>
      <c r="D24" s="127"/>
      <c r="E24" s="128"/>
      <c r="F24" s="47"/>
      <c r="G24" s="16"/>
    </row>
    <row r="25" spans="1:10" x14ac:dyDescent="0.25">
      <c r="A25" s="18"/>
      <c r="B25" s="47"/>
      <c r="C25" s="47"/>
      <c r="D25" s="47"/>
      <c r="E25" s="47"/>
      <c r="F25" s="47"/>
      <c r="G25" s="16"/>
    </row>
    <row r="26" spans="1:10" x14ac:dyDescent="0.25">
      <c r="A26" s="52" t="s">
        <v>10</v>
      </c>
      <c r="B26" s="47" t="s">
        <v>646</v>
      </c>
      <c r="C26" s="47"/>
      <c r="D26" s="47"/>
      <c r="E26" s="47"/>
      <c r="F26" s="47"/>
      <c r="G26" s="16"/>
    </row>
    <row r="27" spans="1:10" x14ac:dyDescent="0.25">
      <c r="A27" s="18"/>
      <c r="B27" s="47" t="s">
        <v>647</v>
      </c>
      <c r="C27" s="47"/>
      <c r="D27" s="47"/>
      <c r="E27" s="47"/>
      <c r="F27" s="47"/>
      <c r="G27" s="16"/>
    </row>
    <row r="28" spans="1:10" x14ac:dyDescent="0.25">
      <c r="A28" s="18"/>
      <c r="B28" s="47"/>
      <c r="C28" s="47"/>
      <c r="D28" s="47"/>
      <c r="E28" s="47"/>
      <c r="F28" s="47"/>
      <c r="G28" s="16"/>
    </row>
    <row r="29" spans="1:10" x14ac:dyDescent="0.25">
      <c r="A29" s="18"/>
      <c r="B29" s="47" t="s">
        <v>648</v>
      </c>
      <c r="C29" s="47"/>
      <c r="D29" s="47"/>
      <c r="E29" s="47"/>
      <c r="F29" s="47"/>
      <c r="G29" s="16"/>
    </row>
    <row r="30" spans="1:10" x14ac:dyDescent="0.25">
      <c r="A30" s="18"/>
      <c r="B30" s="47" t="s">
        <v>649</v>
      </c>
      <c r="C30" s="47"/>
      <c r="D30" s="47"/>
      <c r="E30" s="47"/>
      <c r="F30" s="47"/>
      <c r="G30" s="16"/>
    </row>
    <row r="31" spans="1:10" ht="15.75" thickBot="1" x14ac:dyDescent="0.3">
      <c r="A31" s="19"/>
      <c r="B31" s="20" t="s">
        <v>650</v>
      </c>
      <c r="C31" s="20"/>
      <c r="D31" s="20"/>
      <c r="E31" s="20"/>
      <c r="F31" s="20"/>
      <c r="G31" s="21"/>
    </row>
  </sheetData>
  <mergeCells count="1">
    <mergeCell ref="F1:G1"/>
  </mergeCells>
  <hyperlinks>
    <hyperlink ref="F1" location="TOC!A1" display="Return to TOC" xr:uid="{3501B80A-1C28-4CED-BDC1-0B967EB2B037}"/>
  </hyperlinks>
  <pageMargins left="0.7" right="0.7" top="0.75" bottom="0.75" header="0.3" footer="0.3"/>
  <drawing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000B5D-4B36-4531-BDE4-35B86945F28C}">
  <sheetPr codeName="Sheet22"/>
  <dimension ref="A1:V49"/>
  <sheetViews>
    <sheetView workbookViewId="0"/>
  </sheetViews>
  <sheetFormatPr defaultRowHeight="15" x14ac:dyDescent="0.25"/>
  <cols>
    <col min="1" max="1" width="14" bestFit="1" customWidth="1"/>
    <col min="2" max="2" width="12.140625" customWidth="1"/>
    <col min="3" max="3" width="11.28515625" bestFit="1" customWidth="1"/>
    <col min="9" max="9" width="5.7109375" customWidth="1"/>
    <col min="10" max="10" width="3.7109375" customWidth="1"/>
    <col min="11" max="11" width="10.85546875" bestFit="1" customWidth="1"/>
    <col min="19" max="19" width="10" bestFit="1" customWidth="1"/>
  </cols>
  <sheetData>
    <row r="1" spans="1:14" x14ac:dyDescent="0.25">
      <c r="A1" s="6" t="s">
        <v>4</v>
      </c>
      <c r="B1" s="7" t="s">
        <v>443</v>
      </c>
      <c r="C1" s="7"/>
      <c r="D1" s="8"/>
      <c r="E1" s="8"/>
      <c r="F1" s="8"/>
      <c r="G1" s="8"/>
      <c r="H1" s="265" t="s">
        <v>5</v>
      </c>
      <c r="I1" s="266"/>
      <c r="J1" s="9"/>
      <c r="K1" s="10" t="s">
        <v>6</v>
      </c>
    </row>
    <row r="2" spans="1:14" x14ac:dyDescent="0.25">
      <c r="A2" s="11" t="s">
        <v>7</v>
      </c>
      <c r="B2" s="45" t="s">
        <v>663</v>
      </c>
      <c r="C2" s="45"/>
      <c r="D2" s="45"/>
      <c r="E2" s="45"/>
      <c r="F2" s="45"/>
      <c r="G2" s="45"/>
      <c r="H2" s="45"/>
      <c r="I2" s="12"/>
      <c r="J2" t="s">
        <v>14</v>
      </c>
      <c r="K2" t="s">
        <v>679</v>
      </c>
    </row>
    <row r="3" spans="1:14" x14ac:dyDescent="0.25">
      <c r="A3" s="11" t="s">
        <v>8</v>
      </c>
      <c r="B3" s="45" t="s">
        <v>709</v>
      </c>
      <c r="C3" s="45"/>
      <c r="D3" s="45"/>
      <c r="E3" s="45"/>
      <c r="F3" s="45"/>
      <c r="G3" s="45"/>
      <c r="H3" s="45"/>
      <c r="I3" s="12"/>
    </row>
    <row r="4" spans="1:14" x14ac:dyDescent="0.25">
      <c r="A4" s="13"/>
      <c r="B4" s="47"/>
      <c r="C4" s="47"/>
      <c r="D4" s="47"/>
      <c r="E4" s="47"/>
      <c r="F4" s="47"/>
      <c r="G4" s="47"/>
      <c r="H4" s="47"/>
      <c r="I4" s="14"/>
    </row>
    <row r="5" spans="1:14" x14ac:dyDescent="0.25">
      <c r="A5" s="15" t="s">
        <v>9</v>
      </c>
      <c r="B5" s="47" t="s">
        <v>675</v>
      </c>
      <c r="C5" s="47"/>
      <c r="D5" s="47"/>
      <c r="E5" s="47"/>
      <c r="F5" s="47"/>
      <c r="G5" s="47"/>
      <c r="H5" s="47"/>
      <c r="I5" s="16"/>
    </row>
    <row r="6" spans="1:14" x14ac:dyDescent="0.25">
      <c r="A6" s="18"/>
      <c r="B6" s="45" t="s">
        <v>676</v>
      </c>
      <c r="C6" s="47"/>
      <c r="D6" s="47"/>
      <c r="E6" s="47"/>
      <c r="F6" s="47"/>
      <c r="G6" s="47"/>
      <c r="H6" s="47"/>
      <c r="I6" s="16"/>
      <c r="K6" t="s">
        <v>681</v>
      </c>
    </row>
    <row r="7" spans="1:14" x14ac:dyDescent="0.25">
      <c r="A7" s="18"/>
      <c r="B7" s="47"/>
      <c r="C7" s="47"/>
      <c r="D7" s="47"/>
      <c r="E7" s="47"/>
      <c r="F7" s="47"/>
      <c r="G7" s="47"/>
      <c r="H7" s="47"/>
      <c r="I7" s="16"/>
      <c r="K7" t="s">
        <v>41</v>
      </c>
      <c r="L7" s="40">
        <f>300000</f>
        <v>300000</v>
      </c>
    </row>
    <row r="8" spans="1:14" x14ac:dyDescent="0.25">
      <c r="A8" s="18"/>
      <c r="B8" s="47" t="s">
        <v>678</v>
      </c>
      <c r="C8" s="47"/>
      <c r="D8" s="47"/>
      <c r="E8" s="47"/>
      <c r="F8" s="47"/>
      <c r="G8" s="47"/>
      <c r="H8" s="47"/>
      <c r="I8" s="16"/>
      <c r="K8" t="s">
        <v>42</v>
      </c>
      <c r="L8" s="40">
        <v>700000</v>
      </c>
    </row>
    <row r="9" spans="1:14" x14ac:dyDescent="0.25">
      <c r="A9" s="18"/>
      <c r="B9" s="47" t="s">
        <v>677</v>
      </c>
      <c r="C9" s="47"/>
      <c r="D9" s="47"/>
      <c r="E9" s="47"/>
      <c r="F9" s="47"/>
      <c r="G9" s="47"/>
      <c r="H9" s="47"/>
      <c r="I9" s="16"/>
      <c r="K9" t="s">
        <v>682</v>
      </c>
      <c r="L9" s="40">
        <f>L7+L8</f>
        <v>1000000</v>
      </c>
    </row>
    <row r="10" spans="1:14" x14ac:dyDescent="0.25">
      <c r="A10" s="18"/>
      <c r="B10" s="47"/>
      <c r="C10" s="47"/>
      <c r="D10" s="47"/>
      <c r="E10" s="47"/>
      <c r="F10" s="47"/>
      <c r="G10" s="47"/>
      <c r="H10" s="47"/>
      <c r="I10" s="16"/>
    </row>
    <row r="11" spans="1:14" ht="18" x14ac:dyDescent="0.35">
      <c r="A11" s="18"/>
      <c r="B11" s="26" t="s">
        <v>640</v>
      </c>
      <c r="C11" s="23" t="s">
        <v>641</v>
      </c>
      <c r="D11" s="47"/>
      <c r="E11" s="47"/>
      <c r="F11" s="47"/>
      <c r="G11" s="47"/>
      <c r="H11" s="47"/>
      <c r="I11" s="16"/>
      <c r="K11" s="253" t="s">
        <v>684</v>
      </c>
      <c r="L11" s="202" t="s">
        <v>685</v>
      </c>
      <c r="M11" s="232">
        <f>1+10%</f>
        <v>1.1000000000000001</v>
      </c>
    </row>
    <row r="12" spans="1:14" x14ac:dyDescent="0.25">
      <c r="A12" s="18"/>
      <c r="B12" s="27" t="s">
        <v>411</v>
      </c>
      <c r="C12" s="25" t="s">
        <v>642</v>
      </c>
      <c r="D12" s="47"/>
      <c r="E12" s="47"/>
      <c r="F12" s="47"/>
      <c r="G12" s="47"/>
      <c r="H12" s="47"/>
      <c r="I12" s="16"/>
    </row>
    <row r="13" spans="1:14" ht="18" x14ac:dyDescent="0.35">
      <c r="A13" s="18"/>
      <c r="B13" s="195">
        <v>100000</v>
      </c>
      <c r="C13" s="236">
        <v>1</v>
      </c>
      <c r="D13" s="47"/>
      <c r="E13" s="47"/>
      <c r="F13" s="47"/>
      <c r="G13" s="47"/>
      <c r="H13" s="47"/>
      <c r="I13" s="16"/>
      <c r="K13" t="s">
        <v>411</v>
      </c>
      <c r="L13" t="s">
        <v>683</v>
      </c>
      <c r="M13" t="s">
        <v>686</v>
      </c>
      <c r="N13" t="s">
        <v>687</v>
      </c>
    </row>
    <row r="14" spans="1:14" x14ac:dyDescent="0.25">
      <c r="A14" s="18"/>
      <c r="B14" s="195">
        <v>250000</v>
      </c>
      <c r="C14" s="236">
        <v>1.4990000000000001</v>
      </c>
      <c r="D14" s="47"/>
      <c r="E14" s="47"/>
      <c r="F14" s="47"/>
      <c r="G14" s="47"/>
      <c r="H14" s="47"/>
      <c r="I14" s="16"/>
      <c r="K14" s="40">
        <f>L7</f>
        <v>300000</v>
      </c>
      <c r="L14" s="231">
        <f>C16</f>
        <v>1.625</v>
      </c>
      <c r="M14" s="40">
        <f>K14/$M$11</f>
        <v>272727.27272727271</v>
      </c>
      <c r="N14" s="231">
        <f>C15</f>
        <v>1.5580000000000001</v>
      </c>
    </row>
    <row r="15" spans="1:14" x14ac:dyDescent="0.25">
      <c r="A15" s="18"/>
      <c r="B15" s="195">
        <v>272727</v>
      </c>
      <c r="C15" s="236">
        <v>1.5580000000000001</v>
      </c>
      <c r="D15" s="47"/>
      <c r="E15" s="47"/>
      <c r="F15" s="47"/>
      <c r="G15" s="47"/>
      <c r="H15" s="47"/>
      <c r="I15" s="16"/>
      <c r="K15" s="40">
        <f>L9</f>
        <v>1000000</v>
      </c>
      <c r="L15" s="231">
        <f>C22</f>
        <v>2.766</v>
      </c>
      <c r="M15" s="40">
        <f>K15/$M$11</f>
        <v>909090.90909090906</v>
      </c>
      <c r="N15" s="231">
        <f>C21</f>
        <v>2.6520000000000001</v>
      </c>
    </row>
    <row r="16" spans="1:14" x14ac:dyDescent="0.25">
      <c r="A16" s="18"/>
      <c r="B16" s="195">
        <v>300000</v>
      </c>
      <c r="C16" s="236">
        <v>1.625</v>
      </c>
      <c r="D16" s="47"/>
      <c r="E16" s="47"/>
      <c r="F16" s="47"/>
      <c r="G16" s="47"/>
      <c r="H16" s="47"/>
      <c r="I16" s="16"/>
    </row>
    <row r="17" spans="1:14" x14ac:dyDescent="0.25">
      <c r="A17" s="18"/>
      <c r="B17" s="195">
        <v>500000</v>
      </c>
      <c r="C17" s="236">
        <v>2.036</v>
      </c>
      <c r="D17" s="47"/>
      <c r="E17" s="47"/>
      <c r="F17" s="47"/>
      <c r="G17" s="47"/>
      <c r="H17" s="47"/>
      <c r="I17" s="16"/>
      <c r="K17" t="s">
        <v>688</v>
      </c>
    </row>
    <row r="18" spans="1:14" x14ac:dyDescent="0.25">
      <c r="A18" s="18"/>
      <c r="B18" s="195">
        <v>545455</v>
      </c>
      <c r="C18" s="236">
        <v>2.1160000000000001</v>
      </c>
      <c r="D18" s="47"/>
      <c r="E18" s="47"/>
      <c r="F18" s="47"/>
      <c r="G18" s="47"/>
      <c r="H18" s="47"/>
      <c r="I18" s="16"/>
      <c r="K18" s="254">
        <f>M11*(N15-N14)/(L15-L14)-1</f>
        <v>5.4688869412796048E-2</v>
      </c>
    </row>
    <row r="19" spans="1:14" x14ac:dyDescent="0.25">
      <c r="A19" s="18"/>
      <c r="B19" s="195">
        <v>600000</v>
      </c>
      <c r="C19" s="236">
        <v>2.2069999999999999</v>
      </c>
      <c r="D19" s="47"/>
      <c r="E19" s="47"/>
      <c r="F19" s="47"/>
      <c r="G19" s="47"/>
      <c r="H19" s="47"/>
      <c r="I19" s="16"/>
    </row>
    <row r="20" spans="1:14" x14ac:dyDescent="0.25">
      <c r="A20" s="18"/>
      <c r="B20" s="195">
        <v>833333</v>
      </c>
      <c r="C20" s="236">
        <v>2.552</v>
      </c>
      <c r="D20" s="47"/>
      <c r="E20" s="47"/>
      <c r="F20" s="47"/>
      <c r="G20" s="47"/>
      <c r="H20" s="47"/>
      <c r="I20" s="16"/>
      <c r="K20" s="253" t="s">
        <v>689</v>
      </c>
    </row>
    <row r="21" spans="1:14" x14ac:dyDescent="0.25">
      <c r="A21" s="18"/>
      <c r="B21" s="195">
        <v>909091</v>
      </c>
      <c r="C21" s="236">
        <v>2.6520000000000001</v>
      </c>
      <c r="D21" s="47"/>
      <c r="E21" s="47"/>
      <c r="F21" s="47"/>
      <c r="G21" s="47"/>
      <c r="H21" s="47"/>
      <c r="I21" s="16"/>
      <c r="K21" t="s">
        <v>690</v>
      </c>
    </row>
    <row r="22" spans="1:14" ht="18" x14ac:dyDescent="0.35">
      <c r="A22" s="18"/>
      <c r="B22" s="196">
        <v>1000000</v>
      </c>
      <c r="C22" s="237">
        <v>2.766</v>
      </c>
      <c r="D22" s="47"/>
      <c r="E22" s="47"/>
      <c r="F22" s="47"/>
      <c r="G22" s="47"/>
      <c r="H22" s="47"/>
      <c r="I22" s="16"/>
      <c r="K22" s="202" t="s">
        <v>685</v>
      </c>
      <c r="L22" s="232">
        <f>1+20%</f>
        <v>1.2</v>
      </c>
      <c r="M22" t="s">
        <v>691</v>
      </c>
    </row>
    <row r="23" spans="1:14" x14ac:dyDescent="0.25">
      <c r="A23" s="18"/>
      <c r="B23" s="47"/>
      <c r="C23" s="47"/>
      <c r="D23" s="47"/>
      <c r="E23" s="47"/>
      <c r="F23" s="47"/>
      <c r="G23" s="47"/>
      <c r="H23" s="47"/>
      <c r="I23" s="16"/>
    </row>
    <row r="24" spans="1:14" ht="18" x14ac:dyDescent="0.35">
      <c r="A24" s="18"/>
      <c r="B24" s="47" t="s">
        <v>670</v>
      </c>
      <c r="C24" s="47"/>
      <c r="D24" s="47"/>
      <c r="E24" s="47"/>
      <c r="F24" s="47"/>
      <c r="G24" s="47"/>
      <c r="H24" s="47"/>
      <c r="I24" s="16"/>
      <c r="K24" t="s">
        <v>411</v>
      </c>
      <c r="L24" t="s">
        <v>683</v>
      </c>
      <c r="M24" t="s">
        <v>686</v>
      </c>
      <c r="N24" t="s">
        <v>687</v>
      </c>
    </row>
    <row r="25" spans="1:14" x14ac:dyDescent="0.25">
      <c r="A25" s="18"/>
      <c r="B25" s="47"/>
      <c r="C25" s="47"/>
      <c r="D25" s="47"/>
      <c r="E25" s="47"/>
      <c r="F25" s="47"/>
      <c r="G25" s="47"/>
      <c r="H25" s="47"/>
      <c r="I25" s="16"/>
      <c r="K25" s="40">
        <v>300000</v>
      </c>
      <c r="L25" s="231">
        <f>C16</f>
        <v>1.625</v>
      </c>
      <c r="M25" s="40">
        <f>K25/$L$22</f>
        <v>250000</v>
      </c>
      <c r="N25" s="231">
        <f>C14</f>
        <v>1.4990000000000001</v>
      </c>
    </row>
    <row r="26" spans="1:14" x14ac:dyDescent="0.25">
      <c r="A26" s="18"/>
      <c r="B26" s="242" t="s">
        <v>666</v>
      </c>
      <c r="C26" s="47"/>
      <c r="D26" s="47"/>
      <c r="E26" s="47"/>
      <c r="F26" s="47"/>
      <c r="G26" s="47"/>
      <c r="H26" s="47"/>
      <c r="I26" s="16"/>
      <c r="K26" s="40">
        <v>600000</v>
      </c>
      <c r="L26" s="231">
        <f>C19</f>
        <v>2.2069999999999999</v>
      </c>
      <c r="M26" s="40">
        <f>K26/$L$22</f>
        <v>500000</v>
      </c>
      <c r="N26" s="231">
        <f>C17</f>
        <v>2.036</v>
      </c>
    </row>
    <row r="27" spans="1:14" x14ac:dyDescent="0.25">
      <c r="A27" s="18"/>
      <c r="B27" s="47"/>
      <c r="C27" s="47"/>
      <c r="D27" s="47"/>
      <c r="E27" s="47"/>
      <c r="F27" s="47"/>
      <c r="G27" s="47"/>
      <c r="H27" s="47"/>
      <c r="I27" s="16"/>
    </row>
    <row r="28" spans="1:14" x14ac:dyDescent="0.25">
      <c r="A28" s="18"/>
      <c r="B28" s="47" t="s">
        <v>667</v>
      </c>
      <c r="C28" s="47"/>
      <c r="D28" s="47"/>
      <c r="E28" s="47"/>
      <c r="F28" s="47"/>
      <c r="G28" s="47"/>
      <c r="H28" s="47"/>
      <c r="I28" s="16"/>
      <c r="K28" t="s">
        <v>692</v>
      </c>
    </row>
    <row r="29" spans="1:14" x14ac:dyDescent="0.25">
      <c r="A29" s="18"/>
      <c r="B29" s="50" t="s">
        <v>668</v>
      </c>
      <c r="C29" s="47"/>
      <c r="D29" s="47"/>
      <c r="E29" s="47"/>
      <c r="F29" s="47"/>
      <c r="G29" s="47"/>
      <c r="H29" s="47"/>
      <c r="I29" s="16"/>
      <c r="K29" t="s">
        <v>693</v>
      </c>
    </row>
    <row r="30" spans="1:14" x14ac:dyDescent="0.25">
      <c r="A30" s="18"/>
      <c r="B30" s="50" t="s">
        <v>669</v>
      </c>
      <c r="C30" s="47"/>
      <c r="D30" s="47"/>
      <c r="E30" s="47"/>
      <c r="F30" s="47"/>
      <c r="G30" s="47"/>
      <c r="H30" s="47"/>
      <c r="I30" s="16"/>
    </row>
    <row r="31" spans="1:14" x14ac:dyDescent="0.25">
      <c r="A31" s="18"/>
      <c r="B31" s="47"/>
      <c r="C31" s="47"/>
      <c r="D31" s="47"/>
      <c r="E31" s="47"/>
      <c r="F31" s="47"/>
      <c r="G31" s="47"/>
      <c r="H31" s="47"/>
      <c r="I31" s="16"/>
      <c r="K31" t="s">
        <v>694</v>
      </c>
      <c r="N31">
        <f>(C22-C19)+L22*(N26-N25)</f>
        <v>1.2034</v>
      </c>
    </row>
    <row r="32" spans="1:14" x14ac:dyDescent="0.25">
      <c r="A32" s="52" t="s">
        <v>10</v>
      </c>
      <c r="B32" s="47" t="s">
        <v>672</v>
      </c>
      <c r="C32" s="47"/>
      <c r="D32" s="47"/>
      <c r="E32" s="47"/>
      <c r="F32" s="47"/>
      <c r="G32" s="47"/>
      <c r="H32" s="47"/>
      <c r="I32" s="16"/>
      <c r="K32" t="s">
        <v>695</v>
      </c>
      <c r="N32" s="231">
        <f>C22-C16</f>
        <v>1.141</v>
      </c>
    </row>
    <row r="33" spans="1:22" x14ac:dyDescent="0.25">
      <c r="A33" s="18"/>
      <c r="B33" s="47" t="s">
        <v>671</v>
      </c>
      <c r="C33" s="47"/>
      <c r="D33" s="47"/>
      <c r="E33" s="47"/>
      <c r="F33" s="47"/>
      <c r="G33" s="47"/>
      <c r="H33" s="47"/>
      <c r="I33" s="16"/>
      <c r="K33" t="s">
        <v>688</v>
      </c>
      <c r="N33" s="254">
        <f>N31/N32-1</f>
        <v>5.4688869412795826E-2</v>
      </c>
    </row>
    <row r="34" spans="1:22" x14ac:dyDescent="0.25">
      <c r="A34" s="18"/>
      <c r="B34" s="47"/>
      <c r="C34" s="47"/>
      <c r="D34" s="47"/>
      <c r="E34" s="47"/>
      <c r="F34" s="47"/>
      <c r="G34" s="47"/>
      <c r="H34" s="47"/>
      <c r="I34" s="16"/>
    </row>
    <row r="35" spans="1:22" x14ac:dyDescent="0.25">
      <c r="A35" s="18"/>
      <c r="B35" s="47" t="s">
        <v>673</v>
      </c>
      <c r="C35" s="47"/>
      <c r="D35" s="47"/>
      <c r="E35" s="47"/>
      <c r="F35" s="47"/>
      <c r="G35" s="47"/>
      <c r="H35" s="47"/>
      <c r="I35" s="16"/>
      <c r="K35" t="s">
        <v>697</v>
      </c>
      <c r="N35" t="b">
        <f>K18&lt;=N33</f>
        <v>0</v>
      </c>
    </row>
    <row r="36" spans="1:22" ht="15.75" thickBot="1" x14ac:dyDescent="0.3">
      <c r="A36" s="19"/>
      <c r="B36" s="243" t="s">
        <v>674</v>
      </c>
      <c r="C36" s="20"/>
      <c r="D36" s="20"/>
      <c r="E36" s="20"/>
      <c r="F36" s="20"/>
      <c r="G36" s="20"/>
      <c r="H36" s="20"/>
      <c r="I36" s="21"/>
    </row>
    <row r="37" spans="1:22" x14ac:dyDescent="0.25">
      <c r="K37" s="176" t="s">
        <v>696</v>
      </c>
      <c r="L37" s="176"/>
      <c r="M37" s="176"/>
      <c r="N37" s="176"/>
      <c r="O37" s="176"/>
      <c r="P37" s="176"/>
      <c r="Q37" s="176"/>
      <c r="R37" s="176"/>
      <c r="S37" s="176"/>
      <c r="T37" s="176"/>
      <c r="U37" s="176"/>
      <c r="V37" s="176"/>
    </row>
    <row r="39" spans="1:22" x14ac:dyDescent="0.25">
      <c r="J39" t="s">
        <v>11</v>
      </c>
      <c r="K39" t="s">
        <v>698</v>
      </c>
    </row>
    <row r="40" spans="1:22" x14ac:dyDescent="0.25">
      <c r="K40" t="s">
        <v>701</v>
      </c>
    </row>
    <row r="42" spans="1:22" x14ac:dyDescent="0.25">
      <c r="K42" t="s">
        <v>702</v>
      </c>
      <c r="N42" s="255">
        <f>(1+20%)*C17+(C22-C19)</f>
        <v>3.0022000000000002</v>
      </c>
      <c r="O42" t="s">
        <v>699</v>
      </c>
    </row>
    <row r="43" spans="1:22" x14ac:dyDescent="0.25">
      <c r="K43" t="s">
        <v>707</v>
      </c>
      <c r="R43" t="s">
        <v>411</v>
      </c>
      <c r="S43" t="s">
        <v>706</v>
      </c>
    </row>
    <row r="44" spans="1:22" x14ac:dyDescent="0.25">
      <c r="K44" t="s">
        <v>708</v>
      </c>
      <c r="R44" s="39">
        <v>600000</v>
      </c>
      <c r="S44" s="39">
        <f>R44/(1+20%)</f>
        <v>500000</v>
      </c>
    </row>
    <row r="46" spans="1:22" x14ac:dyDescent="0.25">
      <c r="K46" s="231" t="s">
        <v>703</v>
      </c>
      <c r="N46" s="255">
        <f>(1+20%)*C14</f>
        <v>1.7988</v>
      </c>
      <c r="O46" t="s">
        <v>699</v>
      </c>
      <c r="R46" t="s">
        <v>411</v>
      </c>
      <c r="S46" t="s">
        <v>706</v>
      </c>
    </row>
    <row r="47" spans="1:22" x14ac:dyDescent="0.25">
      <c r="K47" t="s">
        <v>705</v>
      </c>
      <c r="R47" s="39">
        <f>B16</f>
        <v>300000</v>
      </c>
      <c r="S47" s="39">
        <f>R47/(1+20%)</f>
        <v>250000</v>
      </c>
    </row>
    <row r="49" spans="11:15" x14ac:dyDescent="0.25">
      <c r="K49" s="231" t="s">
        <v>700</v>
      </c>
      <c r="N49" s="53">
        <f>N42/N46</f>
        <v>1.6690015565932845</v>
      </c>
      <c r="O49" t="s">
        <v>704</v>
      </c>
    </row>
  </sheetData>
  <mergeCells count="1">
    <mergeCell ref="H1:I1"/>
  </mergeCells>
  <hyperlinks>
    <hyperlink ref="H1" location="TOC!A1" display="Return to TOC" xr:uid="{9FB8B912-EEAD-42A4-9114-1BB1E746B714}"/>
  </hyperlinks>
  <pageMargins left="0.7" right="0.7" top="0.75" bottom="0.75" header="0.3" footer="0.3"/>
  <drawing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85DEB6-7B8E-4295-96E8-2448215553DA}">
  <sheetPr codeName="Sheet23"/>
  <dimension ref="A1:J26"/>
  <sheetViews>
    <sheetView workbookViewId="0"/>
  </sheetViews>
  <sheetFormatPr defaultRowHeight="15" x14ac:dyDescent="0.25"/>
  <cols>
    <col min="1" max="1" width="14" bestFit="1" customWidth="1"/>
    <col min="2" max="2" width="14.5703125" customWidth="1"/>
    <col min="3" max="3" width="11.5703125" bestFit="1" customWidth="1"/>
    <col min="4" max="4" width="13.85546875" bestFit="1" customWidth="1"/>
    <col min="7" max="7" width="8.5703125" customWidth="1"/>
    <col min="8" max="8" width="3.7109375" customWidth="1"/>
    <col min="9" max="9" width="9.85546875" bestFit="1" customWidth="1"/>
    <col min="10" max="10" width="12.5703125" bestFit="1" customWidth="1"/>
  </cols>
  <sheetData>
    <row r="1" spans="1:10" x14ac:dyDescent="0.25">
      <c r="A1" s="6" t="s">
        <v>4</v>
      </c>
      <c r="B1" s="7" t="s">
        <v>443</v>
      </c>
      <c r="C1" s="7"/>
      <c r="D1" s="8"/>
      <c r="E1" s="8"/>
      <c r="F1" s="265" t="s">
        <v>5</v>
      </c>
      <c r="G1" s="266"/>
      <c r="H1" s="9"/>
      <c r="I1" s="10" t="s">
        <v>6</v>
      </c>
    </row>
    <row r="2" spans="1:10" x14ac:dyDescent="0.25">
      <c r="A2" s="11" t="s">
        <v>7</v>
      </c>
      <c r="B2" s="45" t="s">
        <v>664</v>
      </c>
      <c r="C2" s="45"/>
      <c r="D2" s="45"/>
      <c r="E2" s="45"/>
      <c r="F2" s="45"/>
      <c r="G2" s="12"/>
      <c r="H2" t="s">
        <v>14</v>
      </c>
      <c r="I2" s="189">
        <f>C11*B18</f>
        <v>1943.3000000000002</v>
      </c>
      <c r="J2" t="s">
        <v>721</v>
      </c>
    </row>
    <row r="3" spans="1:10" x14ac:dyDescent="0.25">
      <c r="A3" s="11" t="s">
        <v>8</v>
      </c>
      <c r="B3" s="45" t="s">
        <v>732</v>
      </c>
      <c r="C3" s="45"/>
      <c r="D3" s="45"/>
      <c r="E3" s="45"/>
      <c r="F3" s="45"/>
      <c r="G3" s="12"/>
      <c r="I3" s="189">
        <f>I2*B20</f>
        <v>97.16500000000002</v>
      </c>
      <c r="J3" t="s">
        <v>731</v>
      </c>
    </row>
    <row r="4" spans="1:10" x14ac:dyDescent="0.25">
      <c r="A4" s="13"/>
      <c r="B4" s="47"/>
      <c r="C4" s="47"/>
      <c r="D4" s="47"/>
      <c r="E4" s="47"/>
      <c r="F4" s="47"/>
      <c r="G4" s="14"/>
    </row>
    <row r="5" spans="1:10" x14ac:dyDescent="0.25">
      <c r="A5" s="15" t="s">
        <v>9</v>
      </c>
      <c r="B5" s="47" t="s">
        <v>713</v>
      </c>
      <c r="C5" s="47"/>
      <c r="D5" s="47"/>
      <c r="E5" s="47"/>
      <c r="F5" s="47"/>
      <c r="G5" s="16"/>
      <c r="I5" s="253" t="s">
        <v>724</v>
      </c>
    </row>
    <row r="6" spans="1:10" x14ac:dyDescent="0.25">
      <c r="A6" s="18"/>
      <c r="B6" s="45" t="s">
        <v>714</v>
      </c>
      <c r="C6" s="47"/>
      <c r="D6" s="47"/>
      <c r="E6" s="47"/>
      <c r="F6" s="47"/>
      <c r="G6" s="16"/>
    </row>
    <row r="7" spans="1:10" x14ac:dyDescent="0.25">
      <c r="A7" s="18"/>
      <c r="B7" s="45" t="s">
        <v>715</v>
      </c>
      <c r="C7" s="47"/>
      <c r="D7" s="47"/>
      <c r="E7" s="47"/>
      <c r="F7" s="47"/>
      <c r="G7" s="16"/>
      <c r="I7" t="s">
        <v>726</v>
      </c>
    </row>
    <row r="8" spans="1:10" x14ac:dyDescent="0.25">
      <c r="A8" s="18"/>
      <c r="B8" s="47"/>
      <c r="C8" s="47"/>
      <c r="D8" s="47"/>
      <c r="E8" s="47"/>
      <c r="F8" s="47"/>
      <c r="G8" s="16"/>
    </row>
    <row r="9" spans="1:10" x14ac:dyDescent="0.25">
      <c r="A9" s="18"/>
      <c r="B9" s="256" t="s">
        <v>28</v>
      </c>
      <c r="C9" s="120" t="s">
        <v>712</v>
      </c>
      <c r="D9" s="214"/>
      <c r="E9" s="47"/>
      <c r="F9" s="47"/>
      <c r="G9" s="16"/>
      <c r="I9" t="s">
        <v>725</v>
      </c>
    </row>
    <row r="10" spans="1:10" x14ac:dyDescent="0.25">
      <c r="A10" s="18"/>
      <c r="B10" s="257" t="s">
        <v>411</v>
      </c>
      <c r="C10" s="74" t="s">
        <v>710</v>
      </c>
      <c r="D10" s="25" t="s">
        <v>711</v>
      </c>
      <c r="E10" s="47"/>
      <c r="F10" s="47"/>
      <c r="G10" s="16"/>
    </row>
    <row r="11" spans="1:10" x14ac:dyDescent="0.25">
      <c r="A11" s="18"/>
      <c r="B11" s="195">
        <v>100000</v>
      </c>
      <c r="C11" s="192">
        <v>19433</v>
      </c>
      <c r="D11" s="35">
        <v>1284000000</v>
      </c>
      <c r="E11" s="47"/>
      <c r="F11" s="47"/>
      <c r="G11" s="16"/>
      <c r="I11" t="s">
        <v>727</v>
      </c>
    </row>
    <row r="12" spans="1:10" x14ac:dyDescent="0.25">
      <c r="A12" s="18"/>
      <c r="B12" s="195">
        <v>500000</v>
      </c>
      <c r="C12" s="192">
        <v>32923</v>
      </c>
      <c r="D12" s="35">
        <v>7962000000</v>
      </c>
      <c r="E12" s="47"/>
      <c r="F12" s="47"/>
      <c r="G12" s="16"/>
      <c r="I12" t="s">
        <v>282</v>
      </c>
      <c r="J12" s="258">
        <f>I3/D11</f>
        <v>7.5673676012461081E-8</v>
      </c>
    </row>
    <row r="13" spans="1:10" x14ac:dyDescent="0.25">
      <c r="A13" s="18"/>
      <c r="B13" s="195">
        <v>1000000</v>
      </c>
      <c r="C13" s="192">
        <v>38064</v>
      </c>
      <c r="D13" s="35">
        <v>15310000000</v>
      </c>
      <c r="E13" s="47"/>
      <c r="F13" s="47"/>
      <c r="G13" s="16"/>
    </row>
    <row r="14" spans="1:10" x14ac:dyDescent="0.25">
      <c r="A14" s="18"/>
      <c r="B14" s="195">
        <v>2000000</v>
      </c>
      <c r="C14" s="192">
        <v>42244</v>
      </c>
      <c r="D14" s="35">
        <v>27200000000.000004</v>
      </c>
      <c r="E14" s="47"/>
      <c r="F14" s="47"/>
      <c r="G14" s="16"/>
      <c r="I14" s="189">
        <f>J12*D15</f>
        <v>3904.0049454828672</v>
      </c>
      <c r="J14" t="s">
        <v>728</v>
      </c>
    </row>
    <row r="15" spans="1:10" x14ac:dyDescent="0.25">
      <c r="A15" s="18"/>
      <c r="B15" s="195">
        <v>5000000</v>
      </c>
      <c r="C15" s="192">
        <v>46109</v>
      </c>
      <c r="D15" s="35">
        <v>51590000000</v>
      </c>
      <c r="E15" s="47"/>
      <c r="F15" s="47"/>
      <c r="G15" s="16"/>
      <c r="I15" s="189"/>
    </row>
    <row r="16" spans="1:10" x14ac:dyDescent="0.25">
      <c r="A16" s="18"/>
      <c r="B16" s="196">
        <v>10000000</v>
      </c>
      <c r="C16" s="215">
        <v>47901</v>
      </c>
      <c r="D16" s="36">
        <v>76740000000</v>
      </c>
      <c r="E16" s="47"/>
      <c r="F16" s="47"/>
      <c r="G16" s="16"/>
      <c r="I16" t="s">
        <v>730</v>
      </c>
    </row>
    <row r="17" spans="1:10" x14ac:dyDescent="0.25">
      <c r="A17" s="18"/>
      <c r="B17" s="47"/>
      <c r="C17" s="47"/>
      <c r="D17" s="47"/>
      <c r="E17" s="47"/>
      <c r="F17" s="47"/>
      <c r="G17" s="16"/>
    </row>
    <row r="18" spans="1:10" x14ac:dyDescent="0.25">
      <c r="A18" s="18"/>
      <c r="B18" s="129">
        <v>0.1</v>
      </c>
      <c r="C18" s="225" t="s">
        <v>716</v>
      </c>
      <c r="D18" s="121"/>
      <c r="E18" s="121"/>
      <c r="F18" s="122"/>
      <c r="G18" s="16"/>
      <c r="I18" s="53">
        <f>(C15+I14)/(C11+I3)</f>
        <v>2.5608081112209176</v>
      </c>
      <c r="J18" t="s">
        <v>729</v>
      </c>
    </row>
    <row r="19" spans="1:10" x14ac:dyDescent="0.25">
      <c r="A19" s="18"/>
      <c r="B19" s="195">
        <v>100000</v>
      </c>
      <c r="C19" s="226" t="s">
        <v>717</v>
      </c>
      <c r="D19" s="47"/>
      <c r="E19" s="47"/>
      <c r="F19" s="124"/>
      <c r="G19" s="16"/>
    </row>
    <row r="20" spans="1:10" x14ac:dyDescent="0.25">
      <c r="A20" s="18"/>
      <c r="B20" s="131">
        <v>0.05</v>
      </c>
      <c r="C20" s="227" t="s">
        <v>718</v>
      </c>
      <c r="D20" s="127"/>
      <c r="E20" s="127"/>
      <c r="F20" s="128"/>
      <c r="G20" s="16"/>
    </row>
    <row r="21" spans="1:10" x14ac:dyDescent="0.25">
      <c r="A21" s="18"/>
      <c r="B21" s="47"/>
      <c r="C21" s="47"/>
      <c r="D21" s="47"/>
      <c r="E21" s="47"/>
      <c r="F21" s="47"/>
      <c r="G21" s="16"/>
    </row>
    <row r="22" spans="1:10" x14ac:dyDescent="0.25">
      <c r="A22" s="18"/>
      <c r="B22" s="47" t="s">
        <v>722</v>
      </c>
      <c r="C22" s="47"/>
      <c r="D22" s="47"/>
      <c r="E22" s="47"/>
      <c r="F22" s="47"/>
      <c r="G22" s="16"/>
    </row>
    <row r="23" spans="1:10" x14ac:dyDescent="0.25">
      <c r="A23" s="18"/>
      <c r="B23" s="50" t="s">
        <v>723</v>
      </c>
      <c r="C23" s="47"/>
      <c r="D23" s="47"/>
      <c r="E23" s="47"/>
      <c r="F23" s="47"/>
      <c r="G23" s="16"/>
    </row>
    <row r="24" spans="1:10" x14ac:dyDescent="0.25">
      <c r="A24" s="18"/>
      <c r="B24" s="47"/>
      <c r="C24" s="47"/>
      <c r="D24" s="47"/>
      <c r="E24" s="47"/>
      <c r="F24" s="47"/>
      <c r="G24" s="16"/>
    </row>
    <row r="25" spans="1:10" x14ac:dyDescent="0.25">
      <c r="A25" s="52" t="s">
        <v>10</v>
      </c>
      <c r="B25" s="47" t="s">
        <v>719</v>
      </c>
      <c r="C25" s="47"/>
      <c r="D25" s="47"/>
      <c r="E25" s="47"/>
      <c r="F25" s="47"/>
      <c r="G25" s="16"/>
    </row>
    <row r="26" spans="1:10" ht="15.75" thickBot="1" x14ac:dyDescent="0.3">
      <c r="A26" s="19"/>
      <c r="B26" s="20" t="s">
        <v>720</v>
      </c>
      <c r="C26" s="20"/>
      <c r="D26" s="20"/>
      <c r="E26" s="20"/>
      <c r="F26" s="20"/>
      <c r="G26" s="21"/>
    </row>
  </sheetData>
  <mergeCells count="1">
    <mergeCell ref="F1:G1"/>
  </mergeCells>
  <hyperlinks>
    <hyperlink ref="F1" location="TOC!A1" display="Return to TOC" xr:uid="{C2F920AC-EBB4-4D8C-82F2-0590E26102B2}"/>
  </hyperlinks>
  <pageMargins left="0.7" right="0.7" top="0.75" bottom="0.75" header="0.3" footer="0.3"/>
  <drawing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6BEAB3-8F79-471E-972F-427D2964EF8A}">
  <sheetPr codeName="Sheet24"/>
  <dimension ref="A1:K25"/>
  <sheetViews>
    <sheetView workbookViewId="0"/>
  </sheetViews>
  <sheetFormatPr defaultRowHeight="15" x14ac:dyDescent="0.25"/>
  <cols>
    <col min="1" max="1" width="14" bestFit="1" customWidth="1"/>
    <col min="2" max="2" width="12.5703125" bestFit="1" customWidth="1"/>
    <col min="4" max="4" width="16.7109375" bestFit="1" customWidth="1"/>
    <col min="6" max="6" width="10.42578125" customWidth="1"/>
    <col min="7" max="7" width="3.7109375" customWidth="1"/>
    <col min="8" max="8" width="9.140625" customWidth="1"/>
  </cols>
  <sheetData>
    <row r="1" spans="1:11" x14ac:dyDescent="0.25">
      <c r="A1" s="6" t="s">
        <v>4</v>
      </c>
      <c r="B1" s="7" t="s">
        <v>443</v>
      </c>
      <c r="C1" s="7"/>
      <c r="D1" s="8"/>
      <c r="E1" s="265" t="s">
        <v>5</v>
      </c>
      <c r="F1" s="266"/>
      <c r="G1" s="9"/>
      <c r="H1" s="10" t="s">
        <v>6</v>
      </c>
    </row>
    <row r="2" spans="1:11" x14ac:dyDescent="0.25">
      <c r="A2" s="11" t="s">
        <v>7</v>
      </c>
      <c r="B2" s="45" t="s">
        <v>665</v>
      </c>
      <c r="C2" s="45"/>
      <c r="D2" s="45"/>
      <c r="E2" s="45"/>
      <c r="F2" s="12"/>
      <c r="G2" t="s">
        <v>14</v>
      </c>
      <c r="H2" s="261">
        <f>C12/C9</f>
        <v>2.4000096000384001</v>
      </c>
      <c r="I2" t="s">
        <v>741</v>
      </c>
    </row>
    <row r="3" spans="1:11" x14ac:dyDescent="0.25">
      <c r="A3" s="11" t="s">
        <v>8</v>
      </c>
      <c r="B3" s="45" t="s">
        <v>601</v>
      </c>
      <c r="C3" s="45"/>
      <c r="D3" s="45"/>
      <c r="E3" s="45"/>
      <c r="F3" s="12"/>
    </row>
    <row r="4" spans="1:11" x14ac:dyDescent="0.25">
      <c r="A4" s="13"/>
      <c r="B4" s="47"/>
      <c r="C4" s="47"/>
      <c r="D4" s="47"/>
      <c r="E4" s="47"/>
      <c r="F4" s="14"/>
    </row>
    <row r="5" spans="1:11" x14ac:dyDescent="0.25">
      <c r="A5" s="15" t="s">
        <v>9</v>
      </c>
      <c r="B5" s="47" t="s">
        <v>733</v>
      </c>
      <c r="C5" s="47"/>
      <c r="D5" s="47"/>
      <c r="E5" s="47"/>
      <c r="F5" s="16"/>
    </row>
    <row r="6" spans="1:11" x14ac:dyDescent="0.25">
      <c r="A6" s="18"/>
      <c r="B6" s="45" t="s">
        <v>735</v>
      </c>
      <c r="C6" s="47"/>
      <c r="D6" s="47"/>
      <c r="E6" s="47"/>
      <c r="F6" s="16"/>
      <c r="H6" t="s">
        <v>744</v>
      </c>
      <c r="J6" s="40">
        <f>B17*(B18*(D9-C9^2)+B18*(C9^2))/B18</f>
        <v>2200</v>
      </c>
      <c r="K6" t="s">
        <v>747</v>
      </c>
    </row>
    <row r="7" spans="1:11" x14ac:dyDescent="0.25">
      <c r="A7" s="18"/>
      <c r="B7" s="47"/>
      <c r="C7" s="47"/>
      <c r="D7" s="47"/>
      <c r="E7" s="47"/>
      <c r="F7" s="16"/>
      <c r="J7" s="40">
        <f>B17*(B18*(D12-C12^2)+B18*C12^2)/B18</f>
        <v>55000.000000000007</v>
      </c>
      <c r="K7" t="s">
        <v>748</v>
      </c>
    </row>
    <row r="8" spans="1:11" ht="17.25" x14ac:dyDescent="0.25">
      <c r="A8" s="18"/>
      <c r="B8" s="193" t="s">
        <v>411</v>
      </c>
      <c r="C8" s="98" t="s">
        <v>185</v>
      </c>
      <c r="D8" s="194" t="s">
        <v>734</v>
      </c>
      <c r="E8" s="47"/>
      <c r="F8" s="16"/>
      <c r="H8" s="40"/>
    </row>
    <row r="9" spans="1:11" x14ac:dyDescent="0.25">
      <c r="A9" s="18"/>
      <c r="B9" s="109">
        <v>500000</v>
      </c>
      <c r="C9" s="28">
        <v>83333</v>
      </c>
      <c r="D9" s="35">
        <v>100000000000</v>
      </c>
      <c r="E9" s="47"/>
      <c r="F9" s="16"/>
      <c r="H9" s="261">
        <f>(C12+J7)/(C9+J6)</f>
        <v>2.9813054610501211</v>
      </c>
      <c r="I9" t="s">
        <v>745</v>
      </c>
    </row>
    <row r="10" spans="1:11" x14ac:dyDescent="0.25">
      <c r="A10" s="18"/>
      <c r="B10" s="109">
        <v>1000000</v>
      </c>
      <c r="C10" s="28">
        <v>142857</v>
      </c>
      <c r="D10" s="35">
        <v>400000000000</v>
      </c>
      <c r="E10" s="47"/>
      <c r="F10" s="16"/>
    </row>
    <row r="11" spans="1:11" x14ac:dyDescent="0.25">
      <c r="A11" s="18"/>
      <c r="B11" s="109">
        <v>1500000</v>
      </c>
      <c r="C11" s="28">
        <v>166667</v>
      </c>
      <c r="D11" s="35">
        <v>1200000000000</v>
      </c>
      <c r="E11" s="47"/>
      <c r="F11" s="16"/>
      <c r="H11" s="53">
        <f>H9-H2</f>
        <v>0.58129586101172093</v>
      </c>
      <c r="I11" t="s">
        <v>746</v>
      </c>
    </row>
    <row r="12" spans="1:11" x14ac:dyDescent="0.25">
      <c r="A12" s="18"/>
      <c r="B12" s="109">
        <v>2000000</v>
      </c>
      <c r="C12" s="28">
        <v>200000</v>
      </c>
      <c r="D12" s="35">
        <v>2500000000000</v>
      </c>
      <c r="E12" s="47"/>
      <c r="F12" s="16"/>
    </row>
    <row r="13" spans="1:11" x14ac:dyDescent="0.25">
      <c r="A13" s="18"/>
      <c r="B13" s="109">
        <v>2500000</v>
      </c>
      <c r="C13" s="28">
        <v>227273</v>
      </c>
      <c r="D13" s="35">
        <v>3400000000000</v>
      </c>
      <c r="E13" s="47"/>
      <c r="F13" s="16"/>
    </row>
    <row r="14" spans="1:11" x14ac:dyDescent="0.25">
      <c r="A14" s="18"/>
      <c r="B14" s="110">
        <v>3000000</v>
      </c>
      <c r="C14" s="29">
        <v>250000</v>
      </c>
      <c r="D14" s="36">
        <v>5000000000000</v>
      </c>
      <c r="E14" s="47"/>
      <c r="F14" s="16"/>
    </row>
    <row r="15" spans="1:11" x14ac:dyDescent="0.25">
      <c r="A15" s="18"/>
      <c r="B15" s="47"/>
      <c r="C15" s="47"/>
      <c r="D15" s="47"/>
      <c r="E15" s="47"/>
      <c r="F15" s="16"/>
    </row>
    <row r="16" spans="1:11" x14ac:dyDescent="0.25">
      <c r="A16" s="18"/>
      <c r="B16" s="205">
        <v>500000</v>
      </c>
      <c r="C16" s="225" t="s">
        <v>474</v>
      </c>
      <c r="D16" s="122"/>
      <c r="E16" s="47"/>
      <c r="F16" s="16"/>
    </row>
    <row r="17" spans="1:6" x14ac:dyDescent="0.25">
      <c r="A17" s="18"/>
      <c r="B17" s="259">
        <v>2.2000000000000002E-8</v>
      </c>
      <c r="C17" s="226" t="s">
        <v>736</v>
      </c>
      <c r="D17" s="124"/>
      <c r="E17" s="47"/>
      <c r="F17" s="16"/>
    </row>
    <row r="18" spans="1:6" x14ac:dyDescent="0.25">
      <c r="A18" s="18"/>
      <c r="B18" s="260">
        <v>2</v>
      </c>
      <c r="C18" s="227" t="s">
        <v>737</v>
      </c>
      <c r="D18" s="128"/>
      <c r="E18" s="47"/>
      <c r="F18" s="16"/>
    </row>
    <row r="19" spans="1:6" x14ac:dyDescent="0.25">
      <c r="A19" s="18"/>
      <c r="B19" s="47"/>
      <c r="C19" s="47"/>
      <c r="D19" s="47"/>
      <c r="E19" s="47"/>
      <c r="F19" s="16"/>
    </row>
    <row r="20" spans="1:6" x14ac:dyDescent="0.25">
      <c r="A20" s="18"/>
      <c r="B20" s="47" t="s">
        <v>743</v>
      </c>
      <c r="C20" s="47"/>
      <c r="D20" s="47"/>
      <c r="E20" s="47"/>
      <c r="F20" s="16"/>
    </row>
    <row r="21" spans="1:6" x14ac:dyDescent="0.25">
      <c r="A21" s="18"/>
      <c r="B21" s="47" t="s">
        <v>742</v>
      </c>
      <c r="C21" s="47"/>
      <c r="D21" s="47"/>
      <c r="E21" s="47"/>
      <c r="F21" s="16"/>
    </row>
    <row r="22" spans="1:6" x14ac:dyDescent="0.25">
      <c r="A22" s="18"/>
      <c r="B22" s="47"/>
      <c r="C22" s="47"/>
      <c r="D22" s="47"/>
      <c r="E22" s="47"/>
      <c r="F22" s="16"/>
    </row>
    <row r="23" spans="1:6" x14ac:dyDescent="0.25">
      <c r="A23" s="52" t="s">
        <v>10</v>
      </c>
      <c r="B23" s="47" t="s">
        <v>738</v>
      </c>
      <c r="C23" s="47"/>
      <c r="D23" s="47"/>
      <c r="E23" s="47"/>
      <c r="F23" s="16"/>
    </row>
    <row r="24" spans="1:6" x14ac:dyDescent="0.25">
      <c r="A24" s="18"/>
      <c r="B24" s="47" t="s">
        <v>739</v>
      </c>
      <c r="C24" s="47"/>
      <c r="D24" s="47"/>
      <c r="E24" s="47"/>
      <c r="F24" s="16"/>
    </row>
    <row r="25" spans="1:6" ht="15.75" thickBot="1" x14ac:dyDescent="0.3">
      <c r="A25" s="19"/>
      <c r="B25" s="20" t="s">
        <v>740</v>
      </c>
      <c r="C25" s="20"/>
      <c r="D25" s="20"/>
      <c r="E25" s="20"/>
      <c r="F25" s="21"/>
    </row>
  </sheetData>
  <mergeCells count="1">
    <mergeCell ref="E1:F1"/>
  </mergeCells>
  <hyperlinks>
    <hyperlink ref="E1" location="TOC!A1" display="Return to TOC" xr:uid="{77AF7CF2-F740-499B-BBF4-ED0F379CC49E}"/>
  </hyperlinks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ED045B-20C4-4974-92E0-09FA95210B74}">
  <sheetPr codeName="Sheet3"/>
  <dimension ref="A1:N41"/>
  <sheetViews>
    <sheetView workbookViewId="0"/>
  </sheetViews>
  <sheetFormatPr defaultRowHeight="15" x14ac:dyDescent="0.25"/>
  <cols>
    <col min="1" max="1" width="14" bestFit="1" customWidth="1"/>
    <col min="9" max="9" width="3.7109375" customWidth="1"/>
  </cols>
  <sheetData>
    <row r="1" spans="1:11" x14ac:dyDescent="0.25">
      <c r="A1" s="6" t="s">
        <v>4</v>
      </c>
      <c r="B1" s="7" t="s">
        <v>17</v>
      </c>
      <c r="C1" s="7"/>
      <c r="D1" s="8"/>
      <c r="E1" s="8"/>
      <c r="F1" s="8"/>
      <c r="G1" s="265" t="s">
        <v>5</v>
      </c>
      <c r="H1" s="266"/>
      <c r="I1" s="9"/>
      <c r="J1" s="10" t="s">
        <v>6</v>
      </c>
    </row>
    <row r="2" spans="1:11" x14ac:dyDescent="0.25">
      <c r="A2" s="11" t="s">
        <v>7</v>
      </c>
      <c r="B2" s="45" t="s">
        <v>54</v>
      </c>
      <c r="C2" s="45"/>
      <c r="D2" s="45"/>
      <c r="E2" s="45"/>
      <c r="F2" s="45"/>
      <c r="G2" s="45"/>
      <c r="H2" s="12"/>
      <c r="I2" t="s">
        <v>14</v>
      </c>
      <c r="J2" t="s">
        <v>65</v>
      </c>
    </row>
    <row r="3" spans="1:11" x14ac:dyDescent="0.25">
      <c r="A3" s="11" t="s">
        <v>8</v>
      </c>
      <c r="B3" s="45" t="s">
        <v>83</v>
      </c>
      <c r="C3" s="45"/>
      <c r="D3" s="45"/>
      <c r="E3" s="45"/>
      <c r="F3" s="45"/>
      <c r="G3" s="45"/>
      <c r="H3" s="12"/>
    </row>
    <row r="4" spans="1:11" x14ac:dyDescent="0.25">
      <c r="A4" s="13"/>
      <c r="B4" s="46"/>
      <c r="C4" s="46"/>
      <c r="D4" s="46"/>
      <c r="E4" s="46"/>
      <c r="F4" s="46"/>
      <c r="G4" s="46"/>
      <c r="H4" s="14"/>
      <c r="J4">
        <f>AVERAGE(0,500)</f>
        <v>250</v>
      </c>
      <c r="K4" t="s">
        <v>64</v>
      </c>
    </row>
    <row r="5" spans="1:11" x14ac:dyDescent="0.25">
      <c r="A5" s="15" t="s">
        <v>9</v>
      </c>
      <c r="B5" s="47" t="s">
        <v>55</v>
      </c>
      <c r="C5" s="47"/>
      <c r="D5" s="47"/>
      <c r="E5" s="47"/>
      <c r="F5" s="47"/>
      <c r="G5" s="47"/>
      <c r="H5" s="16"/>
    </row>
    <row r="6" spans="1:11" x14ac:dyDescent="0.25">
      <c r="A6" s="18"/>
      <c r="B6" s="45" t="s">
        <v>70</v>
      </c>
      <c r="C6" s="47"/>
      <c r="D6" s="47"/>
      <c r="E6" s="47"/>
      <c r="F6" s="47"/>
      <c r="G6" s="47"/>
      <c r="H6" s="16"/>
    </row>
    <row r="7" spans="1:11" x14ac:dyDescent="0.25">
      <c r="A7" s="18"/>
      <c r="B7" s="45" t="s">
        <v>56</v>
      </c>
      <c r="C7" s="47"/>
      <c r="D7" s="47"/>
      <c r="E7" s="47"/>
      <c r="F7" s="47"/>
      <c r="G7" s="47"/>
      <c r="H7" s="16"/>
    </row>
    <row r="8" spans="1:11" x14ac:dyDescent="0.25">
      <c r="A8" s="18"/>
      <c r="B8" s="47"/>
      <c r="C8" s="47"/>
      <c r="D8" s="47"/>
      <c r="E8" s="47"/>
      <c r="F8" s="47"/>
      <c r="G8" s="47"/>
      <c r="H8" s="16"/>
      <c r="J8" s="53">
        <f>1-((400^2/1000 - 0)+(400*500/500 - 400^2/500))/250</f>
        <v>4.0000000000000036E-2</v>
      </c>
      <c r="K8" t="s">
        <v>66</v>
      </c>
    </row>
    <row r="9" spans="1:11" x14ac:dyDescent="0.25">
      <c r="A9" s="52" t="s">
        <v>10</v>
      </c>
      <c r="B9" s="47" t="s">
        <v>57</v>
      </c>
      <c r="C9" s="47"/>
      <c r="D9" s="47"/>
      <c r="E9" s="47"/>
      <c r="F9" s="47"/>
      <c r="G9" s="47"/>
      <c r="H9" s="16"/>
    </row>
    <row r="10" spans="1:11" x14ac:dyDescent="0.25">
      <c r="A10" s="18"/>
      <c r="B10" s="47"/>
      <c r="C10" s="47"/>
      <c r="D10" s="47"/>
      <c r="E10" s="47"/>
      <c r="F10" s="47"/>
      <c r="G10" s="47"/>
      <c r="H10" s="16"/>
      <c r="I10" t="s">
        <v>11</v>
      </c>
      <c r="J10" t="s">
        <v>67</v>
      </c>
    </row>
    <row r="11" spans="1:11" x14ac:dyDescent="0.25">
      <c r="A11" s="18"/>
      <c r="B11" s="47" t="s">
        <v>58</v>
      </c>
      <c r="C11" s="47"/>
      <c r="D11" s="47"/>
      <c r="E11" s="47"/>
      <c r="F11" s="47"/>
      <c r="G11" s="47"/>
      <c r="H11" s="16"/>
      <c r="J11" t="s">
        <v>68</v>
      </c>
    </row>
    <row r="12" spans="1:11" x14ac:dyDescent="0.25">
      <c r="A12" s="18"/>
      <c r="B12" s="47"/>
      <c r="C12" s="47"/>
      <c r="D12" s="47"/>
      <c r="E12" s="47"/>
      <c r="F12" s="47"/>
      <c r="G12" s="47"/>
      <c r="H12" s="16"/>
    </row>
    <row r="13" spans="1:11" x14ac:dyDescent="0.25">
      <c r="A13" s="18"/>
      <c r="B13" s="47" t="s">
        <v>60</v>
      </c>
      <c r="C13" s="47"/>
      <c r="D13" s="47"/>
      <c r="E13" s="47"/>
      <c r="F13" s="47"/>
      <c r="G13" s="47"/>
      <c r="H13" s="16"/>
      <c r="J13" t="s">
        <v>69</v>
      </c>
    </row>
    <row r="14" spans="1:11" x14ac:dyDescent="0.25">
      <c r="A14" s="18"/>
      <c r="B14" s="47" t="s">
        <v>59</v>
      </c>
      <c r="C14" s="47"/>
      <c r="D14" s="47"/>
      <c r="E14" s="47"/>
      <c r="F14" s="47"/>
      <c r="G14" s="47"/>
      <c r="H14" s="16"/>
      <c r="J14" t="s">
        <v>40</v>
      </c>
      <c r="K14">
        <f>AVERAGE(0,375)</f>
        <v>187.5</v>
      </c>
    </row>
    <row r="15" spans="1:11" x14ac:dyDescent="0.25">
      <c r="A15" s="18"/>
      <c r="B15" s="47"/>
      <c r="C15" s="47"/>
      <c r="D15" s="47"/>
      <c r="E15" s="47"/>
      <c r="F15" s="47"/>
      <c r="G15" s="47"/>
      <c r="H15" s="16"/>
    </row>
    <row r="16" spans="1:11" x14ac:dyDescent="0.25">
      <c r="A16" s="18"/>
      <c r="B16" s="47" t="s">
        <v>61</v>
      </c>
      <c r="C16" s="47"/>
      <c r="D16" s="47"/>
      <c r="E16" s="47"/>
      <c r="F16" s="47"/>
      <c r="G16" s="47"/>
      <c r="H16" s="16"/>
    </row>
    <row r="17" spans="1:11" x14ac:dyDescent="0.25">
      <c r="A17" s="18"/>
      <c r="B17" s="47" t="s">
        <v>62</v>
      </c>
      <c r="C17" s="47"/>
      <c r="D17" s="47"/>
      <c r="E17" s="47"/>
      <c r="F17" s="47"/>
      <c r="G17" s="47"/>
      <c r="H17" s="16"/>
      <c r="J17">
        <f>1-((300^2/(2*375)-0)+(300*375/375-300^2/375))/K14</f>
        <v>4.0000000000000036E-2</v>
      </c>
      <c r="K17" t="s">
        <v>72</v>
      </c>
    </row>
    <row r="18" spans="1:11" ht="15.75" thickBot="1" x14ac:dyDescent="0.3">
      <c r="A18" s="19"/>
      <c r="B18" s="20" t="s">
        <v>63</v>
      </c>
      <c r="C18" s="20"/>
      <c r="D18" s="20"/>
      <c r="E18" s="20"/>
      <c r="F18" s="20"/>
      <c r="G18" s="20"/>
      <c r="H18" s="21"/>
    </row>
    <row r="19" spans="1:11" x14ac:dyDescent="0.25">
      <c r="J19" t="s">
        <v>71</v>
      </c>
    </row>
    <row r="20" spans="1:11" x14ac:dyDescent="0.25">
      <c r="J20" t="s">
        <v>40</v>
      </c>
      <c r="K20">
        <f>AVERAGE(0,625)</f>
        <v>312.5</v>
      </c>
    </row>
    <row r="24" spans="1:11" x14ac:dyDescent="0.25">
      <c r="J24">
        <f>1-((300^2/(2*625)-0)+(300*625/625-300^2/625))/K20</f>
        <v>0.27039999999999997</v>
      </c>
      <c r="K24" t="s">
        <v>72</v>
      </c>
    </row>
    <row r="26" spans="1:11" x14ac:dyDescent="0.25">
      <c r="J26" s="30">
        <f>(K14*J17+K20*J24)/(K14+K20)</f>
        <v>0.184</v>
      </c>
      <c r="K26" t="s">
        <v>73</v>
      </c>
    </row>
    <row r="28" spans="1:11" x14ac:dyDescent="0.25">
      <c r="I28" t="s">
        <v>12</v>
      </c>
      <c r="J28" t="s">
        <v>74</v>
      </c>
    </row>
    <row r="29" spans="1:11" x14ac:dyDescent="0.25">
      <c r="J29" t="s">
        <v>84</v>
      </c>
    </row>
    <row r="30" spans="1:11" x14ac:dyDescent="0.25">
      <c r="J30" t="s">
        <v>85</v>
      </c>
    </row>
    <row r="31" spans="1:11" x14ac:dyDescent="0.25">
      <c r="J31" t="s">
        <v>86</v>
      </c>
    </row>
    <row r="33" spans="10:14" x14ac:dyDescent="0.25">
      <c r="J33" t="s">
        <v>75</v>
      </c>
      <c r="M33" t="s">
        <v>79</v>
      </c>
    </row>
    <row r="34" spans="10:14" x14ac:dyDescent="0.25">
      <c r="J34" t="s">
        <v>40</v>
      </c>
      <c r="K34">
        <f>0.5*0.75+0.5*1.25</f>
        <v>1</v>
      </c>
      <c r="M34" t="s">
        <v>40</v>
      </c>
      <c r="N34">
        <f>AVERAGE(0.75,1.25)</f>
        <v>1</v>
      </c>
    </row>
    <row r="35" spans="10:14" x14ac:dyDescent="0.25">
      <c r="J35" t="s">
        <v>76</v>
      </c>
      <c r="K35">
        <f>0.5*0.75^2+0.5*1.25^2</f>
        <v>1.0625</v>
      </c>
      <c r="M35" t="s">
        <v>76</v>
      </c>
      <c r="N35">
        <f>(2/3)*(1.25^3-0.75^3)</f>
        <v>1.0208333333333333</v>
      </c>
    </row>
    <row r="36" spans="10:14" x14ac:dyDescent="0.25">
      <c r="J36" t="s">
        <v>77</v>
      </c>
      <c r="K36">
        <f>K35-K34^2</f>
        <v>6.25E-2</v>
      </c>
      <c r="M36" t="s">
        <v>77</v>
      </c>
      <c r="N36">
        <f>N35-N34^2</f>
        <v>2.0833333333333259E-2</v>
      </c>
    </row>
    <row r="37" spans="10:14" x14ac:dyDescent="0.25">
      <c r="J37" t="s">
        <v>78</v>
      </c>
      <c r="K37">
        <f>SQRT(K36)/K34</f>
        <v>0.25</v>
      </c>
      <c r="M37" t="s">
        <v>78</v>
      </c>
      <c r="N37">
        <f>SQRT(N36)/N34</f>
        <v>0.14433756729740618</v>
      </c>
    </row>
    <row r="39" spans="10:14" x14ac:dyDescent="0.25">
      <c r="J39" t="s">
        <v>80</v>
      </c>
    </row>
    <row r="40" spans="10:14" x14ac:dyDescent="0.25">
      <c r="J40" t="s">
        <v>81</v>
      </c>
    </row>
    <row r="41" spans="10:14" x14ac:dyDescent="0.25">
      <c r="J41" t="s">
        <v>82</v>
      </c>
    </row>
  </sheetData>
  <mergeCells count="1">
    <mergeCell ref="G1:H1"/>
  </mergeCells>
  <hyperlinks>
    <hyperlink ref="G1" location="TOC!A1" display="Return to TOC" xr:uid="{C50BFCB4-E1C2-4D02-B479-710C8A2A7E39}"/>
  </hyperlink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F3FC56-95CD-4946-8F46-9E2AA5C306A4}">
  <sheetPr codeName="Sheet4"/>
  <dimension ref="A1:R55"/>
  <sheetViews>
    <sheetView workbookViewId="0"/>
  </sheetViews>
  <sheetFormatPr defaultRowHeight="15" x14ac:dyDescent="0.25"/>
  <cols>
    <col min="1" max="1" width="14" bestFit="1" customWidth="1"/>
    <col min="8" max="8" width="9.42578125" customWidth="1"/>
    <col min="9" max="9" width="3.7109375" customWidth="1"/>
    <col min="10" max="10" width="13.140625" customWidth="1"/>
    <col min="11" max="11" width="10.7109375" bestFit="1" customWidth="1"/>
    <col min="12" max="12" width="9.140625" bestFit="1" customWidth="1"/>
    <col min="13" max="13" width="13.42578125" bestFit="1" customWidth="1"/>
    <col min="15" max="15" width="12.85546875" customWidth="1"/>
    <col min="16" max="16" width="10.7109375" bestFit="1" customWidth="1"/>
    <col min="17" max="17" width="12" bestFit="1" customWidth="1"/>
    <col min="18" max="18" width="13.42578125" bestFit="1" customWidth="1"/>
  </cols>
  <sheetData>
    <row r="1" spans="1:17" x14ac:dyDescent="0.25">
      <c r="A1" s="6" t="s">
        <v>4</v>
      </c>
      <c r="B1" s="7" t="s">
        <v>17</v>
      </c>
      <c r="C1" s="7"/>
      <c r="D1" s="8"/>
      <c r="E1" s="8"/>
      <c r="F1" s="8"/>
      <c r="G1" s="265" t="s">
        <v>5</v>
      </c>
      <c r="H1" s="266"/>
      <c r="I1" s="9"/>
      <c r="J1" s="10" t="s">
        <v>6</v>
      </c>
    </row>
    <row r="2" spans="1:17" x14ac:dyDescent="0.25">
      <c r="A2" s="11" t="s">
        <v>7</v>
      </c>
      <c r="B2" s="45" t="s">
        <v>87</v>
      </c>
      <c r="C2" s="45"/>
      <c r="D2" s="45"/>
      <c r="E2" s="45"/>
      <c r="F2" s="45"/>
      <c r="G2" s="45"/>
      <c r="H2" s="12"/>
      <c r="I2" t="s">
        <v>14</v>
      </c>
      <c r="J2" s="33" t="s">
        <v>97</v>
      </c>
      <c r="K2" s="54" t="s">
        <v>100</v>
      </c>
      <c r="L2" s="55"/>
    </row>
    <row r="3" spans="1:17" x14ac:dyDescent="0.25">
      <c r="A3" s="11" t="s">
        <v>8</v>
      </c>
      <c r="B3" s="45" t="s">
        <v>96</v>
      </c>
      <c r="C3" s="45"/>
      <c r="D3" s="45"/>
      <c r="E3" s="45"/>
      <c r="F3" s="45"/>
      <c r="G3" s="45"/>
      <c r="H3" s="12"/>
      <c r="J3" s="34" t="s">
        <v>98</v>
      </c>
      <c r="K3" s="31" t="s">
        <v>101</v>
      </c>
      <c r="L3" s="32" t="s">
        <v>102</v>
      </c>
    </row>
    <row r="4" spans="1:17" x14ac:dyDescent="0.25">
      <c r="A4" s="13"/>
      <c r="B4" s="46"/>
      <c r="C4" s="46"/>
      <c r="D4" s="46"/>
      <c r="E4" s="46"/>
      <c r="F4" s="46"/>
      <c r="G4" s="46"/>
      <c r="H4" s="14"/>
      <c r="J4" s="38" t="s">
        <v>99</v>
      </c>
      <c r="K4" s="56" t="s">
        <v>103</v>
      </c>
      <c r="L4" s="57"/>
    </row>
    <row r="5" spans="1:17" x14ac:dyDescent="0.25">
      <c r="A5" s="15" t="s">
        <v>9</v>
      </c>
      <c r="B5" s="47" t="s">
        <v>88</v>
      </c>
      <c r="C5" s="47"/>
      <c r="D5" s="47"/>
      <c r="E5" s="47"/>
      <c r="F5" s="47"/>
      <c r="G5" s="47"/>
      <c r="H5" s="16"/>
      <c r="J5" s="33">
        <v>0</v>
      </c>
      <c r="K5" s="33">
        <v>0</v>
      </c>
      <c r="L5" s="58">
        <f>K5*(1+20%)</f>
        <v>0</v>
      </c>
    </row>
    <row r="6" spans="1:17" x14ac:dyDescent="0.25">
      <c r="A6" s="18"/>
      <c r="B6" s="45" t="s">
        <v>89</v>
      </c>
      <c r="C6" s="47"/>
      <c r="D6" s="47"/>
      <c r="E6" s="47"/>
      <c r="F6" s="47"/>
      <c r="G6" s="47"/>
      <c r="H6" s="16"/>
      <c r="J6" s="59">
        <v>0.6</v>
      </c>
      <c r="K6" s="43">
        <v>250000</v>
      </c>
      <c r="L6" s="41">
        <f t="shared" ref="L6:L8" si="0">K6*(1+20%)</f>
        <v>300000</v>
      </c>
    </row>
    <row r="7" spans="1:17" x14ac:dyDescent="0.25">
      <c r="A7" s="18"/>
      <c r="B7" s="45" t="s">
        <v>90</v>
      </c>
      <c r="C7" s="47"/>
      <c r="D7" s="47"/>
      <c r="E7" s="47"/>
      <c r="F7" s="47"/>
      <c r="G7" s="47"/>
      <c r="H7" s="16"/>
      <c r="J7" s="59">
        <f>60%+30%</f>
        <v>0.89999999999999991</v>
      </c>
      <c r="K7" s="43">
        <v>500000</v>
      </c>
      <c r="L7" s="41">
        <f t="shared" si="0"/>
        <v>600000</v>
      </c>
    </row>
    <row r="8" spans="1:17" x14ac:dyDescent="0.25">
      <c r="A8" s="18"/>
      <c r="B8" s="45" t="s">
        <v>91</v>
      </c>
      <c r="C8" s="47"/>
      <c r="D8" s="47"/>
      <c r="E8" s="47"/>
      <c r="F8" s="47"/>
      <c r="G8" s="47"/>
      <c r="H8" s="16"/>
      <c r="J8" s="60">
        <v>1</v>
      </c>
      <c r="K8" s="44">
        <v>1000000</v>
      </c>
      <c r="L8" s="42">
        <f t="shared" si="0"/>
        <v>1200000</v>
      </c>
    </row>
    <row r="9" spans="1:17" x14ac:dyDescent="0.25">
      <c r="A9" s="18"/>
      <c r="B9" s="47"/>
      <c r="C9" s="47"/>
      <c r="D9" s="47"/>
      <c r="E9" s="47"/>
      <c r="F9" s="47"/>
      <c r="G9" s="47"/>
      <c r="H9" s="16"/>
    </row>
    <row r="10" spans="1:17" x14ac:dyDescent="0.25">
      <c r="A10" s="18"/>
      <c r="B10" s="45" t="s">
        <v>92</v>
      </c>
      <c r="C10" s="47"/>
      <c r="D10" s="47"/>
      <c r="E10" s="47"/>
      <c r="F10" s="47"/>
      <c r="G10" s="47"/>
      <c r="H10" s="16"/>
      <c r="J10" t="s">
        <v>115</v>
      </c>
    </row>
    <row r="11" spans="1:17" x14ac:dyDescent="0.25">
      <c r="A11" s="18"/>
      <c r="B11" s="45" t="s">
        <v>93</v>
      </c>
      <c r="C11" s="47"/>
      <c r="D11" s="47"/>
      <c r="E11" s="47"/>
      <c r="F11" s="47"/>
      <c r="G11" s="47"/>
      <c r="H11" s="16"/>
    </row>
    <row r="12" spans="1:17" x14ac:dyDescent="0.25">
      <c r="A12" s="18"/>
      <c r="B12" s="47"/>
      <c r="C12" s="47"/>
      <c r="D12" s="47"/>
      <c r="E12" s="47"/>
      <c r="F12" s="47"/>
      <c r="G12" s="47"/>
      <c r="H12" s="16"/>
      <c r="I12" t="s">
        <v>11</v>
      </c>
      <c r="J12" t="s">
        <v>126</v>
      </c>
    </row>
    <row r="13" spans="1:17" x14ac:dyDescent="0.25">
      <c r="A13" s="52" t="s">
        <v>10</v>
      </c>
      <c r="B13" s="45" t="s">
        <v>94</v>
      </c>
      <c r="C13" s="47"/>
      <c r="D13" s="47"/>
      <c r="E13" s="47"/>
      <c r="F13" s="47"/>
      <c r="G13" s="47"/>
      <c r="H13" s="16"/>
    </row>
    <row r="14" spans="1:17" x14ac:dyDescent="0.25">
      <c r="A14" s="18"/>
      <c r="B14" s="45" t="s">
        <v>104</v>
      </c>
      <c r="C14" s="47"/>
      <c r="D14" s="47"/>
      <c r="E14" s="47"/>
      <c r="F14" s="47"/>
      <c r="G14" s="47"/>
      <c r="H14" s="16"/>
    </row>
    <row r="15" spans="1:17" x14ac:dyDescent="0.25">
      <c r="A15" s="18"/>
      <c r="B15" s="45" t="s">
        <v>105</v>
      </c>
      <c r="C15" s="47"/>
      <c r="D15" s="47"/>
      <c r="E15" s="47"/>
      <c r="F15" s="47"/>
      <c r="G15" s="47"/>
      <c r="H15" s="16"/>
      <c r="O15" t="s">
        <v>118</v>
      </c>
    </row>
    <row r="16" spans="1:17" x14ac:dyDescent="0.25">
      <c r="A16" s="18"/>
      <c r="B16" s="47"/>
      <c r="C16" s="47"/>
      <c r="D16" s="47"/>
      <c r="E16" s="47"/>
      <c r="F16" s="47"/>
      <c r="G16" s="47"/>
      <c r="H16" s="16"/>
      <c r="O16" t="s">
        <v>116</v>
      </c>
      <c r="Q16" s="40">
        <f>10^6/1.2</f>
        <v>833333.33333333337</v>
      </c>
    </row>
    <row r="17" spans="1:18" ht="18.75" thickBot="1" x14ac:dyDescent="0.4">
      <c r="A17" s="19"/>
      <c r="B17" s="37" t="s">
        <v>95</v>
      </c>
      <c r="C17" s="20"/>
      <c r="D17" s="20"/>
      <c r="E17" s="20"/>
      <c r="F17" s="20"/>
      <c r="G17" s="20"/>
      <c r="H17" s="21"/>
      <c r="J17" t="s">
        <v>39</v>
      </c>
      <c r="K17" s="61">
        <f>1+20%</f>
        <v>1.2</v>
      </c>
      <c r="O17" t="s">
        <v>117</v>
      </c>
      <c r="Q17" s="40">
        <f>500000/1.2</f>
        <v>416666.66666666669</v>
      </c>
    </row>
    <row r="19" spans="1:18" x14ac:dyDescent="0.25">
      <c r="J19" t="s">
        <v>106</v>
      </c>
      <c r="L19" s="62">
        <f>SUM(M22:M24)</f>
        <v>262500</v>
      </c>
      <c r="O19" t="s">
        <v>119</v>
      </c>
      <c r="Q19" s="62">
        <f>SUM(R22:R25)</f>
        <v>259722.22222222228</v>
      </c>
    </row>
    <row r="20" spans="1:18" x14ac:dyDescent="0.25">
      <c r="J20" s="64"/>
      <c r="K20" s="33"/>
      <c r="L20" s="33" t="s">
        <v>110</v>
      </c>
      <c r="M20" s="65" t="s">
        <v>108</v>
      </c>
      <c r="O20" s="64"/>
      <c r="P20" s="33"/>
      <c r="Q20" s="33" t="s">
        <v>110</v>
      </c>
      <c r="R20" s="65" t="s">
        <v>108</v>
      </c>
    </row>
    <row r="21" spans="1:18" x14ac:dyDescent="0.25">
      <c r="J21" s="66" t="s">
        <v>107</v>
      </c>
      <c r="K21" s="38" t="s">
        <v>13</v>
      </c>
      <c r="L21" s="38" t="s">
        <v>109</v>
      </c>
      <c r="M21" s="67" t="s">
        <v>109</v>
      </c>
      <c r="O21" s="66" t="s">
        <v>107</v>
      </c>
      <c r="P21" s="38" t="s">
        <v>13</v>
      </c>
      <c r="Q21" s="38" t="s">
        <v>109</v>
      </c>
      <c r="R21" s="67" t="s">
        <v>109</v>
      </c>
    </row>
    <row r="22" spans="1:18" x14ac:dyDescent="0.25">
      <c r="J22" s="64" t="s">
        <v>111</v>
      </c>
      <c r="K22" s="68">
        <v>0.6</v>
      </c>
      <c r="L22" s="69">
        <f>MIN(10^6,AVERAGE(0,250000))</f>
        <v>125000</v>
      </c>
      <c r="M22" s="58">
        <f>L22*K22</f>
        <v>75000</v>
      </c>
      <c r="O22" s="64" t="s">
        <v>111</v>
      </c>
      <c r="P22" s="68">
        <f>J6</f>
        <v>0.6</v>
      </c>
      <c r="Q22" s="69">
        <f>MIN($Q$16,AVERAGE(0,250000))</f>
        <v>125000</v>
      </c>
      <c r="R22" s="58">
        <f>Q22*P22</f>
        <v>75000</v>
      </c>
    </row>
    <row r="23" spans="1:18" x14ac:dyDescent="0.25">
      <c r="J23" s="31" t="s">
        <v>112</v>
      </c>
      <c r="K23" s="59">
        <v>0.3</v>
      </c>
      <c r="L23" s="43">
        <f>MIN(10^6,AVERAGE(250000,500000))</f>
        <v>375000</v>
      </c>
      <c r="M23" s="41">
        <f t="shared" ref="M23:M24" si="1">L23*K23</f>
        <v>112500</v>
      </c>
      <c r="O23" s="31" t="s">
        <v>112</v>
      </c>
      <c r="P23" s="59">
        <f>J7-J6</f>
        <v>0.29999999999999993</v>
      </c>
      <c r="Q23" s="43">
        <f>MIN(Q16,AVERAGE(250000,500000))</f>
        <v>375000</v>
      </c>
      <c r="R23" s="41">
        <f t="shared" ref="R23:R25" si="2">Q23*P23</f>
        <v>112499.99999999997</v>
      </c>
    </row>
    <row r="24" spans="1:18" x14ac:dyDescent="0.25">
      <c r="J24" s="66" t="s">
        <v>113</v>
      </c>
      <c r="K24" s="60">
        <v>0.1</v>
      </c>
      <c r="L24" s="44">
        <f>MIN(10^6,AVERAGE(500000,1000000))</f>
        <v>750000</v>
      </c>
      <c r="M24" s="42">
        <f t="shared" si="1"/>
        <v>75000</v>
      </c>
      <c r="O24" s="31" t="s">
        <v>120</v>
      </c>
      <c r="P24" s="59">
        <f>_xlfn.FORECAST.LINEAR(Q16,J7:J8,K7:K8)-J7</f>
        <v>6.6666666666666763E-2</v>
      </c>
      <c r="Q24" s="43">
        <f>MIN(Q16,AVERAGE(500000,Q16))</f>
        <v>666666.66666666674</v>
      </c>
      <c r="R24" s="41">
        <f t="shared" si="2"/>
        <v>44444.444444444511</v>
      </c>
    </row>
    <row r="25" spans="1:18" x14ac:dyDescent="0.25">
      <c r="O25" s="66" t="s">
        <v>121</v>
      </c>
      <c r="P25" s="60">
        <f>1-SUM(P22:P24)</f>
        <v>3.3333333333333326E-2</v>
      </c>
      <c r="Q25" s="44">
        <f>MIN(Q16,AVERAGE(Q16,10^6))</f>
        <v>833333.33333333337</v>
      </c>
      <c r="R25" s="42">
        <f t="shared" si="2"/>
        <v>27777.777777777774</v>
      </c>
    </row>
    <row r="26" spans="1:18" x14ac:dyDescent="0.25">
      <c r="J26" t="s">
        <v>114</v>
      </c>
      <c r="L26" s="62">
        <f>SUM(M29:M31)</f>
        <v>237500</v>
      </c>
    </row>
    <row r="27" spans="1:18" x14ac:dyDescent="0.25">
      <c r="J27" s="64"/>
      <c r="K27" s="33"/>
      <c r="L27" s="33" t="s">
        <v>110</v>
      </c>
      <c r="M27" s="65" t="s">
        <v>108</v>
      </c>
      <c r="O27" t="s">
        <v>122</v>
      </c>
      <c r="Q27" s="62">
        <f>SUM(R30:R33)</f>
        <v>225000.00000000003</v>
      </c>
    </row>
    <row r="28" spans="1:18" x14ac:dyDescent="0.25">
      <c r="J28" s="66" t="s">
        <v>107</v>
      </c>
      <c r="K28" s="38" t="s">
        <v>13</v>
      </c>
      <c r="L28" s="38" t="s">
        <v>109</v>
      </c>
      <c r="M28" s="67" t="s">
        <v>109</v>
      </c>
      <c r="O28" s="64"/>
      <c r="P28" s="33"/>
      <c r="Q28" s="33" t="s">
        <v>110</v>
      </c>
      <c r="R28" s="65" t="s">
        <v>108</v>
      </c>
    </row>
    <row r="29" spans="1:18" x14ac:dyDescent="0.25">
      <c r="J29" s="64" t="s">
        <v>111</v>
      </c>
      <c r="K29" s="68">
        <v>0.6</v>
      </c>
      <c r="L29" s="69">
        <f>MIN(500000,AVERAGE(0,250000))</f>
        <v>125000</v>
      </c>
      <c r="M29" s="58">
        <f>L29*K29</f>
        <v>75000</v>
      </c>
      <c r="O29" s="66" t="s">
        <v>107</v>
      </c>
      <c r="P29" s="38" t="s">
        <v>13</v>
      </c>
      <c r="Q29" s="38" t="s">
        <v>109</v>
      </c>
      <c r="R29" s="67" t="s">
        <v>109</v>
      </c>
    </row>
    <row r="30" spans="1:18" x14ac:dyDescent="0.25">
      <c r="J30" s="31" t="s">
        <v>112</v>
      </c>
      <c r="K30" s="59">
        <v>0.3</v>
      </c>
      <c r="L30" s="43">
        <f>MIN(500000,AVERAGE(250000,500000))</f>
        <v>375000</v>
      </c>
      <c r="M30" s="41">
        <f t="shared" ref="M30:M31" si="3">L30*K30</f>
        <v>112500</v>
      </c>
      <c r="O30" s="64" t="s">
        <v>111</v>
      </c>
      <c r="P30" s="68">
        <f>J6</f>
        <v>0.6</v>
      </c>
      <c r="Q30" s="69">
        <f>MIN(Q17,AVERAGE(0,250000))</f>
        <v>125000</v>
      </c>
      <c r="R30" s="58">
        <f>P30*Q30</f>
        <v>75000</v>
      </c>
    </row>
    <row r="31" spans="1:18" x14ac:dyDescent="0.25">
      <c r="J31" s="66" t="s">
        <v>113</v>
      </c>
      <c r="K31" s="60">
        <v>0.1</v>
      </c>
      <c r="L31" s="44">
        <f>MIN(500000,AVERAGE(500000,10^6))</f>
        <v>500000</v>
      </c>
      <c r="M31" s="42">
        <f t="shared" si="3"/>
        <v>50000</v>
      </c>
      <c r="O31" s="31" t="s">
        <v>123</v>
      </c>
      <c r="P31" s="59">
        <f>_xlfn.FORECAST.LINEAR(Q17,J6:J7,K6:K7)-J6</f>
        <v>0.20000000000000007</v>
      </c>
      <c r="Q31" s="43">
        <f>MIN(Q17,AVERAGE(250000,Q17))</f>
        <v>333333.33333333337</v>
      </c>
      <c r="R31" s="41">
        <f t="shared" ref="R31:R33" si="4">P31*Q31</f>
        <v>66666.666666666701</v>
      </c>
    </row>
    <row r="32" spans="1:18" x14ac:dyDescent="0.25">
      <c r="O32" s="31" t="s">
        <v>124</v>
      </c>
      <c r="P32" s="59">
        <f>J7-SUM(P30:P31)</f>
        <v>9.9999999999999867E-2</v>
      </c>
      <c r="Q32" s="43">
        <f>MIN(Q17,AVERAGE(Q17,500000))</f>
        <v>416666.66666666669</v>
      </c>
      <c r="R32" s="41">
        <f t="shared" si="4"/>
        <v>41666.666666666613</v>
      </c>
    </row>
    <row r="33" spans="10:18" x14ac:dyDescent="0.25">
      <c r="O33" s="66" t="s">
        <v>113</v>
      </c>
      <c r="P33" s="60">
        <f>J8-J7</f>
        <v>0.10000000000000009</v>
      </c>
      <c r="Q33" s="44">
        <f>MIN(Q17,AVERAGE(500000,10^6))</f>
        <v>416666.66666666669</v>
      </c>
      <c r="R33" s="42">
        <f t="shared" si="4"/>
        <v>41666.666666666708</v>
      </c>
    </row>
    <row r="35" spans="10:18" x14ac:dyDescent="0.25">
      <c r="J35" t="s">
        <v>127</v>
      </c>
      <c r="L35">
        <f>K17*(Q19-Q27)/(L19-L26)</f>
        <v>1.6666666666666676</v>
      </c>
    </row>
    <row r="37" spans="10:18" x14ac:dyDescent="0.25">
      <c r="J37" t="s">
        <v>125</v>
      </c>
      <c r="M37" s="63">
        <f>L35-1</f>
        <v>0.66666666666666763</v>
      </c>
    </row>
    <row r="39" spans="10:18" x14ac:dyDescent="0.25">
      <c r="J39" s="70" t="s">
        <v>137</v>
      </c>
    </row>
    <row r="41" spans="10:18" x14ac:dyDescent="0.25">
      <c r="M41" t="s">
        <v>138</v>
      </c>
    </row>
    <row r="44" spans="10:18" x14ac:dyDescent="0.25">
      <c r="J44" t="s">
        <v>128</v>
      </c>
      <c r="L44" s="62">
        <f>SUM(M47:M50)</f>
        <v>311666.66666666674</v>
      </c>
      <c r="O44" t="s">
        <v>133</v>
      </c>
      <c r="Q44" s="62">
        <f>SUM(R47:R50)</f>
        <v>270000</v>
      </c>
    </row>
    <row r="45" spans="10:18" x14ac:dyDescent="0.25">
      <c r="J45" s="64"/>
      <c r="K45" s="33"/>
      <c r="L45" s="33" t="s">
        <v>110</v>
      </c>
      <c r="M45" s="65" t="s">
        <v>108</v>
      </c>
      <c r="O45" s="64"/>
      <c r="P45" s="33"/>
      <c r="Q45" s="33" t="s">
        <v>110</v>
      </c>
      <c r="R45" s="65" t="s">
        <v>108</v>
      </c>
    </row>
    <row r="46" spans="10:18" x14ac:dyDescent="0.25">
      <c r="J46" s="66" t="s">
        <v>107</v>
      </c>
      <c r="K46" s="38" t="s">
        <v>13</v>
      </c>
      <c r="L46" s="38" t="s">
        <v>109</v>
      </c>
      <c r="M46" s="67" t="s">
        <v>109</v>
      </c>
      <c r="O46" s="66" t="s">
        <v>107</v>
      </c>
      <c r="P46" s="38" t="s">
        <v>13</v>
      </c>
      <c r="Q46" s="38" t="s">
        <v>109</v>
      </c>
      <c r="R46" s="67" t="s">
        <v>109</v>
      </c>
    </row>
    <row r="47" spans="10:18" x14ac:dyDescent="0.25">
      <c r="J47" s="64" t="s">
        <v>129</v>
      </c>
      <c r="K47" s="68">
        <f>J6</f>
        <v>0.6</v>
      </c>
      <c r="L47" s="69">
        <f>MIN(10^6,AVERAGE(0,300000))</f>
        <v>150000</v>
      </c>
      <c r="M47" s="58">
        <f>L47*K47</f>
        <v>90000</v>
      </c>
      <c r="O47" s="64" t="s">
        <v>129</v>
      </c>
      <c r="P47" s="68">
        <f>J6</f>
        <v>0.6</v>
      </c>
      <c r="Q47" s="69">
        <f>MIN(500000,AVERAGE(0,300000))</f>
        <v>150000</v>
      </c>
      <c r="R47" s="58">
        <f>Q47*P47</f>
        <v>90000</v>
      </c>
    </row>
    <row r="48" spans="10:18" x14ac:dyDescent="0.25">
      <c r="J48" s="31" t="s">
        <v>130</v>
      </c>
      <c r="K48" s="59">
        <f>J7-J6</f>
        <v>0.29999999999999993</v>
      </c>
      <c r="L48" s="43">
        <f>MIN(10^6,AVERAGE(300000,600000))</f>
        <v>450000</v>
      </c>
      <c r="M48" s="41">
        <f t="shared" ref="M48:M50" si="5">L48*K48</f>
        <v>134999.99999999997</v>
      </c>
      <c r="O48" s="31" t="s">
        <v>134</v>
      </c>
      <c r="P48" s="59">
        <f>_xlfn.FORECAST.LINEAR(500000,J6:J7,L6:L7)-J6</f>
        <v>0.20000000000000007</v>
      </c>
      <c r="Q48" s="43">
        <f>MIN(500000,AVERAGE(300000,500000))</f>
        <v>400000</v>
      </c>
      <c r="R48" s="41">
        <f t="shared" ref="R48:R50" si="6">Q48*P48</f>
        <v>80000.000000000029</v>
      </c>
    </row>
    <row r="49" spans="10:18" x14ac:dyDescent="0.25">
      <c r="J49" s="31" t="s">
        <v>131</v>
      </c>
      <c r="K49" s="59">
        <f>_xlfn.FORECAST.LINEAR(10^6,J7:J8,L7:L8)-J7</f>
        <v>6.6666666666666652E-2</v>
      </c>
      <c r="L49" s="43">
        <f>MIN(10^6,AVERAGE(600000,10^6))</f>
        <v>800000</v>
      </c>
      <c r="M49" s="41">
        <f t="shared" si="5"/>
        <v>53333.333333333321</v>
      </c>
      <c r="O49" s="31" t="s">
        <v>135</v>
      </c>
      <c r="P49" s="59">
        <f>J7-SUM(P47:P48)</f>
        <v>9.9999999999999867E-2</v>
      </c>
      <c r="Q49" s="43">
        <f>MIN(500000,AVERAGE(600000,500000))</f>
        <v>500000</v>
      </c>
      <c r="R49" s="41">
        <f t="shared" si="6"/>
        <v>49999.999999999935</v>
      </c>
    </row>
    <row r="50" spans="10:18" x14ac:dyDescent="0.25">
      <c r="J50" s="66" t="s">
        <v>132</v>
      </c>
      <c r="K50" s="60">
        <f>1-SUM(K47:K49)</f>
        <v>3.3333333333333437E-2</v>
      </c>
      <c r="L50" s="44">
        <f>MIN(10^6,AVERAGE(1.2*10^6,10^6))</f>
        <v>1000000</v>
      </c>
      <c r="M50" s="42">
        <f t="shared" si="5"/>
        <v>33333.333333333438</v>
      </c>
      <c r="O50" s="66" t="s">
        <v>136</v>
      </c>
      <c r="P50" s="60">
        <f>1-SUM(P47:P49)</f>
        <v>0.10000000000000009</v>
      </c>
      <c r="Q50" s="44">
        <f>MIN(500000,AVERAGE(1.2*10^6,600000))</f>
        <v>500000</v>
      </c>
      <c r="R50" s="42">
        <f t="shared" si="6"/>
        <v>50000.000000000044</v>
      </c>
    </row>
    <row r="53" spans="10:18" x14ac:dyDescent="0.25">
      <c r="J53" t="s">
        <v>127</v>
      </c>
      <c r="L53">
        <f>(L44-Q44)/(L19-L26)</f>
        <v>1.6666666666666698</v>
      </c>
    </row>
    <row r="55" spans="10:18" x14ac:dyDescent="0.25">
      <c r="J55" t="s">
        <v>125</v>
      </c>
      <c r="M55" s="63">
        <f>L53-1</f>
        <v>0.66666666666666985</v>
      </c>
    </row>
  </sheetData>
  <mergeCells count="1">
    <mergeCell ref="G1:H1"/>
  </mergeCells>
  <hyperlinks>
    <hyperlink ref="G1" location="TOC!A1" display="Return to TOC" xr:uid="{B8E31BAB-4B05-44A6-BD02-E2A892B7DE1C}"/>
  </hyperlink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D39C58-8471-4334-8CFF-A0CDBEE22200}">
  <sheetPr codeName="Sheet5"/>
  <dimension ref="A1:P27"/>
  <sheetViews>
    <sheetView workbookViewId="0"/>
  </sheetViews>
  <sheetFormatPr defaultRowHeight="15" x14ac:dyDescent="0.25"/>
  <cols>
    <col min="1" max="1" width="14" bestFit="1" customWidth="1"/>
    <col min="2" max="2" width="10.85546875" bestFit="1" customWidth="1"/>
    <col min="3" max="3" width="10.140625" bestFit="1" customWidth="1"/>
    <col min="4" max="4" width="10.85546875" bestFit="1" customWidth="1"/>
    <col min="5" max="5" width="11" bestFit="1" customWidth="1"/>
    <col min="6" max="6" width="15.5703125" bestFit="1" customWidth="1"/>
    <col min="7" max="7" width="7.7109375" customWidth="1"/>
    <col min="8" max="8" width="3.7109375" customWidth="1"/>
    <col min="9" max="9" width="13.42578125" customWidth="1"/>
    <col min="10" max="10" width="14.7109375" bestFit="1" customWidth="1"/>
    <col min="11" max="11" width="8.28515625" bestFit="1" customWidth="1"/>
    <col min="12" max="12" width="14.5703125" bestFit="1" customWidth="1"/>
    <col min="13" max="13" width="10.85546875" bestFit="1" customWidth="1"/>
    <col min="15" max="15" width="14.5703125" bestFit="1" customWidth="1"/>
    <col min="16" max="16" width="10.85546875" bestFit="1" customWidth="1"/>
  </cols>
  <sheetData>
    <row r="1" spans="1:16" x14ac:dyDescent="0.25">
      <c r="A1" s="6" t="s">
        <v>4</v>
      </c>
      <c r="B1" s="7" t="s">
        <v>17</v>
      </c>
      <c r="C1" s="7"/>
      <c r="D1" s="8"/>
      <c r="E1" s="8"/>
      <c r="F1" s="265" t="s">
        <v>5</v>
      </c>
      <c r="G1" s="266"/>
      <c r="H1" s="9"/>
      <c r="I1" s="10" t="s">
        <v>6</v>
      </c>
    </row>
    <row r="2" spans="1:16" x14ac:dyDescent="0.25">
      <c r="A2" s="11" t="s">
        <v>7</v>
      </c>
      <c r="B2" s="45" t="s">
        <v>139</v>
      </c>
      <c r="C2" s="45"/>
      <c r="D2" s="45"/>
      <c r="E2" s="45"/>
      <c r="F2" s="45"/>
      <c r="G2" s="12"/>
      <c r="H2" t="s">
        <v>14</v>
      </c>
      <c r="I2" t="s">
        <v>167</v>
      </c>
    </row>
    <row r="3" spans="1:16" x14ac:dyDescent="0.25">
      <c r="A3" s="11" t="s">
        <v>8</v>
      </c>
      <c r="B3" s="45" t="s">
        <v>181</v>
      </c>
      <c r="C3" s="45"/>
      <c r="D3" s="45"/>
      <c r="E3" s="45"/>
      <c r="F3" s="45"/>
      <c r="G3" s="12"/>
    </row>
    <row r="4" spans="1:16" x14ac:dyDescent="0.25">
      <c r="A4" s="13"/>
      <c r="B4" s="46"/>
      <c r="C4" s="46"/>
      <c r="D4" s="46"/>
      <c r="E4" s="46"/>
      <c r="F4" s="46"/>
      <c r="G4" s="14"/>
      <c r="I4" s="88" t="s">
        <v>160</v>
      </c>
      <c r="J4" s="91" t="s">
        <v>168</v>
      </c>
      <c r="K4" s="91" t="s">
        <v>161</v>
      </c>
      <c r="L4" s="89" t="s">
        <v>162</v>
      </c>
      <c r="M4" s="91" t="s">
        <v>163</v>
      </c>
      <c r="N4" s="89" t="s">
        <v>164</v>
      </c>
      <c r="O4" s="91" t="s">
        <v>165</v>
      </c>
      <c r="P4" s="90" t="s">
        <v>166</v>
      </c>
    </row>
    <row r="5" spans="1:16" x14ac:dyDescent="0.25">
      <c r="A5" s="15" t="s">
        <v>9</v>
      </c>
      <c r="B5" s="47" t="s">
        <v>140</v>
      </c>
      <c r="C5" s="47"/>
      <c r="D5" s="47"/>
      <c r="E5" s="47"/>
      <c r="F5" s="47"/>
      <c r="G5" s="16"/>
      <c r="I5" s="31">
        <v>1</v>
      </c>
      <c r="J5" s="92">
        <f>D10</f>
        <v>1000000</v>
      </c>
      <c r="K5" s="43">
        <f>E10</f>
        <v>19000</v>
      </c>
      <c r="L5" s="71">
        <f>F10</f>
        <v>6750500000</v>
      </c>
      <c r="M5" s="92">
        <f>L5/K5</f>
        <v>355289.4736842105</v>
      </c>
      <c r="N5" s="85">
        <f>SUM(E10:$E$10)/$E$15</f>
        <v>0.95</v>
      </c>
      <c r="O5" s="92">
        <f>(SUM(L5:$L$5)+SUM(K6:$K$9)*J5)/$E$15</f>
        <v>387525</v>
      </c>
      <c r="P5" s="72">
        <f>($J$11-O5)/(1-N5)</f>
        <v>2249499.9999999981</v>
      </c>
    </row>
    <row r="6" spans="1:16" x14ac:dyDescent="0.25">
      <c r="A6" s="18"/>
      <c r="B6" s="45" t="s">
        <v>141</v>
      </c>
      <c r="C6" s="47"/>
      <c r="D6" s="47"/>
      <c r="E6" s="47"/>
      <c r="F6" s="47"/>
      <c r="G6" s="16"/>
      <c r="I6" s="31">
        <v>2</v>
      </c>
      <c r="J6" s="92">
        <f t="shared" ref="J6:J8" si="0">D11</f>
        <v>2000000</v>
      </c>
      <c r="K6" s="43">
        <f t="shared" ref="K6:L9" si="1">E11</f>
        <v>359</v>
      </c>
      <c r="L6" s="71">
        <f t="shared" si="1"/>
        <v>525300000</v>
      </c>
      <c r="M6" s="92">
        <f t="shared" ref="M6:M9" si="2">L6/K6</f>
        <v>1463231.1977715876</v>
      </c>
      <c r="N6" s="85">
        <f>SUM(E$10:$E11)/$E$15</f>
        <v>0.96794999999999998</v>
      </c>
      <c r="O6" s="92">
        <f>(SUM(L$5:$L6)+SUM(K7:$K$9)*J6)/$E$15</f>
        <v>427890</v>
      </c>
      <c r="P6" s="72">
        <f t="shared" ref="P6:P8" si="3">($J$11-O6)/(1-N6)</f>
        <v>2249921.9968798738</v>
      </c>
    </row>
    <row r="7" spans="1:16" x14ac:dyDescent="0.25">
      <c r="A7" s="18"/>
      <c r="B7" s="47"/>
      <c r="C7" s="47"/>
      <c r="D7" s="47"/>
      <c r="E7" s="47"/>
      <c r="F7" s="47"/>
      <c r="G7" s="16"/>
      <c r="I7" s="31">
        <v>3</v>
      </c>
      <c r="J7" s="92">
        <f t="shared" si="0"/>
        <v>3000000</v>
      </c>
      <c r="K7" s="43">
        <f t="shared" si="1"/>
        <v>230</v>
      </c>
      <c r="L7" s="71">
        <f t="shared" si="1"/>
        <v>566500000</v>
      </c>
      <c r="M7" s="92">
        <f t="shared" si="2"/>
        <v>2463043.4782608696</v>
      </c>
      <c r="N7" s="85">
        <f>SUM(E$10:$E12)/$E$15</f>
        <v>0.97945000000000004</v>
      </c>
      <c r="O7" s="92">
        <f>(SUM(L$5:$L7)+SUM(K8:$K$9)*J7)/$E$15</f>
        <v>453765</v>
      </c>
      <c r="P7" s="72">
        <f t="shared" si="3"/>
        <v>2249878.3454987882</v>
      </c>
    </row>
    <row r="8" spans="1:16" x14ac:dyDescent="0.25">
      <c r="A8" s="18"/>
      <c r="B8" s="22"/>
      <c r="C8" s="73"/>
      <c r="D8" s="23"/>
      <c r="E8" s="26" t="s">
        <v>143</v>
      </c>
      <c r="F8" s="23" t="s">
        <v>145</v>
      </c>
      <c r="G8" s="16"/>
      <c r="I8" s="31">
        <v>4</v>
      </c>
      <c r="J8" s="92">
        <f t="shared" si="0"/>
        <v>4000000</v>
      </c>
      <c r="K8" s="43">
        <f t="shared" si="1"/>
        <v>147</v>
      </c>
      <c r="L8" s="71">
        <f t="shared" si="1"/>
        <v>507700000</v>
      </c>
      <c r="M8" s="92">
        <f t="shared" si="2"/>
        <v>3453741.4965986395</v>
      </c>
      <c r="N8" s="85">
        <f>SUM(E$10:$E13)/$E$15</f>
        <v>0.98680000000000001</v>
      </c>
      <c r="O8" s="92">
        <f>(SUM(L$5:$L8)+SUM(K9:$K$9)*J8)/$E$15</f>
        <v>470300</v>
      </c>
      <c r="P8" s="72">
        <f t="shared" si="3"/>
        <v>2250000.0000000019</v>
      </c>
    </row>
    <row r="9" spans="1:16" x14ac:dyDescent="0.25">
      <c r="A9" s="18"/>
      <c r="B9" s="24" t="s">
        <v>147</v>
      </c>
      <c r="C9" s="74" t="s">
        <v>148</v>
      </c>
      <c r="D9" s="25" t="s">
        <v>142</v>
      </c>
      <c r="E9" s="27" t="s">
        <v>144</v>
      </c>
      <c r="F9" s="25" t="s">
        <v>146</v>
      </c>
      <c r="G9" s="16"/>
      <c r="I9" s="66">
        <v>5</v>
      </c>
      <c r="J9" s="38" t="s">
        <v>169</v>
      </c>
      <c r="K9" s="44">
        <f t="shared" si="1"/>
        <v>264</v>
      </c>
      <c r="L9" s="86">
        <f t="shared" si="1"/>
        <v>1650000000</v>
      </c>
      <c r="M9" s="93">
        <f t="shared" si="2"/>
        <v>6250000</v>
      </c>
      <c r="N9" s="87">
        <f>SUM(E$10:$E14)/$E$15</f>
        <v>1</v>
      </c>
      <c r="O9" s="93">
        <f>SUM(L5:L9)/E15</f>
        <v>500000</v>
      </c>
      <c r="P9" s="67" t="s">
        <v>169</v>
      </c>
    </row>
    <row r="10" spans="1:16" x14ac:dyDescent="0.25">
      <c r="A10" s="18"/>
      <c r="B10" s="48">
        <v>0</v>
      </c>
      <c r="C10" s="75" t="s">
        <v>149</v>
      </c>
      <c r="D10" s="76">
        <v>1000000</v>
      </c>
      <c r="E10" s="28">
        <v>19000</v>
      </c>
      <c r="F10" s="76">
        <v>6750500000</v>
      </c>
      <c r="G10" s="16"/>
    </row>
    <row r="11" spans="1:16" x14ac:dyDescent="0.25">
      <c r="A11" s="18"/>
      <c r="B11" s="48">
        <v>1000001</v>
      </c>
      <c r="C11" s="75" t="s">
        <v>149</v>
      </c>
      <c r="D11" s="76">
        <v>2000000</v>
      </c>
      <c r="E11" s="77">
        <v>359</v>
      </c>
      <c r="F11" s="76">
        <v>525300000</v>
      </c>
      <c r="G11" s="16"/>
      <c r="I11" t="s">
        <v>40</v>
      </c>
      <c r="J11" s="71">
        <f>F15/E15</f>
        <v>500000</v>
      </c>
    </row>
    <row r="12" spans="1:16" x14ac:dyDescent="0.25">
      <c r="A12" s="18"/>
      <c r="B12" s="48">
        <f>D11+1</f>
        <v>2000001</v>
      </c>
      <c r="C12" s="75" t="s">
        <v>149</v>
      </c>
      <c r="D12" s="76">
        <v>3000000</v>
      </c>
      <c r="E12" s="77">
        <v>230</v>
      </c>
      <c r="F12" s="76">
        <v>566500000</v>
      </c>
      <c r="G12" s="16"/>
    </row>
    <row r="13" spans="1:16" x14ac:dyDescent="0.25">
      <c r="A13" s="18"/>
      <c r="B13" s="48">
        <f>D12+1</f>
        <v>3000001</v>
      </c>
      <c r="C13" s="75" t="s">
        <v>149</v>
      </c>
      <c r="D13" s="76">
        <v>4000000</v>
      </c>
      <c r="E13" s="77">
        <v>147</v>
      </c>
      <c r="F13" s="76">
        <v>507700000</v>
      </c>
      <c r="G13" s="16"/>
      <c r="H13" t="s">
        <v>11</v>
      </c>
      <c r="I13" s="94" t="s">
        <v>179</v>
      </c>
    </row>
    <row r="14" spans="1:16" x14ac:dyDescent="0.25">
      <c r="A14" s="18"/>
      <c r="B14" s="48">
        <f>D13+1</f>
        <v>4000001</v>
      </c>
      <c r="C14" s="75" t="s">
        <v>158</v>
      </c>
      <c r="D14" s="78" t="s">
        <v>159</v>
      </c>
      <c r="E14" s="77">
        <v>264</v>
      </c>
      <c r="F14" s="76">
        <v>1650000000</v>
      </c>
      <c r="G14" s="16"/>
      <c r="I14" s="94" t="s">
        <v>170</v>
      </c>
    </row>
    <row r="15" spans="1:16" x14ac:dyDescent="0.25">
      <c r="A15" s="18"/>
      <c r="B15" s="79" t="s">
        <v>150</v>
      </c>
      <c r="C15" s="80"/>
      <c r="D15" s="81"/>
      <c r="E15" s="82">
        <f>SUM(E10:E14)</f>
        <v>20000</v>
      </c>
      <c r="F15" s="83">
        <f>SUM(F10:F14)</f>
        <v>10000000000</v>
      </c>
      <c r="G15" s="16"/>
      <c r="I15" s="94" t="s">
        <v>171</v>
      </c>
    </row>
    <row r="16" spans="1:16" x14ac:dyDescent="0.25">
      <c r="A16" s="18"/>
      <c r="B16" s="47"/>
      <c r="C16" s="47"/>
      <c r="D16" s="47"/>
      <c r="E16" s="47"/>
      <c r="F16" s="47"/>
      <c r="G16" s="16"/>
      <c r="I16" s="94" t="s">
        <v>172</v>
      </c>
    </row>
    <row r="17" spans="1:11" x14ac:dyDescent="0.25">
      <c r="A17" s="18"/>
      <c r="B17" s="47" t="s">
        <v>155</v>
      </c>
      <c r="C17" s="47"/>
      <c r="D17" s="47"/>
      <c r="E17" s="47"/>
      <c r="F17" s="47"/>
      <c r="G17" s="16"/>
      <c r="I17" s="94" t="s">
        <v>173</v>
      </c>
    </row>
    <row r="18" spans="1:11" x14ac:dyDescent="0.25">
      <c r="A18" s="18"/>
      <c r="B18" s="47" t="s">
        <v>156</v>
      </c>
      <c r="C18" s="47"/>
      <c r="D18" s="47"/>
      <c r="E18" s="47"/>
      <c r="F18" s="47"/>
      <c r="G18" s="16"/>
      <c r="I18" s="94" t="s">
        <v>174</v>
      </c>
    </row>
    <row r="19" spans="1:11" x14ac:dyDescent="0.25">
      <c r="A19" s="18"/>
      <c r="B19" s="47"/>
      <c r="C19" s="47"/>
      <c r="D19" s="47"/>
      <c r="E19" s="47"/>
      <c r="F19" s="47"/>
      <c r="G19" s="16"/>
      <c r="I19" s="94" t="s">
        <v>175</v>
      </c>
    </row>
    <row r="20" spans="1:11" x14ac:dyDescent="0.25">
      <c r="A20" s="18"/>
      <c r="B20" s="47" t="s">
        <v>151</v>
      </c>
      <c r="C20" s="47"/>
      <c r="D20" s="47"/>
      <c r="E20" s="47"/>
      <c r="F20" s="47"/>
      <c r="G20" s="16"/>
      <c r="I20" s="94"/>
    </row>
    <row r="21" spans="1:11" x14ac:dyDescent="0.25">
      <c r="A21" s="18"/>
      <c r="B21" s="47"/>
      <c r="C21" s="47"/>
      <c r="D21" s="47"/>
      <c r="E21" s="47"/>
      <c r="F21" s="47"/>
      <c r="G21" s="16"/>
      <c r="I21" s="94"/>
      <c r="K21" s="94"/>
    </row>
    <row r="22" spans="1:11" x14ac:dyDescent="0.25">
      <c r="A22" s="52" t="s">
        <v>10</v>
      </c>
      <c r="B22" s="47" t="s">
        <v>152</v>
      </c>
      <c r="C22" s="47"/>
      <c r="D22" s="47"/>
      <c r="E22" s="47"/>
      <c r="F22" s="47"/>
      <c r="G22" s="16"/>
      <c r="I22" s="94" t="s">
        <v>176</v>
      </c>
      <c r="K22" s="94">
        <f>EXP(-5*10^6/2250000)/EXP(-1*10^6/2250000)</f>
        <v>0.16901331540606604</v>
      </c>
    </row>
    <row r="23" spans="1:11" x14ac:dyDescent="0.25">
      <c r="A23" s="18"/>
      <c r="B23" s="47" t="s">
        <v>153</v>
      </c>
      <c r="C23" s="47"/>
      <c r="D23" s="47"/>
      <c r="E23" s="47"/>
      <c r="F23" s="47"/>
      <c r="G23" s="16"/>
      <c r="I23" s="94" t="s">
        <v>177</v>
      </c>
      <c r="K23" s="95">
        <f>(E15-E10)</f>
        <v>1000</v>
      </c>
    </row>
    <row r="24" spans="1:11" x14ac:dyDescent="0.25">
      <c r="A24" s="18"/>
      <c r="B24" s="47" t="s">
        <v>154</v>
      </c>
      <c r="C24" s="47"/>
      <c r="D24" s="47"/>
      <c r="E24" s="47"/>
      <c r="F24" s="47"/>
      <c r="G24" s="16"/>
      <c r="I24" s="94"/>
      <c r="K24" s="94"/>
    </row>
    <row r="25" spans="1:11" x14ac:dyDescent="0.25">
      <c r="A25" s="18"/>
      <c r="B25" s="47"/>
      <c r="C25" s="47"/>
      <c r="D25" s="47"/>
      <c r="E25" s="47"/>
      <c r="F25" s="47"/>
      <c r="G25" s="16"/>
      <c r="I25" s="94" t="s">
        <v>178</v>
      </c>
      <c r="K25" s="94">
        <f>K23*K22</f>
        <v>169.01331540606603</v>
      </c>
    </row>
    <row r="26" spans="1:11" ht="15.75" thickBot="1" x14ac:dyDescent="0.3">
      <c r="A26" s="19"/>
      <c r="B26" s="20" t="s">
        <v>157</v>
      </c>
      <c r="C26" s="20"/>
      <c r="D26" s="20"/>
      <c r="E26" s="20"/>
      <c r="F26" s="20"/>
      <c r="G26" s="21"/>
      <c r="I26" s="94" t="s">
        <v>180</v>
      </c>
    </row>
    <row r="27" spans="1:11" x14ac:dyDescent="0.25">
      <c r="I27" s="96">
        <f>K25*2250000</f>
        <v>380279959.66364855</v>
      </c>
    </row>
  </sheetData>
  <mergeCells count="1">
    <mergeCell ref="F1:G1"/>
  </mergeCells>
  <hyperlinks>
    <hyperlink ref="F1" location="TOC!A1" display="Return to TOC" xr:uid="{EB61DEBE-8575-411A-9795-8F2D7DAACD30}"/>
  </hyperlink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4E4754-0065-4CCF-9EA2-264E153A76C3}">
  <sheetPr codeName="Sheet6"/>
  <dimension ref="A1:R26"/>
  <sheetViews>
    <sheetView workbookViewId="0"/>
  </sheetViews>
  <sheetFormatPr defaultRowHeight="15" x14ac:dyDescent="0.25"/>
  <cols>
    <col min="1" max="1" width="14" bestFit="1" customWidth="1"/>
    <col min="8" max="8" width="10.7109375" customWidth="1"/>
    <col min="9" max="9" width="3.7109375" customWidth="1"/>
  </cols>
  <sheetData>
    <row r="1" spans="1:18" x14ac:dyDescent="0.25">
      <c r="A1" s="6" t="s">
        <v>4</v>
      </c>
      <c r="B1" s="7" t="s">
        <v>17</v>
      </c>
      <c r="C1" s="7"/>
      <c r="D1" s="8"/>
      <c r="E1" s="8"/>
      <c r="F1" s="8"/>
      <c r="G1" s="265" t="s">
        <v>5</v>
      </c>
      <c r="H1" s="266"/>
      <c r="I1" s="9"/>
      <c r="J1" s="10" t="s">
        <v>6</v>
      </c>
    </row>
    <row r="2" spans="1:18" x14ac:dyDescent="0.25">
      <c r="A2" s="11" t="s">
        <v>7</v>
      </c>
      <c r="B2" s="45" t="s">
        <v>182</v>
      </c>
      <c r="C2" s="45"/>
      <c r="D2" s="45"/>
      <c r="E2" s="45"/>
      <c r="F2" s="45"/>
      <c r="G2" s="45"/>
      <c r="H2" s="12"/>
      <c r="I2" t="s">
        <v>14</v>
      </c>
      <c r="J2" s="94" t="s">
        <v>194</v>
      </c>
      <c r="K2" s="94"/>
      <c r="L2" s="94"/>
      <c r="M2" s="94"/>
      <c r="N2" s="94"/>
      <c r="O2" s="105">
        <f>D17-D14</f>
        <v>8.7999999999999967E-2</v>
      </c>
      <c r="P2" s="94"/>
      <c r="Q2" s="94"/>
      <c r="R2" s="94"/>
    </row>
    <row r="3" spans="1:18" x14ac:dyDescent="0.25">
      <c r="A3" s="11" t="s">
        <v>8</v>
      </c>
      <c r="B3" s="45" t="s">
        <v>204</v>
      </c>
      <c r="C3" s="45"/>
      <c r="D3" s="45"/>
      <c r="E3" s="45"/>
      <c r="F3" s="45"/>
      <c r="G3" s="45"/>
      <c r="H3" s="12"/>
      <c r="J3" s="94"/>
      <c r="K3" s="94"/>
      <c r="L3" s="94"/>
      <c r="M3" s="94"/>
      <c r="N3" s="94"/>
      <c r="O3" s="94"/>
      <c r="P3" s="94"/>
      <c r="Q3" s="94"/>
      <c r="R3" s="94"/>
    </row>
    <row r="4" spans="1:18" x14ac:dyDescent="0.25">
      <c r="A4" s="13"/>
      <c r="B4" s="47"/>
      <c r="C4" s="47"/>
      <c r="D4" s="47"/>
      <c r="E4" s="47"/>
      <c r="F4" s="47"/>
      <c r="G4" s="47"/>
      <c r="H4" s="14"/>
      <c r="J4" s="94" t="s">
        <v>195</v>
      </c>
      <c r="K4" s="94"/>
      <c r="L4" s="94"/>
      <c r="M4" s="94"/>
      <c r="N4" s="94"/>
      <c r="O4" s="94"/>
      <c r="P4" s="94"/>
      <c r="Q4" s="94"/>
      <c r="R4" s="94"/>
    </row>
    <row r="5" spans="1:18" x14ac:dyDescent="0.25">
      <c r="A5" s="15" t="s">
        <v>9</v>
      </c>
      <c r="B5" s="47" t="s">
        <v>187</v>
      </c>
      <c r="C5" s="47"/>
      <c r="D5" s="47"/>
      <c r="E5" s="47"/>
      <c r="F5" s="47"/>
      <c r="G5" s="47"/>
      <c r="H5" s="16"/>
      <c r="J5" s="94" t="s">
        <v>202</v>
      </c>
      <c r="K5" s="94"/>
      <c r="L5" s="94"/>
      <c r="M5" s="94"/>
      <c r="N5" s="94"/>
      <c r="O5" s="94"/>
      <c r="P5" s="94"/>
      <c r="Q5" s="94"/>
      <c r="R5" s="94"/>
    </row>
    <row r="6" spans="1:18" x14ac:dyDescent="0.25">
      <c r="A6" s="18"/>
      <c r="B6" s="47" t="s">
        <v>186</v>
      </c>
      <c r="C6" s="47"/>
      <c r="D6" s="47"/>
      <c r="E6" s="47"/>
      <c r="F6" s="47"/>
      <c r="G6" s="47"/>
      <c r="H6" s="16"/>
      <c r="J6" s="94"/>
      <c r="K6" s="94"/>
      <c r="L6" s="94"/>
      <c r="M6" s="94"/>
      <c r="N6" s="94"/>
      <c r="O6" s="94"/>
      <c r="P6" s="94"/>
      <c r="Q6" s="94"/>
      <c r="R6" s="94"/>
    </row>
    <row r="7" spans="1:18" x14ac:dyDescent="0.25">
      <c r="A7" s="18"/>
      <c r="B7" s="47"/>
      <c r="C7" s="47"/>
      <c r="D7" s="47"/>
      <c r="E7" s="47"/>
      <c r="F7" s="47"/>
      <c r="G7" s="47"/>
      <c r="H7" s="16"/>
      <c r="J7" s="94" t="s">
        <v>196</v>
      </c>
      <c r="K7" s="94"/>
      <c r="L7" s="94"/>
      <c r="M7" s="94"/>
      <c r="N7" s="94"/>
      <c r="O7" s="94"/>
      <c r="P7" s="94"/>
      <c r="Q7" s="94"/>
      <c r="R7" s="94"/>
    </row>
    <row r="8" spans="1:18" x14ac:dyDescent="0.25">
      <c r="A8" s="18"/>
      <c r="B8" s="47" t="s">
        <v>188</v>
      </c>
      <c r="C8" s="47"/>
      <c r="D8" s="47"/>
      <c r="E8" s="47"/>
      <c r="F8" s="47"/>
      <c r="G8" s="47"/>
      <c r="H8" s="16"/>
      <c r="J8" s="94" t="s">
        <v>197</v>
      </c>
      <c r="K8" s="94"/>
      <c r="L8" s="94"/>
      <c r="M8" s="94"/>
      <c r="N8" s="94"/>
      <c r="O8" s="106">
        <f>D16-D13</f>
        <v>9.5999999999999974E-2</v>
      </c>
      <c r="P8" s="94"/>
      <c r="Q8" s="94"/>
      <c r="R8" s="94"/>
    </row>
    <row r="9" spans="1:18" x14ac:dyDescent="0.25">
      <c r="A9" s="18"/>
      <c r="B9" s="47" t="s">
        <v>189</v>
      </c>
      <c r="C9" s="47"/>
      <c r="D9" s="47"/>
      <c r="E9" s="47"/>
      <c r="F9" s="47"/>
      <c r="G9" s="47"/>
      <c r="H9" s="16"/>
      <c r="J9" s="94"/>
      <c r="K9" s="94"/>
      <c r="L9" s="94"/>
      <c r="M9" s="94"/>
      <c r="N9" s="94"/>
      <c r="O9" s="94"/>
      <c r="P9" s="94"/>
      <c r="Q9" s="94"/>
      <c r="R9" s="94"/>
    </row>
    <row r="10" spans="1:18" x14ac:dyDescent="0.25">
      <c r="A10" s="18"/>
      <c r="B10" s="47" t="s">
        <v>190</v>
      </c>
      <c r="C10" s="47"/>
      <c r="D10" s="47"/>
      <c r="E10" s="47"/>
      <c r="F10" s="47"/>
      <c r="G10" s="47"/>
      <c r="H10" s="16"/>
      <c r="J10" s="94" t="s">
        <v>198</v>
      </c>
      <c r="K10" s="94"/>
      <c r="L10" s="94"/>
      <c r="M10" s="94"/>
      <c r="N10" s="101">
        <f>O8/O2-1</f>
        <v>9.090909090909105E-2</v>
      </c>
      <c r="O10" s="94"/>
      <c r="P10" s="94"/>
      <c r="Q10" s="94"/>
      <c r="R10" s="94"/>
    </row>
    <row r="11" spans="1:18" x14ac:dyDescent="0.25">
      <c r="A11" s="18"/>
      <c r="B11" s="47"/>
      <c r="C11" s="47"/>
      <c r="D11" s="47"/>
      <c r="E11" s="47"/>
      <c r="F11" s="47"/>
      <c r="G11" s="47"/>
      <c r="H11" s="16"/>
      <c r="J11" s="94"/>
      <c r="K11" s="94"/>
      <c r="L11" s="94"/>
      <c r="M11" s="94"/>
      <c r="N11" s="94"/>
      <c r="O11" s="94"/>
      <c r="P11" s="94"/>
      <c r="Q11" s="94"/>
      <c r="R11" s="94"/>
    </row>
    <row r="12" spans="1:18" x14ac:dyDescent="0.25">
      <c r="A12" s="18"/>
      <c r="B12" s="47"/>
      <c r="C12" s="97" t="s">
        <v>183</v>
      </c>
      <c r="D12" s="97" t="s">
        <v>184</v>
      </c>
      <c r="E12" s="97" t="s">
        <v>185</v>
      </c>
      <c r="F12" s="47"/>
      <c r="G12" s="47"/>
      <c r="H12" s="16"/>
      <c r="J12" s="94" t="s">
        <v>199</v>
      </c>
      <c r="K12" s="94"/>
      <c r="L12" s="94"/>
      <c r="M12" s="94"/>
      <c r="N12" s="94"/>
      <c r="O12" s="94"/>
      <c r="P12" s="102">
        <f>(E17-E14)/(D17-D14)</f>
        <v>4920.4545454545469</v>
      </c>
      <c r="Q12" s="94"/>
      <c r="R12" s="94"/>
    </row>
    <row r="13" spans="1:18" x14ac:dyDescent="0.25">
      <c r="A13" s="18"/>
      <c r="B13" s="47"/>
      <c r="C13" s="107">
        <v>4545</v>
      </c>
      <c r="D13" s="26">
        <v>0.84199999999999997</v>
      </c>
      <c r="E13" s="108">
        <v>1807</v>
      </c>
      <c r="F13" s="47"/>
      <c r="G13" s="47"/>
      <c r="H13" s="16"/>
      <c r="J13" s="94"/>
      <c r="K13" s="94"/>
      <c r="L13" s="94"/>
      <c r="M13" s="94"/>
      <c r="N13" s="94"/>
      <c r="O13" s="94"/>
      <c r="P13" s="94"/>
      <c r="Q13" s="94"/>
      <c r="R13" s="94"/>
    </row>
    <row r="14" spans="1:18" x14ac:dyDescent="0.25">
      <c r="A14" s="18"/>
      <c r="B14" s="47"/>
      <c r="C14" s="109">
        <v>5000</v>
      </c>
      <c r="D14" s="77">
        <v>0.85899999999999999</v>
      </c>
      <c r="E14" s="35">
        <v>1875</v>
      </c>
      <c r="F14" s="47"/>
      <c r="G14" s="47"/>
      <c r="H14" s="16"/>
      <c r="J14" s="94"/>
      <c r="K14" s="94"/>
      <c r="M14" s="94"/>
      <c r="N14" s="94"/>
      <c r="O14" s="94"/>
      <c r="P14" s="94"/>
      <c r="Q14" s="94"/>
      <c r="R14" s="94"/>
    </row>
    <row r="15" spans="1:18" x14ac:dyDescent="0.25">
      <c r="A15" s="18"/>
      <c r="B15" s="47"/>
      <c r="C15" s="109">
        <v>5500</v>
      </c>
      <c r="D15" s="77">
        <v>0.875</v>
      </c>
      <c r="E15" s="35">
        <v>1941</v>
      </c>
      <c r="F15" s="47"/>
      <c r="G15" s="47"/>
      <c r="H15" s="16"/>
      <c r="J15" s="94"/>
      <c r="K15" s="94"/>
      <c r="L15" s="94"/>
      <c r="M15" s="94"/>
      <c r="N15" s="94"/>
      <c r="O15" s="94"/>
      <c r="P15" s="94"/>
      <c r="Q15" s="94"/>
      <c r="R15" s="94"/>
    </row>
    <row r="16" spans="1:18" x14ac:dyDescent="0.25">
      <c r="A16" s="18"/>
      <c r="B16" s="47"/>
      <c r="C16" s="109">
        <v>9091</v>
      </c>
      <c r="D16" s="77">
        <v>0.93799999999999994</v>
      </c>
      <c r="E16" s="35">
        <v>2256</v>
      </c>
      <c r="F16" s="47"/>
      <c r="G16" s="47"/>
      <c r="H16" s="16"/>
      <c r="J16" s="94" t="s">
        <v>200</v>
      </c>
      <c r="K16" s="94"/>
      <c r="L16" s="94"/>
      <c r="M16" s="94"/>
      <c r="N16" s="94"/>
      <c r="O16" s="94"/>
      <c r="P16" s="94"/>
      <c r="Q16" s="102">
        <f>1.1*(E16-E13)/(D16-D13)</f>
        <v>5144.7916666666688</v>
      </c>
      <c r="R16" s="94"/>
    </row>
    <row r="17" spans="1:18" x14ac:dyDescent="0.25">
      <c r="A17" s="18"/>
      <c r="B17" s="47"/>
      <c r="C17" s="109">
        <v>10000</v>
      </c>
      <c r="D17" s="77">
        <v>0.94699999999999995</v>
      </c>
      <c r="E17" s="35">
        <v>2308</v>
      </c>
      <c r="F17" s="47"/>
      <c r="G17" s="47"/>
      <c r="H17" s="16"/>
      <c r="J17" s="94"/>
      <c r="K17" s="94"/>
      <c r="L17" s="94"/>
      <c r="M17" s="94"/>
      <c r="N17" s="94"/>
      <c r="O17" s="94"/>
      <c r="P17" s="94"/>
      <c r="Q17" s="94"/>
      <c r="R17" s="94"/>
    </row>
    <row r="18" spans="1:18" x14ac:dyDescent="0.25">
      <c r="A18" s="18"/>
      <c r="B18" s="47"/>
      <c r="C18" s="110">
        <v>11000</v>
      </c>
      <c r="D18" s="27">
        <v>0.95399999999999996</v>
      </c>
      <c r="E18" s="36">
        <v>2357</v>
      </c>
      <c r="F18" s="47"/>
      <c r="G18" s="47"/>
      <c r="H18" s="16"/>
      <c r="K18" s="94"/>
      <c r="L18" s="94"/>
      <c r="M18" s="94"/>
      <c r="N18" s="94"/>
      <c r="O18" s="94"/>
      <c r="P18" s="94"/>
      <c r="Q18" s="94"/>
      <c r="R18" s="94"/>
    </row>
    <row r="19" spans="1:18" x14ac:dyDescent="0.25">
      <c r="A19" s="18"/>
      <c r="B19" s="47"/>
      <c r="C19" s="47"/>
      <c r="D19" s="47"/>
      <c r="E19" s="47"/>
      <c r="F19" s="47"/>
      <c r="G19" s="47"/>
      <c r="H19" s="16"/>
      <c r="J19" s="94"/>
      <c r="K19" s="94"/>
      <c r="L19" s="94"/>
      <c r="M19" s="94"/>
      <c r="N19" s="94"/>
      <c r="O19" s="94"/>
      <c r="P19" s="94"/>
      <c r="Q19" s="94"/>
      <c r="R19" s="94"/>
    </row>
    <row r="20" spans="1:18" x14ac:dyDescent="0.25">
      <c r="A20" s="18"/>
      <c r="B20" s="47" t="s">
        <v>191</v>
      </c>
      <c r="C20" s="47"/>
      <c r="D20" s="47"/>
      <c r="E20" s="47"/>
      <c r="F20" s="47"/>
      <c r="G20" s="47"/>
      <c r="H20" s="16"/>
      <c r="J20" s="94" t="s">
        <v>201</v>
      </c>
      <c r="K20" s="94"/>
      <c r="L20" s="94"/>
      <c r="M20" s="103">
        <f>Q16/P12-1</f>
        <v>4.5592763664357383E-2</v>
      </c>
      <c r="N20" s="94"/>
      <c r="O20" s="94"/>
      <c r="P20" s="94"/>
      <c r="Q20" s="94"/>
      <c r="R20" s="94"/>
    </row>
    <row r="21" spans="1:18" x14ac:dyDescent="0.25">
      <c r="A21" s="18"/>
      <c r="B21" s="47"/>
      <c r="C21" s="47"/>
      <c r="D21" s="47"/>
      <c r="E21" s="47"/>
      <c r="F21" s="47"/>
      <c r="G21" s="47"/>
      <c r="H21" s="16"/>
      <c r="J21" s="94"/>
      <c r="K21" s="94"/>
      <c r="L21" s="94"/>
      <c r="M21" s="94"/>
      <c r="N21" s="94"/>
      <c r="O21" s="94"/>
      <c r="P21" s="94"/>
      <c r="Q21" s="94"/>
      <c r="R21" s="94"/>
    </row>
    <row r="22" spans="1:18" x14ac:dyDescent="0.25">
      <c r="A22" s="52" t="s">
        <v>10</v>
      </c>
      <c r="B22" s="47" t="s">
        <v>192</v>
      </c>
      <c r="C22" s="47"/>
      <c r="D22" s="47"/>
      <c r="E22" s="47"/>
      <c r="F22" s="47"/>
      <c r="G22" s="47"/>
      <c r="H22" s="16"/>
      <c r="J22" s="94" t="s">
        <v>203</v>
      </c>
      <c r="K22" s="94"/>
      <c r="L22" s="94"/>
      <c r="M22" s="94"/>
      <c r="N22" s="94"/>
      <c r="O22" s="94"/>
      <c r="P22" s="94"/>
      <c r="Q22" s="94"/>
      <c r="R22" s="94"/>
    </row>
    <row r="23" spans="1:18" x14ac:dyDescent="0.25">
      <c r="A23" s="18"/>
      <c r="B23" s="47"/>
      <c r="C23" s="47"/>
      <c r="D23" s="47"/>
      <c r="E23" s="47"/>
      <c r="F23" s="47"/>
      <c r="G23" s="47"/>
      <c r="H23" s="16"/>
      <c r="J23" s="104">
        <f>(1+N10)*(1+M20)-1</f>
        <v>0.14064665127020826</v>
      </c>
      <c r="K23" s="94"/>
      <c r="L23" s="94"/>
      <c r="M23" s="94"/>
      <c r="N23" s="94"/>
      <c r="O23" s="94"/>
      <c r="P23" s="94"/>
      <c r="Q23" s="94"/>
      <c r="R23" s="94"/>
    </row>
    <row r="24" spans="1:18" ht="15.75" thickBot="1" x14ac:dyDescent="0.3">
      <c r="A24" s="19"/>
      <c r="B24" s="20" t="s">
        <v>193</v>
      </c>
      <c r="C24" s="20"/>
      <c r="D24" s="20"/>
      <c r="E24" s="20"/>
      <c r="F24" s="20"/>
      <c r="G24" s="20"/>
      <c r="H24" s="21"/>
      <c r="J24" s="94"/>
      <c r="K24" s="94"/>
      <c r="L24" s="94"/>
      <c r="M24" s="94"/>
      <c r="N24" s="94"/>
      <c r="O24" s="94"/>
      <c r="P24" s="94"/>
      <c r="Q24" s="94"/>
      <c r="R24" s="94"/>
    </row>
    <row r="25" spans="1:18" x14ac:dyDescent="0.25">
      <c r="J25" s="94"/>
      <c r="K25" s="94"/>
      <c r="L25" s="94"/>
      <c r="M25" s="94"/>
      <c r="N25" s="94"/>
      <c r="O25" s="94"/>
      <c r="P25" s="94"/>
      <c r="Q25" s="94"/>
      <c r="R25" s="94"/>
    </row>
    <row r="26" spans="1:18" x14ac:dyDescent="0.25">
      <c r="J26" s="94"/>
      <c r="K26" s="94"/>
      <c r="L26" s="94"/>
      <c r="M26" s="94"/>
      <c r="N26" s="94"/>
      <c r="O26" s="94"/>
      <c r="P26" s="94"/>
      <c r="Q26" s="94"/>
      <c r="R26" s="94"/>
    </row>
  </sheetData>
  <mergeCells count="1">
    <mergeCell ref="G1:H1"/>
  </mergeCells>
  <hyperlinks>
    <hyperlink ref="G1" location="TOC!A1" display="Return to TOC" xr:uid="{E7F4BEA4-B1BA-4E5A-AF59-7C32CF51761C}"/>
  </hyperlink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BBC1F4-0D2B-4280-8459-F8A32D71DF06}">
  <sheetPr codeName="Sheet7"/>
  <dimension ref="A1:Q28"/>
  <sheetViews>
    <sheetView workbookViewId="0"/>
  </sheetViews>
  <sheetFormatPr defaultRowHeight="15" x14ac:dyDescent="0.25"/>
  <cols>
    <col min="1" max="1" width="14" bestFit="1" customWidth="1"/>
    <col min="8" max="8" width="10.7109375" customWidth="1"/>
    <col min="9" max="9" width="3.7109375" customWidth="1"/>
    <col min="11" max="11" width="12" bestFit="1" customWidth="1"/>
  </cols>
  <sheetData>
    <row r="1" spans="1:17" x14ac:dyDescent="0.25">
      <c r="A1" s="6" t="s">
        <v>4</v>
      </c>
      <c r="B1" s="7" t="s">
        <v>17</v>
      </c>
      <c r="C1" s="7"/>
      <c r="D1" s="8"/>
      <c r="E1" s="8"/>
      <c r="F1" s="8"/>
      <c r="G1" s="265" t="s">
        <v>5</v>
      </c>
      <c r="H1" s="266"/>
      <c r="I1" s="9"/>
      <c r="J1" s="10" t="s">
        <v>6</v>
      </c>
    </row>
    <row r="2" spans="1:17" x14ac:dyDescent="0.25">
      <c r="A2" s="11" t="s">
        <v>7</v>
      </c>
      <c r="B2" s="45" t="s">
        <v>182</v>
      </c>
      <c r="C2" s="45"/>
      <c r="D2" s="45"/>
      <c r="E2" s="45"/>
      <c r="F2" s="45"/>
      <c r="G2" s="45"/>
      <c r="H2" s="12"/>
      <c r="I2" t="s">
        <v>14</v>
      </c>
      <c r="J2" s="94" t="s">
        <v>217</v>
      </c>
      <c r="K2" s="94"/>
      <c r="L2" s="94"/>
      <c r="M2" s="94"/>
      <c r="N2" s="94"/>
      <c r="O2" s="94">
        <f>(6000/(10000+6000))^2</f>
        <v>0.140625</v>
      </c>
      <c r="P2" s="94"/>
      <c r="Q2" s="94"/>
    </row>
    <row r="3" spans="1:17" x14ac:dyDescent="0.25">
      <c r="A3" s="11" t="s">
        <v>8</v>
      </c>
      <c r="B3" s="45" t="s">
        <v>233</v>
      </c>
      <c r="C3" s="45"/>
      <c r="D3" s="45"/>
      <c r="E3" s="45"/>
      <c r="F3" s="45"/>
      <c r="G3" s="45"/>
      <c r="H3" s="12"/>
      <c r="J3" s="94"/>
      <c r="K3" s="94"/>
      <c r="L3" s="94"/>
      <c r="M3" s="94"/>
      <c r="N3" s="94"/>
      <c r="O3" s="94"/>
      <c r="P3" s="94"/>
      <c r="Q3" s="94"/>
    </row>
    <row r="4" spans="1:17" x14ac:dyDescent="0.25">
      <c r="A4" s="13"/>
      <c r="B4" s="47"/>
      <c r="C4" s="47"/>
      <c r="D4" s="47"/>
      <c r="E4" s="47"/>
      <c r="F4" s="47"/>
      <c r="G4" s="47"/>
      <c r="H4" s="14"/>
      <c r="J4" s="94" t="s">
        <v>218</v>
      </c>
      <c r="K4" s="94"/>
      <c r="L4" s="94"/>
      <c r="M4" s="94"/>
      <c r="N4" s="112">
        <f>5000*O2</f>
        <v>703.125</v>
      </c>
      <c r="O4" s="94" t="s">
        <v>219</v>
      </c>
      <c r="P4" s="94"/>
      <c r="Q4" s="94"/>
    </row>
    <row r="5" spans="1:17" x14ac:dyDescent="0.25">
      <c r="A5" s="15" t="s">
        <v>9</v>
      </c>
      <c r="B5" s="47" t="s">
        <v>212</v>
      </c>
      <c r="C5" s="47"/>
      <c r="D5" s="47"/>
      <c r="E5" s="47"/>
      <c r="F5" s="47"/>
      <c r="G5" s="47"/>
      <c r="H5" s="16"/>
      <c r="J5" s="94" t="s">
        <v>220</v>
      </c>
      <c r="K5" s="94"/>
      <c r="L5" s="94"/>
      <c r="M5" s="94"/>
      <c r="N5" s="94"/>
      <c r="O5" s="94"/>
      <c r="P5" s="94"/>
      <c r="Q5" s="94"/>
    </row>
    <row r="6" spans="1:17" x14ac:dyDescent="0.25">
      <c r="A6" s="18"/>
      <c r="B6" s="47" t="s">
        <v>213</v>
      </c>
      <c r="C6" s="47"/>
      <c r="D6" s="47"/>
      <c r="E6" s="47"/>
      <c r="F6" s="47"/>
      <c r="G6" s="47"/>
      <c r="H6" s="16"/>
      <c r="J6" s="94"/>
      <c r="K6" s="94"/>
      <c r="L6" s="94"/>
      <c r="M6" s="94"/>
      <c r="N6" s="94"/>
      <c r="O6" s="94"/>
      <c r="P6" s="94"/>
      <c r="Q6" s="94"/>
    </row>
    <row r="7" spans="1:17" x14ac:dyDescent="0.25">
      <c r="A7" s="18"/>
      <c r="B7" s="47"/>
      <c r="C7" s="47"/>
      <c r="D7" s="47"/>
      <c r="E7" s="47"/>
      <c r="F7" s="47"/>
      <c r="G7" s="47"/>
      <c r="H7" s="16"/>
      <c r="I7" t="s">
        <v>11</v>
      </c>
      <c r="J7" s="94" t="s">
        <v>221</v>
      </c>
      <c r="K7" s="94"/>
      <c r="L7" s="94"/>
      <c r="M7" s="94"/>
      <c r="N7" s="94"/>
      <c r="O7" s="94"/>
      <c r="P7" s="94"/>
      <c r="Q7" s="94"/>
    </row>
    <row r="8" spans="1:17" x14ac:dyDescent="0.25">
      <c r="A8" s="18"/>
      <c r="B8" s="47" t="s">
        <v>205</v>
      </c>
      <c r="C8" s="47"/>
      <c r="D8" s="47"/>
      <c r="E8" s="47"/>
      <c r="F8" s="47"/>
      <c r="G8" s="47"/>
      <c r="H8" s="16"/>
      <c r="J8" s="94" t="s">
        <v>40</v>
      </c>
      <c r="K8" s="95">
        <f>6000/(2-1)</f>
        <v>6000</v>
      </c>
      <c r="L8" s="94"/>
      <c r="M8" s="94"/>
      <c r="N8" s="94"/>
      <c r="O8" s="94"/>
      <c r="P8" s="94"/>
      <c r="Q8" s="94"/>
    </row>
    <row r="9" spans="1:17" x14ac:dyDescent="0.25">
      <c r="A9" s="18"/>
      <c r="B9" s="47" t="s">
        <v>206</v>
      </c>
      <c r="C9" s="47"/>
      <c r="D9" s="47"/>
      <c r="E9" s="47"/>
      <c r="F9" s="47"/>
      <c r="G9" s="47"/>
      <c r="H9" s="16"/>
      <c r="J9" s="94" t="s">
        <v>222</v>
      </c>
      <c r="K9" s="94"/>
      <c r="L9" s="94">
        <f>(6000/(2-1))*(1-(6000/(10000+6000))^(2-1))</f>
        <v>3750</v>
      </c>
      <c r="M9" s="94"/>
      <c r="N9" s="94"/>
      <c r="O9" s="94"/>
      <c r="P9" s="94"/>
      <c r="Q9" s="94"/>
    </row>
    <row r="10" spans="1:17" x14ac:dyDescent="0.25">
      <c r="A10" s="18"/>
      <c r="B10" s="47"/>
      <c r="C10" s="47"/>
      <c r="D10" s="47"/>
      <c r="E10" s="47"/>
      <c r="F10" s="47"/>
      <c r="G10" s="47"/>
      <c r="H10" s="16"/>
      <c r="J10" s="94"/>
      <c r="K10" s="94"/>
      <c r="L10" s="94"/>
      <c r="M10" s="94"/>
      <c r="N10" s="94"/>
      <c r="O10" s="94"/>
      <c r="P10" s="94"/>
      <c r="Q10" s="94"/>
    </row>
    <row r="11" spans="1:17" x14ac:dyDescent="0.25">
      <c r="A11" s="18"/>
      <c r="B11" s="47" t="s">
        <v>207</v>
      </c>
      <c r="C11" s="47"/>
      <c r="D11" s="47"/>
      <c r="E11" s="47"/>
      <c r="F11" s="47"/>
      <c r="G11" s="47"/>
      <c r="H11" s="16"/>
      <c r="J11" s="94" t="s">
        <v>223</v>
      </c>
      <c r="K11" s="111">
        <f>N4*(K8-L9)</f>
        <v>1582031.25</v>
      </c>
      <c r="L11" s="94"/>
      <c r="M11" s="94"/>
      <c r="N11" s="94"/>
      <c r="O11" s="94"/>
      <c r="P11" s="94"/>
      <c r="Q11" s="94"/>
    </row>
    <row r="12" spans="1:17" x14ac:dyDescent="0.25">
      <c r="A12" s="18"/>
      <c r="B12" s="47"/>
      <c r="C12" s="47"/>
      <c r="D12" s="47"/>
      <c r="E12" s="47"/>
      <c r="F12" s="47"/>
      <c r="G12" s="47"/>
      <c r="H12" s="16"/>
      <c r="J12" s="94"/>
      <c r="K12" s="94"/>
      <c r="L12" s="94"/>
      <c r="M12" s="94"/>
      <c r="N12" s="94"/>
      <c r="O12" s="94"/>
      <c r="P12" s="94"/>
      <c r="Q12" s="94"/>
    </row>
    <row r="13" spans="1:17" x14ac:dyDescent="0.25">
      <c r="A13" s="18"/>
      <c r="B13" s="47" t="s">
        <v>208</v>
      </c>
      <c r="C13" s="47"/>
      <c r="D13" s="47"/>
      <c r="E13" s="47"/>
      <c r="F13" s="47"/>
      <c r="G13" s="47"/>
      <c r="H13" s="16"/>
      <c r="J13" s="94" t="s">
        <v>224</v>
      </c>
      <c r="K13" s="94"/>
      <c r="L13" s="94"/>
      <c r="M13" s="94"/>
      <c r="N13" s="94"/>
      <c r="O13" s="94"/>
      <c r="P13" s="94"/>
      <c r="Q13" s="94"/>
    </row>
    <row r="14" spans="1:17" x14ac:dyDescent="0.25">
      <c r="A14" s="18"/>
      <c r="B14" s="47" t="s">
        <v>209</v>
      </c>
      <c r="C14" s="47"/>
      <c r="D14" s="47"/>
      <c r="E14" s="47"/>
      <c r="F14" s="47"/>
      <c r="G14" s="47"/>
      <c r="H14" s="16"/>
      <c r="J14" s="94" t="s">
        <v>225</v>
      </c>
      <c r="K14" s="94"/>
      <c r="L14" s="94"/>
      <c r="M14" s="94"/>
      <c r="N14" s="94"/>
      <c r="O14" s="94"/>
      <c r="P14" s="94"/>
      <c r="Q14" s="94"/>
    </row>
    <row r="15" spans="1:17" x14ac:dyDescent="0.25">
      <c r="A15" s="18"/>
      <c r="B15" s="47"/>
      <c r="C15" s="47"/>
      <c r="D15" s="47"/>
      <c r="E15" s="47"/>
      <c r="F15" s="47"/>
      <c r="G15" s="47"/>
      <c r="H15" s="16"/>
      <c r="J15" s="94" t="s">
        <v>226</v>
      </c>
      <c r="K15" s="94"/>
      <c r="L15" s="94"/>
      <c r="M15" s="94"/>
      <c r="N15" s="94"/>
      <c r="O15" s="94"/>
      <c r="P15" s="94"/>
      <c r="Q15" s="94"/>
    </row>
    <row r="16" spans="1:17" x14ac:dyDescent="0.25">
      <c r="A16" s="18"/>
      <c r="B16" s="47" t="s">
        <v>210</v>
      </c>
      <c r="C16" s="47"/>
      <c r="D16" s="47"/>
      <c r="E16" s="47"/>
      <c r="F16" s="47"/>
      <c r="G16" s="47"/>
      <c r="H16" s="16"/>
      <c r="J16" s="94"/>
      <c r="K16" s="94"/>
      <c r="L16" s="94"/>
      <c r="M16" s="94"/>
      <c r="N16" s="94"/>
      <c r="O16" s="94"/>
      <c r="P16" s="94"/>
      <c r="Q16" s="94"/>
    </row>
    <row r="17" spans="1:17" x14ac:dyDescent="0.25">
      <c r="A17" s="18"/>
      <c r="B17" s="47"/>
      <c r="C17" s="47"/>
      <c r="D17" s="47"/>
      <c r="E17" s="47"/>
      <c r="F17" s="47"/>
      <c r="G17" s="47"/>
      <c r="H17" s="16"/>
      <c r="J17" s="94" t="s">
        <v>227</v>
      </c>
      <c r="K17" s="94"/>
      <c r="L17" s="94"/>
      <c r="M17" s="94"/>
      <c r="N17" s="94"/>
      <c r="O17" s="94"/>
      <c r="P17" s="94"/>
      <c r="Q17" s="94"/>
    </row>
    <row r="18" spans="1:17" x14ac:dyDescent="0.25">
      <c r="A18" s="18"/>
      <c r="B18" s="47"/>
      <c r="C18" s="47"/>
      <c r="D18" s="47"/>
      <c r="E18" s="47"/>
      <c r="F18" s="47"/>
      <c r="G18" s="47"/>
      <c r="H18" s="16"/>
      <c r="J18" s="94" t="s">
        <v>228</v>
      </c>
      <c r="K18" s="94"/>
      <c r="L18" s="94">
        <f>(6000/(2-1))*(1-(6000/(10000/1.03+6000))^(2-1))</f>
        <v>3708.2818294190361</v>
      </c>
      <c r="M18" s="94"/>
      <c r="N18" s="94"/>
      <c r="O18" s="94"/>
      <c r="P18" s="94"/>
      <c r="Q18" s="94"/>
    </row>
    <row r="19" spans="1:17" x14ac:dyDescent="0.25">
      <c r="A19" s="18"/>
      <c r="B19" s="47"/>
      <c r="C19" s="47"/>
      <c r="D19" s="47"/>
      <c r="E19" s="47"/>
      <c r="F19" s="47"/>
      <c r="G19" s="47"/>
      <c r="H19" s="16"/>
      <c r="J19" s="94"/>
      <c r="K19" s="94"/>
      <c r="L19" s="94"/>
      <c r="M19" s="94"/>
      <c r="N19" s="94"/>
      <c r="O19" s="94"/>
      <c r="P19" s="94"/>
      <c r="Q19" s="94"/>
    </row>
    <row r="20" spans="1:17" x14ac:dyDescent="0.25">
      <c r="A20" s="18"/>
      <c r="B20" s="47"/>
      <c r="C20" s="47"/>
      <c r="D20" s="47"/>
      <c r="E20" s="47"/>
      <c r="F20" s="47"/>
      <c r="G20" s="47"/>
      <c r="H20" s="16"/>
      <c r="J20" s="94" t="s">
        <v>229</v>
      </c>
      <c r="K20" s="94">
        <f>1.03*(K8-L18)</f>
        <v>2360.469715698393</v>
      </c>
      <c r="L20" s="94"/>
      <c r="M20" s="94"/>
      <c r="N20" s="94"/>
      <c r="O20" s="94"/>
      <c r="P20" s="94"/>
      <c r="Q20" s="94"/>
    </row>
    <row r="21" spans="1:17" x14ac:dyDescent="0.25">
      <c r="A21" s="18"/>
      <c r="B21" s="47"/>
      <c r="C21" s="47"/>
      <c r="D21" s="47"/>
      <c r="E21" s="47"/>
      <c r="F21" s="47"/>
      <c r="G21" s="47"/>
      <c r="H21" s="16"/>
      <c r="J21" s="94" t="s">
        <v>230</v>
      </c>
      <c r="K21" s="94"/>
      <c r="L21" s="94"/>
      <c r="M21" s="94"/>
      <c r="N21" s="94"/>
      <c r="O21" s="94"/>
      <c r="P21" s="94"/>
      <c r="Q21" s="94"/>
    </row>
    <row r="22" spans="1:17" x14ac:dyDescent="0.25">
      <c r="A22" s="18"/>
      <c r="B22" s="47"/>
      <c r="C22" s="47"/>
      <c r="D22" s="47"/>
      <c r="E22" s="47"/>
      <c r="F22" s="47"/>
      <c r="G22" s="47"/>
      <c r="H22" s="16"/>
      <c r="J22" s="94" t="s">
        <v>231</v>
      </c>
      <c r="K22" s="94"/>
      <c r="L22" s="94"/>
      <c r="M22" s="94">
        <f>K11/K20</f>
        <v>670.21882953152988</v>
      </c>
      <c r="N22" s="94"/>
      <c r="O22" s="94"/>
      <c r="P22" s="94"/>
      <c r="Q22" s="94"/>
    </row>
    <row r="23" spans="1:17" x14ac:dyDescent="0.25">
      <c r="A23" s="52" t="s">
        <v>10</v>
      </c>
      <c r="B23" s="47" t="s">
        <v>214</v>
      </c>
      <c r="C23" s="47"/>
      <c r="D23" s="47"/>
      <c r="E23" s="47"/>
      <c r="F23" s="47"/>
      <c r="G23" s="47"/>
      <c r="H23" s="16"/>
      <c r="J23" s="94"/>
      <c r="K23" s="94"/>
      <c r="L23" s="94"/>
      <c r="M23" s="94"/>
      <c r="N23" s="94"/>
      <c r="O23" s="94"/>
      <c r="P23" s="94"/>
      <c r="Q23" s="94"/>
    </row>
    <row r="24" spans="1:17" x14ac:dyDescent="0.25">
      <c r="A24" s="18"/>
      <c r="B24" s="47"/>
      <c r="C24" s="47"/>
      <c r="D24" s="47"/>
      <c r="E24" s="47"/>
      <c r="F24" s="47"/>
      <c r="G24" s="47"/>
      <c r="H24" s="16"/>
      <c r="J24" s="94" t="s">
        <v>232</v>
      </c>
      <c r="K24" s="94"/>
      <c r="L24" s="94"/>
      <c r="M24" s="101">
        <f>M22/N4 -1</f>
        <v>-4.6799886888490794E-2</v>
      </c>
      <c r="N24" s="94"/>
      <c r="O24" s="94"/>
      <c r="P24" s="94"/>
      <c r="Q24" s="94"/>
    </row>
    <row r="25" spans="1:17" x14ac:dyDescent="0.25">
      <c r="A25" s="18"/>
      <c r="B25" s="47" t="s">
        <v>211</v>
      </c>
      <c r="C25" s="47"/>
      <c r="D25" s="47"/>
      <c r="E25" s="47"/>
      <c r="F25" s="47"/>
      <c r="G25" s="47"/>
      <c r="H25" s="16"/>
      <c r="J25" s="94"/>
      <c r="K25" s="94"/>
      <c r="L25" s="94"/>
      <c r="M25" s="94"/>
      <c r="N25" s="94"/>
      <c r="O25" s="94"/>
      <c r="P25" s="94"/>
      <c r="Q25" s="94"/>
    </row>
    <row r="26" spans="1:17" x14ac:dyDescent="0.25">
      <c r="A26" s="18"/>
      <c r="B26" s="47"/>
      <c r="C26" s="47"/>
      <c r="D26" s="47"/>
      <c r="E26" s="47"/>
      <c r="F26" s="47"/>
      <c r="G26" s="47"/>
      <c r="H26" s="16"/>
    </row>
    <row r="27" spans="1:17" x14ac:dyDescent="0.25">
      <c r="A27" s="18"/>
      <c r="B27" s="47" t="s">
        <v>215</v>
      </c>
      <c r="C27" s="47"/>
      <c r="D27" s="47"/>
      <c r="E27" s="47"/>
      <c r="F27" s="47"/>
      <c r="G27" s="47"/>
      <c r="H27" s="16"/>
    </row>
    <row r="28" spans="1:17" ht="15.75" thickBot="1" x14ac:dyDescent="0.3">
      <c r="A28" s="19"/>
      <c r="B28" s="20" t="s">
        <v>216</v>
      </c>
      <c r="C28" s="20"/>
      <c r="D28" s="20"/>
      <c r="E28" s="20"/>
      <c r="F28" s="20"/>
      <c r="G28" s="20"/>
      <c r="H28" s="21"/>
    </row>
  </sheetData>
  <mergeCells count="1">
    <mergeCell ref="G1:H1"/>
  </mergeCells>
  <hyperlinks>
    <hyperlink ref="G1" location="TOC!A1" display="Return to TOC" xr:uid="{7B405FA4-53AB-4F43-8EAC-0CCE713A726D}"/>
  </hyperlink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B118E8-0BF7-4979-B1F9-9609C3770F22}">
  <sheetPr codeName="Sheet8"/>
  <dimension ref="A1:K20"/>
  <sheetViews>
    <sheetView workbookViewId="0"/>
  </sheetViews>
  <sheetFormatPr defaultRowHeight="15" x14ac:dyDescent="0.25"/>
  <cols>
    <col min="1" max="1" width="14" bestFit="1" customWidth="1"/>
    <col min="3" max="3" width="12.5703125" bestFit="1" customWidth="1"/>
    <col min="7" max="7" width="11.85546875" customWidth="1"/>
    <col min="8" max="8" width="3.7109375" customWidth="1"/>
    <col min="10" max="11" width="12" bestFit="1" customWidth="1"/>
  </cols>
  <sheetData>
    <row r="1" spans="1:11" x14ac:dyDescent="0.25">
      <c r="A1" s="6" t="s">
        <v>4</v>
      </c>
      <c r="B1" s="7" t="s">
        <v>17</v>
      </c>
      <c r="C1" s="7"/>
      <c r="D1" s="8"/>
      <c r="E1" s="8"/>
      <c r="F1" s="265" t="s">
        <v>5</v>
      </c>
      <c r="G1" s="266"/>
      <c r="H1" s="9"/>
      <c r="I1" s="10" t="s">
        <v>6</v>
      </c>
    </row>
    <row r="2" spans="1:11" x14ac:dyDescent="0.25">
      <c r="A2" s="11" t="s">
        <v>7</v>
      </c>
      <c r="B2" s="45" t="s">
        <v>408</v>
      </c>
      <c r="C2" s="45"/>
      <c r="D2" s="45"/>
      <c r="E2" s="45"/>
      <c r="F2" s="45"/>
      <c r="G2" s="12"/>
      <c r="H2" t="s">
        <v>14</v>
      </c>
      <c r="I2" t="s">
        <v>404</v>
      </c>
    </row>
    <row r="3" spans="1:11" x14ac:dyDescent="0.25">
      <c r="A3" s="11" t="s">
        <v>8</v>
      </c>
      <c r="B3" s="45" t="s">
        <v>393</v>
      </c>
      <c r="C3" s="45"/>
      <c r="D3" s="45"/>
      <c r="E3" s="45"/>
      <c r="F3" s="45"/>
      <c r="G3" s="12"/>
      <c r="I3" s="91" t="s">
        <v>397</v>
      </c>
      <c r="J3" s="90" t="s">
        <v>405</v>
      </c>
    </row>
    <row r="4" spans="1:11" x14ac:dyDescent="0.25">
      <c r="A4" s="13"/>
      <c r="B4" s="47"/>
      <c r="C4" s="47"/>
      <c r="D4" s="47"/>
      <c r="E4" s="47"/>
      <c r="F4" s="47"/>
      <c r="G4" s="14"/>
      <c r="I4" s="34">
        <v>1</v>
      </c>
      <c r="J4" s="72">
        <f>MIN(MAX(C11-500000,0),500000)</f>
        <v>0</v>
      </c>
    </row>
    <row r="5" spans="1:11" x14ac:dyDescent="0.25">
      <c r="A5" s="15" t="s">
        <v>9</v>
      </c>
      <c r="B5" s="47" t="s">
        <v>394</v>
      </c>
      <c r="C5" s="47"/>
      <c r="D5" s="47"/>
      <c r="E5" s="47"/>
      <c r="F5" s="47"/>
      <c r="G5" s="16"/>
      <c r="I5" s="34">
        <v>2</v>
      </c>
      <c r="J5" s="72">
        <f t="shared" ref="J5:J8" si="0">MIN(MAX(C12-500000,0),500000)</f>
        <v>100000</v>
      </c>
    </row>
    <row r="6" spans="1:11" x14ac:dyDescent="0.25">
      <c r="A6" s="18"/>
      <c r="B6" s="45" t="s">
        <v>395</v>
      </c>
      <c r="C6" s="47"/>
      <c r="D6" s="47"/>
      <c r="E6" s="47"/>
      <c r="F6" s="47"/>
      <c r="G6" s="16"/>
      <c r="I6" s="34">
        <v>3</v>
      </c>
      <c r="J6" s="72">
        <f t="shared" si="0"/>
        <v>0</v>
      </c>
    </row>
    <row r="7" spans="1:11" x14ac:dyDescent="0.25">
      <c r="A7" s="18"/>
      <c r="B7" s="45" t="s">
        <v>396</v>
      </c>
      <c r="C7" s="47"/>
      <c r="D7" s="47"/>
      <c r="E7" s="47"/>
      <c r="F7" s="47"/>
      <c r="G7" s="16"/>
      <c r="I7" s="34">
        <v>4</v>
      </c>
      <c r="J7" s="72">
        <f t="shared" si="0"/>
        <v>500000</v>
      </c>
    </row>
    <row r="8" spans="1:11" x14ac:dyDescent="0.25">
      <c r="A8" s="18"/>
      <c r="B8" s="47"/>
      <c r="C8" s="47"/>
      <c r="D8" s="47"/>
      <c r="E8" s="47"/>
      <c r="F8" s="47"/>
      <c r="G8" s="16"/>
      <c r="I8" s="34">
        <v>5</v>
      </c>
      <c r="J8" s="72">
        <f t="shared" si="0"/>
        <v>450000</v>
      </c>
    </row>
    <row r="9" spans="1:11" x14ac:dyDescent="0.25">
      <c r="A9" s="18"/>
      <c r="B9" s="26" t="s">
        <v>399</v>
      </c>
      <c r="C9" s="23" t="s">
        <v>402</v>
      </c>
      <c r="D9" s="47"/>
      <c r="E9" s="47"/>
      <c r="F9" s="47"/>
      <c r="G9" s="16"/>
      <c r="I9" s="91" t="s">
        <v>150</v>
      </c>
      <c r="J9" s="180">
        <f>SUM(J4:J8)</f>
        <v>1050000</v>
      </c>
    </row>
    <row r="10" spans="1:11" x14ac:dyDescent="0.25">
      <c r="A10" s="18"/>
      <c r="B10" s="27" t="s">
        <v>398</v>
      </c>
      <c r="C10" s="25" t="s">
        <v>403</v>
      </c>
      <c r="D10" s="47"/>
      <c r="E10" s="47"/>
      <c r="F10" s="47"/>
      <c r="G10" s="16"/>
    </row>
    <row r="11" spans="1:11" x14ac:dyDescent="0.25">
      <c r="A11" s="18"/>
      <c r="B11" s="77">
        <v>1</v>
      </c>
      <c r="C11" s="76">
        <v>500000</v>
      </c>
      <c r="D11" s="47"/>
      <c r="E11" s="47"/>
      <c r="F11" s="47"/>
      <c r="G11" s="16"/>
      <c r="I11" t="s">
        <v>406</v>
      </c>
    </row>
    <row r="12" spans="1:11" x14ac:dyDescent="0.25">
      <c r="A12" s="18"/>
      <c r="B12" s="77">
        <v>2</v>
      </c>
      <c r="C12" s="76">
        <v>600000</v>
      </c>
      <c r="D12" s="47"/>
      <c r="E12" s="47"/>
      <c r="F12" s="47"/>
      <c r="G12" s="16"/>
      <c r="I12" s="88" t="s">
        <v>397</v>
      </c>
      <c r="J12" s="91" t="s">
        <v>399</v>
      </c>
      <c r="K12" s="90" t="s">
        <v>405</v>
      </c>
    </row>
    <row r="13" spans="1:11" x14ac:dyDescent="0.25">
      <c r="A13" s="18"/>
      <c r="B13" s="77">
        <v>3</v>
      </c>
      <c r="C13" s="76">
        <v>350000</v>
      </c>
      <c r="D13" s="47"/>
      <c r="E13" s="47"/>
      <c r="F13" s="47"/>
      <c r="G13" s="16"/>
      <c r="I13" s="31">
        <v>1</v>
      </c>
      <c r="J13" s="92">
        <f>C11*(1+9%)</f>
        <v>545000</v>
      </c>
      <c r="K13" s="72">
        <f>MIN(MAX(J13-500000,0),500000)</f>
        <v>45000</v>
      </c>
    </row>
    <row r="14" spans="1:11" x14ac:dyDescent="0.25">
      <c r="A14" s="18"/>
      <c r="B14" s="77">
        <v>4</v>
      </c>
      <c r="C14" s="76">
        <v>1500000</v>
      </c>
      <c r="D14" s="47"/>
      <c r="E14" s="47"/>
      <c r="F14" s="47"/>
      <c r="G14" s="16"/>
      <c r="I14" s="31">
        <v>2</v>
      </c>
      <c r="J14" s="92">
        <f t="shared" ref="J14:J17" si="1">C12*(1+9%)</f>
        <v>654000</v>
      </c>
      <c r="K14" s="72">
        <f t="shared" ref="K14:K17" si="2">MIN(MAX(J14-500000,0),500000)</f>
        <v>154000</v>
      </c>
    </row>
    <row r="15" spans="1:11" x14ac:dyDescent="0.25">
      <c r="A15" s="18"/>
      <c r="B15" s="27">
        <v>5</v>
      </c>
      <c r="C15" s="178">
        <v>950000</v>
      </c>
      <c r="D15" s="47"/>
      <c r="E15" s="47"/>
      <c r="F15" s="47"/>
      <c r="G15" s="16"/>
      <c r="I15" s="31">
        <v>3</v>
      </c>
      <c r="J15" s="92">
        <f t="shared" si="1"/>
        <v>381500</v>
      </c>
      <c r="K15" s="72">
        <f t="shared" si="2"/>
        <v>0</v>
      </c>
    </row>
    <row r="16" spans="1:11" x14ac:dyDescent="0.25">
      <c r="A16" s="18"/>
      <c r="B16" s="47"/>
      <c r="C16" s="47"/>
      <c r="D16" s="47"/>
      <c r="E16" s="47"/>
      <c r="F16" s="47"/>
      <c r="G16" s="16"/>
      <c r="I16" s="31">
        <v>4</v>
      </c>
      <c r="J16" s="92">
        <f t="shared" si="1"/>
        <v>1635000.0000000002</v>
      </c>
      <c r="K16" s="72">
        <f t="shared" si="2"/>
        <v>500000</v>
      </c>
    </row>
    <row r="17" spans="1:11" x14ac:dyDescent="0.25">
      <c r="A17" s="18"/>
      <c r="B17" s="47" t="s">
        <v>400</v>
      </c>
      <c r="C17" s="47"/>
      <c r="D17" s="47"/>
      <c r="E17" s="47"/>
      <c r="F17" s="47"/>
      <c r="G17" s="16"/>
      <c r="I17" s="31">
        <v>5</v>
      </c>
      <c r="J17" s="92">
        <f t="shared" si="1"/>
        <v>1035500.0000000001</v>
      </c>
      <c r="K17" s="72">
        <f t="shared" si="2"/>
        <v>500000</v>
      </c>
    </row>
    <row r="18" spans="1:11" x14ac:dyDescent="0.25">
      <c r="A18" s="18"/>
      <c r="B18" s="47"/>
      <c r="C18" s="47"/>
      <c r="D18" s="47"/>
      <c r="E18" s="47"/>
      <c r="F18" s="47"/>
      <c r="G18" s="16"/>
      <c r="I18" s="88" t="s">
        <v>150</v>
      </c>
      <c r="J18" s="91"/>
      <c r="K18" s="180">
        <f>SUM(K13:K17)</f>
        <v>1199000</v>
      </c>
    </row>
    <row r="19" spans="1:11" ht="15.75" thickBot="1" x14ac:dyDescent="0.3">
      <c r="A19" s="179" t="s">
        <v>10</v>
      </c>
      <c r="B19" s="20" t="s">
        <v>401</v>
      </c>
      <c r="C19" s="20"/>
      <c r="D19" s="20"/>
      <c r="E19" s="20"/>
      <c r="F19" s="20"/>
      <c r="G19" s="21"/>
    </row>
    <row r="20" spans="1:11" x14ac:dyDescent="0.25">
      <c r="I20" s="63">
        <f>K18/J9-1</f>
        <v>0.14190476190476198</v>
      </c>
      <c r="J20" t="s">
        <v>407</v>
      </c>
    </row>
  </sheetData>
  <mergeCells count="1">
    <mergeCell ref="F1:G1"/>
  </mergeCells>
  <hyperlinks>
    <hyperlink ref="F1" location="TOC!A1" display="Return to TOC" xr:uid="{2E141EF3-569B-435F-A3C5-D92602FA2B22}"/>
  </hyperlink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BDA63E-034B-418C-A05C-BD69D66DC3FF}">
  <sheetPr codeName="Sheet9"/>
  <dimension ref="A1:K38"/>
  <sheetViews>
    <sheetView workbookViewId="0"/>
  </sheetViews>
  <sheetFormatPr defaultRowHeight="15" x14ac:dyDescent="0.25"/>
  <cols>
    <col min="1" max="1" width="14" bestFit="1" customWidth="1"/>
    <col min="2" max="2" width="11.7109375" customWidth="1"/>
    <col min="3" max="3" width="17.5703125" bestFit="1" customWidth="1"/>
    <col min="4" max="4" width="16.42578125" bestFit="1" customWidth="1"/>
    <col min="8" max="8" width="3.7109375" customWidth="1"/>
    <col min="9" max="9" width="12.85546875" bestFit="1" customWidth="1"/>
    <col min="10" max="10" width="10.85546875" bestFit="1" customWidth="1"/>
    <col min="11" max="11" width="14.5703125" bestFit="1" customWidth="1"/>
  </cols>
  <sheetData>
    <row r="1" spans="1:10" x14ac:dyDescent="0.25">
      <c r="A1" s="6" t="s">
        <v>4</v>
      </c>
      <c r="B1" s="7" t="s">
        <v>17</v>
      </c>
      <c r="C1" s="7"/>
      <c r="D1" s="8"/>
      <c r="E1" s="8"/>
      <c r="F1" s="265" t="s">
        <v>5</v>
      </c>
      <c r="G1" s="266"/>
      <c r="H1" s="9"/>
      <c r="I1" s="10" t="s">
        <v>6</v>
      </c>
    </row>
    <row r="2" spans="1:10" x14ac:dyDescent="0.25">
      <c r="A2" s="11" t="s">
        <v>7</v>
      </c>
      <c r="B2" s="45" t="s">
        <v>409</v>
      </c>
      <c r="C2" s="45"/>
      <c r="D2" s="45"/>
      <c r="E2" s="45"/>
      <c r="F2" s="45"/>
      <c r="G2" s="12"/>
      <c r="H2" t="s">
        <v>14</v>
      </c>
      <c r="I2" t="s">
        <v>427</v>
      </c>
    </row>
    <row r="3" spans="1:10" x14ac:dyDescent="0.25">
      <c r="A3" s="11" t="s">
        <v>8</v>
      </c>
      <c r="B3" s="45" t="s">
        <v>442</v>
      </c>
      <c r="C3" s="45"/>
      <c r="D3" s="45"/>
      <c r="E3" s="45"/>
      <c r="F3" s="45"/>
      <c r="G3" s="12"/>
    </row>
    <row r="4" spans="1:10" x14ac:dyDescent="0.25">
      <c r="A4" s="13"/>
      <c r="B4" s="47"/>
      <c r="C4" s="47"/>
      <c r="D4" s="47"/>
      <c r="E4" s="47"/>
      <c r="F4" s="47"/>
      <c r="G4" s="14"/>
      <c r="I4" t="s">
        <v>428</v>
      </c>
    </row>
    <row r="5" spans="1:10" x14ac:dyDescent="0.25">
      <c r="A5" s="15" t="s">
        <v>9</v>
      </c>
      <c r="B5" s="47" t="s">
        <v>426</v>
      </c>
      <c r="C5" s="47"/>
      <c r="D5" s="47"/>
      <c r="E5" s="47"/>
      <c r="F5" s="47"/>
      <c r="G5" s="16"/>
    </row>
    <row r="6" spans="1:10" x14ac:dyDescent="0.25">
      <c r="A6" s="18"/>
      <c r="B6" s="47"/>
      <c r="C6" s="47"/>
      <c r="D6" s="47"/>
      <c r="E6" s="47"/>
      <c r="F6" s="47"/>
      <c r="G6" s="16"/>
      <c r="I6" s="181">
        <f>250000/(1+B32)</f>
        <v>200000</v>
      </c>
      <c r="J6" t="s">
        <v>429</v>
      </c>
    </row>
    <row r="7" spans="1:10" x14ac:dyDescent="0.25">
      <c r="A7" s="18"/>
      <c r="B7" s="22"/>
      <c r="C7" s="26" t="s">
        <v>412</v>
      </c>
      <c r="D7" s="23" t="s">
        <v>415</v>
      </c>
      <c r="E7" s="47"/>
      <c r="F7" s="47"/>
      <c r="G7" s="16"/>
      <c r="I7" s="5"/>
    </row>
    <row r="8" spans="1:10" x14ac:dyDescent="0.25">
      <c r="A8" s="18"/>
      <c r="B8" s="177" t="s">
        <v>410</v>
      </c>
      <c r="C8" s="77" t="s">
        <v>413</v>
      </c>
      <c r="D8" s="78" t="s">
        <v>416</v>
      </c>
      <c r="E8" s="47"/>
      <c r="F8" s="47"/>
      <c r="G8" s="16"/>
      <c r="I8" s="5" t="s">
        <v>430</v>
      </c>
      <c r="J8" s="182">
        <f>C16</f>
        <v>0.77400000000000002</v>
      </c>
    </row>
    <row r="9" spans="1:10" x14ac:dyDescent="0.25">
      <c r="A9" s="18"/>
      <c r="B9" s="24" t="s">
        <v>411</v>
      </c>
      <c r="C9" s="27" t="s">
        <v>414</v>
      </c>
      <c r="D9" s="25" t="s">
        <v>414</v>
      </c>
      <c r="E9" s="47"/>
      <c r="F9" s="47"/>
      <c r="G9" s="16"/>
      <c r="I9" s="5" t="s">
        <v>431</v>
      </c>
      <c r="J9" s="182">
        <f>C14</f>
        <v>0.745</v>
      </c>
    </row>
    <row r="10" spans="1:10" x14ac:dyDescent="0.25">
      <c r="A10" s="18"/>
      <c r="B10" s="109">
        <v>100000</v>
      </c>
      <c r="C10" s="183">
        <v>0.66500000000000004</v>
      </c>
      <c r="D10" s="76">
        <v>45500</v>
      </c>
      <c r="E10" s="47"/>
      <c r="F10" s="47"/>
      <c r="G10" s="16"/>
    </row>
    <row r="11" spans="1:10" x14ac:dyDescent="0.25">
      <c r="A11" s="18"/>
      <c r="B11" s="109">
        <v>125000</v>
      </c>
      <c r="C11" s="183">
        <v>0.68899999999999995</v>
      </c>
      <c r="D11" s="76">
        <v>56000</v>
      </c>
      <c r="E11" s="47"/>
      <c r="F11" s="47"/>
      <c r="G11" s="16"/>
      <c r="I11" s="186">
        <f>(1-J9)/(1-J8)-1</f>
        <v>0.12831858407079655</v>
      </c>
      <c r="J11" t="s">
        <v>432</v>
      </c>
    </row>
    <row r="12" spans="1:10" x14ac:dyDescent="0.25">
      <c r="A12" s="18"/>
      <c r="B12" s="109">
        <v>150000</v>
      </c>
      <c r="C12" s="183">
        <v>0.71099999999999997</v>
      </c>
      <c r="D12" s="76">
        <v>65500</v>
      </c>
      <c r="E12" s="47"/>
      <c r="F12" s="47"/>
      <c r="G12" s="16"/>
    </row>
    <row r="13" spans="1:10" x14ac:dyDescent="0.25">
      <c r="A13" s="18"/>
      <c r="B13" s="109">
        <v>175000</v>
      </c>
      <c r="C13" s="183">
        <v>0.72899999999999998</v>
      </c>
      <c r="D13" s="76">
        <v>74100</v>
      </c>
      <c r="E13" s="47"/>
      <c r="F13" s="47"/>
      <c r="G13" s="16"/>
      <c r="I13" t="s">
        <v>440</v>
      </c>
    </row>
    <row r="14" spans="1:10" x14ac:dyDescent="0.25">
      <c r="A14" s="18"/>
      <c r="B14" s="109">
        <v>200000</v>
      </c>
      <c r="C14" s="183">
        <v>0.745</v>
      </c>
      <c r="D14" s="76">
        <v>82000</v>
      </c>
      <c r="E14" s="47"/>
      <c r="F14" s="47"/>
      <c r="G14" s="16"/>
      <c r="I14" t="s">
        <v>441</v>
      </c>
    </row>
    <row r="15" spans="1:10" x14ac:dyDescent="0.25">
      <c r="A15" s="18"/>
      <c r="B15" s="109">
        <v>225000</v>
      </c>
      <c r="C15" s="183">
        <v>0.76</v>
      </c>
      <c r="D15" s="76">
        <v>89200</v>
      </c>
      <c r="E15" s="47"/>
      <c r="F15" s="47"/>
      <c r="G15" s="16"/>
    </row>
    <row r="16" spans="1:10" x14ac:dyDescent="0.25">
      <c r="A16" s="18"/>
      <c r="B16" s="109">
        <v>250000</v>
      </c>
      <c r="C16" s="183">
        <v>0.77400000000000002</v>
      </c>
      <c r="D16" s="76">
        <v>95700</v>
      </c>
      <c r="E16" s="47"/>
      <c r="F16" s="47"/>
      <c r="G16" s="16"/>
      <c r="I16" s="188">
        <f>40*(1+I11)*(1+B33)</f>
        <v>64.991150442477874</v>
      </c>
      <c r="J16" t="s">
        <v>433</v>
      </c>
    </row>
    <row r="17" spans="1:11" x14ac:dyDescent="0.25">
      <c r="A17" s="18"/>
      <c r="B17" s="109">
        <v>300000</v>
      </c>
      <c r="C17" s="183">
        <v>0.8</v>
      </c>
      <c r="D17" s="76">
        <v>107000</v>
      </c>
      <c r="E17" s="47"/>
      <c r="F17" s="47"/>
      <c r="G17" s="16"/>
    </row>
    <row r="18" spans="1:11" x14ac:dyDescent="0.25">
      <c r="A18" s="18"/>
      <c r="B18" s="109">
        <v>400000</v>
      </c>
      <c r="C18" s="183">
        <v>0.84299999999999997</v>
      </c>
      <c r="D18" s="76">
        <v>124700</v>
      </c>
      <c r="E18" s="47"/>
      <c r="F18" s="47"/>
      <c r="G18" s="16"/>
      <c r="H18" t="s">
        <v>11</v>
      </c>
      <c r="I18" s="5"/>
      <c r="J18" s="5" t="s">
        <v>436</v>
      </c>
      <c r="K18" s="5" t="s">
        <v>437</v>
      </c>
    </row>
    <row r="19" spans="1:11" x14ac:dyDescent="0.25">
      <c r="A19" s="18"/>
      <c r="B19" s="109">
        <v>500000</v>
      </c>
      <c r="C19" s="183">
        <v>0.88200000000000001</v>
      </c>
      <c r="D19" s="76">
        <v>138300</v>
      </c>
      <c r="E19" s="47"/>
      <c r="F19" s="47"/>
      <c r="G19" s="16"/>
      <c r="I19" s="191" t="s">
        <v>41</v>
      </c>
      <c r="J19" s="71">
        <v>250000</v>
      </c>
      <c r="K19" s="71">
        <f>J19/(1+B32)</f>
        <v>200000</v>
      </c>
    </row>
    <row r="20" spans="1:11" x14ac:dyDescent="0.25">
      <c r="A20" s="18"/>
      <c r="B20" s="109">
        <v>750000</v>
      </c>
      <c r="C20" s="183">
        <v>0.94399999999999995</v>
      </c>
      <c r="D20" s="76">
        <v>162000</v>
      </c>
      <c r="E20" s="47"/>
      <c r="F20" s="47"/>
      <c r="G20" s="16"/>
      <c r="I20" s="191" t="s">
        <v>42</v>
      </c>
      <c r="J20" s="71">
        <v>1000000</v>
      </c>
      <c r="K20" s="5"/>
    </row>
    <row r="21" spans="1:11" x14ac:dyDescent="0.25">
      <c r="A21" s="18"/>
      <c r="B21" s="109">
        <v>800000</v>
      </c>
      <c r="C21" s="183">
        <v>0.95399999999999996</v>
      </c>
      <c r="D21" s="76">
        <v>165600</v>
      </c>
      <c r="E21" s="47"/>
      <c r="F21" s="47"/>
      <c r="G21" s="16"/>
      <c r="I21" s="191" t="s">
        <v>438</v>
      </c>
      <c r="J21" s="71">
        <f>J20+J19</f>
        <v>1250000</v>
      </c>
      <c r="K21" s="71">
        <f>(J19+J20)/(1+B32)</f>
        <v>1000000</v>
      </c>
    </row>
    <row r="22" spans="1:11" x14ac:dyDescent="0.25">
      <c r="A22" s="18"/>
      <c r="B22" s="109">
        <v>900000</v>
      </c>
      <c r="C22" s="183">
        <v>0.96299999999999997</v>
      </c>
      <c r="D22" s="76">
        <v>172000</v>
      </c>
      <c r="E22" s="47"/>
      <c r="F22" s="47"/>
      <c r="G22" s="16"/>
    </row>
    <row r="23" spans="1:11" x14ac:dyDescent="0.25">
      <c r="A23" s="18"/>
      <c r="B23" s="109">
        <v>1000000</v>
      </c>
      <c r="C23" s="183">
        <v>0.97099999999999997</v>
      </c>
      <c r="D23" s="76">
        <v>177700</v>
      </c>
      <c r="E23" s="47"/>
      <c r="F23" s="47"/>
      <c r="G23" s="16"/>
    </row>
    <row r="24" spans="1:11" x14ac:dyDescent="0.25">
      <c r="A24" s="18"/>
      <c r="B24" s="109">
        <v>1250000</v>
      </c>
      <c r="C24" s="183">
        <v>0.98799999999999999</v>
      </c>
      <c r="D24" s="76">
        <v>181400</v>
      </c>
      <c r="E24" s="47"/>
      <c r="F24" s="47"/>
      <c r="G24" s="16"/>
      <c r="I24" s="39"/>
    </row>
    <row r="25" spans="1:11" x14ac:dyDescent="0.25">
      <c r="A25" s="18"/>
      <c r="B25" s="110">
        <v>1500000</v>
      </c>
      <c r="C25" s="184">
        <v>0.995</v>
      </c>
      <c r="D25" s="178">
        <v>185500</v>
      </c>
      <c r="E25" s="47"/>
      <c r="F25" s="47"/>
      <c r="G25" s="16"/>
    </row>
    <row r="26" spans="1:11" x14ac:dyDescent="0.25">
      <c r="A26" s="18"/>
      <c r="B26" s="47"/>
      <c r="C26" s="47"/>
      <c r="D26" s="47"/>
      <c r="E26" s="47"/>
      <c r="F26" s="47"/>
      <c r="G26" s="16"/>
    </row>
    <row r="27" spans="1:11" x14ac:dyDescent="0.25">
      <c r="A27" s="18"/>
      <c r="B27" s="47" t="s">
        <v>417</v>
      </c>
      <c r="C27" s="47"/>
      <c r="D27" s="47"/>
      <c r="E27" s="47"/>
      <c r="F27" s="47"/>
      <c r="G27" s="16"/>
      <c r="I27" s="189">
        <f>(1+B32)*(D23-D14)/(1-C14)</f>
        <v>469117.6470588235</v>
      </c>
      <c r="J27" t="s">
        <v>435</v>
      </c>
    </row>
    <row r="28" spans="1:11" x14ac:dyDescent="0.25">
      <c r="A28" s="18"/>
      <c r="B28" s="50" t="s">
        <v>418</v>
      </c>
      <c r="C28" s="47"/>
      <c r="D28" s="47"/>
      <c r="E28" s="47"/>
      <c r="F28" s="47"/>
      <c r="G28" s="16"/>
      <c r="I28" s="187">
        <f>I16</f>
        <v>64.991150442477874</v>
      </c>
      <c r="J28" t="s">
        <v>439</v>
      </c>
    </row>
    <row r="29" spans="1:11" x14ac:dyDescent="0.25">
      <c r="A29" s="18"/>
      <c r="B29" s="47"/>
      <c r="C29" s="47"/>
      <c r="D29" s="47"/>
      <c r="E29" s="47"/>
      <c r="F29" s="47"/>
      <c r="G29" s="16"/>
      <c r="I29" s="17"/>
    </row>
    <row r="30" spans="1:11" x14ac:dyDescent="0.25">
      <c r="A30" s="18"/>
      <c r="B30" s="47" t="s">
        <v>425</v>
      </c>
      <c r="C30" s="47"/>
      <c r="D30" s="47"/>
      <c r="E30" s="47"/>
      <c r="F30" s="47"/>
      <c r="G30" s="16"/>
      <c r="I30" s="190">
        <f>I27*I28</f>
        <v>30488495.575221237</v>
      </c>
      <c r="J30" t="s">
        <v>434</v>
      </c>
    </row>
    <row r="31" spans="1:11" x14ac:dyDescent="0.25">
      <c r="A31" s="18"/>
      <c r="B31" s="50" t="s">
        <v>419</v>
      </c>
      <c r="C31" s="47"/>
      <c r="D31" s="47"/>
      <c r="E31" s="47"/>
      <c r="F31" s="47"/>
      <c r="G31" s="16"/>
    </row>
    <row r="32" spans="1:11" x14ac:dyDescent="0.25">
      <c r="A32" s="18"/>
      <c r="B32" s="129">
        <v>0.25</v>
      </c>
      <c r="C32" s="121" t="s">
        <v>420</v>
      </c>
      <c r="D32" s="122"/>
      <c r="E32" s="47"/>
      <c r="F32" s="47"/>
      <c r="G32" s="16"/>
    </row>
    <row r="33" spans="1:9" x14ac:dyDescent="0.25">
      <c r="A33" s="18"/>
      <c r="B33" s="131">
        <v>0.44</v>
      </c>
      <c r="C33" s="127" t="s">
        <v>421</v>
      </c>
      <c r="D33" s="128"/>
      <c r="E33" s="47"/>
      <c r="F33" s="47"/>
      <c r="G33" s="16"/>
    </row>
    <row r="34" spans="1:9" x14ac:dyDescent="0.25">
      <c r="A34" s="18"/>
      <c r="B34" s="47"/>
      <c r="C34" s="47"/>
      <c r="D34" s="47"/>
      <c r="E34" s="47"/>
      <c r="F34" s="47"/>
      <c r="G34" s="16"/>
      <c r="I34" s="39"/>
    </row>
    <row r="35" spans="1:9" x14ac:dyDescent="0.25">
      <c r="A35" s="52" t="s">
        <v>10</v>
      </c>
      <c r="B35" s="47" t="s">
        <v>422</v>
      </c>
      <c r="C35" s="47"/>
      <c r="D35" s="47"/>
      <c r="E35" s="47"/>
      <c r="F35" s="47"/>
      <c r="G35" s="16"/>
      <c r="I35" s="39"/>
    </row>
    <row r="36" spans="1:9" x14ac:dyDescent="0.25">
      <c r="A36" s="18"/>
      <c r="B36" s="47"/>
      <c r="C36" s="47"/>
      <c r="D36" s="47"/>
      <c r="E36" s="47"/>
      <c r="F36" s="47"/>
      <c r="G36" s="16"/>
    </row>
    <row r="37" spans="1:9" x14ac:dyDescent="0.25">
      <c r="A37" s="18"/>
      <c r="B37" s="47" t="s">
        <v>423</v>
      </c>
      <c r="C37" s="47"/>
      <c r="D37" s="47"/>
      <c r="E37" s="47"/>
      <c r="F37" s="47"/>
      <c r="G37" s="16"/>
    </row>
    <row r="38" spans="1:9" ht="15.75" thickBot="1" x14ac:dyDescent="0.3">
      <c r="A38" s="19"/>
      <c r="B38" s="185" t="s">
        <v>424</v>
      </c>
      <c r="C38" s="20"/>
      <c r="D38" s="20"/>
      <c r="E38" s="20"/>
      <c r="F38" s="20"/>
      <c r="G38" s="21"/>
    </row>
  </sheetData>
  <mergeCells count="1">
    <mergeCell ref="F1:G1"/>
  </mergeCells>
  <hyperlinks>
    <hyperlink ref="F1" location="TOC!A1" display="Return to TOC" xr:uid="{6E08E4DE-EEB9-47B7-94D7-6CC659F4B07E}"/>
  </hyperlink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24</vt:i4>
      </vt:variant>
    </vt:vector>
  </HeadingPairs>
  <TitlesOfParts>
    <vt:vector size="24" baseType="lpstr">
      <vt:lpstr>TOC</vt:lpstr>
      <vt:lpstr>Bahnemann1</vt:lpstr>
      <vt:lpstr>Bahnemann2</vt:lpstr>
      <vt:lpstr>Bahnemann3</vt:lpstr>
      <vt:lpstr>Bahnemann4</vt:lpstr>
      <vt:lpstr>Bahnemann5</vt:lpstr>
      <vt:lpstr>Bahnemann6</vt:lpstr>
      <vt:lpstr>Bahnemann7</vt:lpstr>
      <vt:lpstr>Bahnemann8</vt:lpstr>
      <vt:lpstr>Bahnemann9</vt:lpstr>
      <vt:lpstr>Bahnemann10</vt:lpstr>
      <vt:lpstr>Bahnemann11</vt:lpstr>
      <vt:lpstr>Bahnemann12</vt:lpstr>
      <vt:lpstr>Bahnemann13</vt:lpstr>
      <vt:lpstr>Bahnemann14</vt:lpstr>
      <vt:lpstr>Bahnemann15</vt:lpstr>
      <vt:lpstr>Bahnemann16</vt:lpstr>
      <vt:lpstr>Bahnemann17</vt:lpstr>
      <vt:lpstr>Bahnemann18</vt:lpstr>
      <vt:lpstr>Bahnemann19</vt:lpstr>
      <vt:lpstr>Bahnemann20</vt:lpstr>
      <vt:lpstr>Bahnemann21</vt:lpstr>
      <vt:lpstr>Bahnemann22</vt:lpstr>
      <vt:lpstr>Bahnemann23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Jonathan Constable</dc:creator>
  <cp:lastModifiedBy>Jonathan Constable</cp:lastModifiedBy>
  <dcterms:created xsi:type="dcterms:W3CDTF">2024-06-20T11:19:51Z</dcterms:created>
  <dcterms:modified xsi:type="dcterms:W3CDTF">2024-07-22T10:02:30Z</dcterms:modified>
</cp:coreProperties>
</file>