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ml.chartshape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Jonathan\Documents\BattleActs\Exam 8\Excel Files\"/>
    </mc:Choice>
  </mc:AlternateContent>
  <xr:revisionPtr revIDLastSave="0" documentId="13_ncr:1_{B1C76A2C-C063-4F3C-A776-761FD2CAB14C}" xr6:coauthVersionLast="47" xr6:coauthVersionMax="47" xr10:uidLastSave="{00000000-0000-0000-0000-000000000000}"/>
  <bookViews>
    <workbookView xWindow="-120" yWindow="-120" windowWidth="29040" windowHeight="15840" tabRatio="661" xr2:uid="{54437323-BBA6-4BBB-B712-50207489947E}"/>
  </bookViews>
  <sheets>
    <sheet name="Instructions" sheetId="3" r:id="rId1"/>
    <sheet name="Formula Sheet" sheetId="22" r:id="rId2"/>
    <sheet name="Point Grid" sheetId="1" r:id="rId3"/>
    <sheet name="Navigator" sheetId="24" r:id="rId4"/>
    <sheet name="1" sheetId="2" r:id="rId5"/>
    <sheet name="2" sheetId="4" r:id="rId6"/>
    <sheet name="3" sheetId="5" r:id="rId7"/>
    <sheet name="4" sheetId="6" r:id="rId8"/>
    <sheet name="5" sheetId="7" r:id="rId9"/>
    <sheet name="6" sheetId="8" r:id="rId10"/>
    <sheet name="7" sheetId="9" r:id="rId11"/>
    <sheet name="8" sheetId="10" r:id="rId12"/>
    <sheet name="9" sheetId="11" r:id="rId13"/>
    <sheet name="10" sheetId="12" r:id="rId14"/>
    <sheet name="11" sheetId="13" r:id="rId15"/>
    <sheet name="12" sheetId="14" r:id="rId16"/>
    <sheet name="13" sheetId="15" r:id="rId17"/>
    <sheet name="14" sheetId="16" r:id="rId18"/>
    <sheet name="15" sheetId="17" r:id="rId19"/>
    <sheet name="16" sheetId="18" r:id="rId20"/>
    <sheet name="17" sheetId="19" r:id="rId21"/>
    <sheet name="18" sheetId="20" r:id="rId22"/>
    <sheet name="19" sheetId="21" r:id="rId23"/>
    <sheet name="20" sheetId="25" r:id="rId24"/>
  </sheets>
  <calcPr calcId="181029"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4" i="25" l="1"/>
  <c r="A17" i="25"/>
  <c r="A11" i="25"/>
  <c r="A7" i="25"/>
  <c r="A4" i="25"/>
  <c r="B27" i="1"/>
  <c r="B29" i="1" s="1"/>
  <c r="L27" i="1"/>
  <c r="G9" i="20"/>
  <c r="J27" i="1"/>
  <c r="S27" i="1"/>
  <c r="H28" i="24" l="1"/>
  <c r="K25" i="20"/>
  <c r="J22" i="20"/>
  <c r="A25" i="20"/>
  <c r="G8" i="20"/>
  <c r="K19" i="20"/>
  <c r="K16" i="20"/>
  <c r="K15" i="20"/>
  <c r="F8" i="20"/>
  <c r="K12" i="20"/>
  <c r="N27" i="1"/>
  <c r="O27" i="1"/>
  <c r="Q27" i="1"/>
  <c r="P27" i="1"/>
  <c r="R27" i="1"/>
  <c r="M27" i="1"/>
  <c r="N50" i="21" l="1"/>
  <c r="M50" i="21"/>
  <c r="L50" i="21"/>
  <c r="N41" i="21"/>
  <c r="M41" i="21"/>
  <c r="L41" i="21"/>
  <c r="L21" i="21"/>
  <c r="N14" i="21"/>
  <c r="Q14" i="21" s="1"/>
  <c r="M14" i="21"/>
  <c r="P14" i="21" s="1"/>
  <c r="L14" i="21"/>
  <c r="O14" i="21" s="1"/>
  <c r="N13" i="21"/>
  <c r="Q13" i="21" s="1"/>
  <c r="M13" i="21"/>
  <c r="P13" i="21" s="1"/>
  <c r="L13" i="21"/>
  <c r="O13" i="21" s="1"/>
  <c r="N12" i="21"/>
  <c r="Q12" i="21" s="1"/>
  <c r="M12" i="21"/>
  <c r="P12" i="21" s="1"/>
  <c r="L12" i="21"/>
  <c r="O12" i="21" s="1"/>
  <c r="N11" i="21"/>
  <c r="Q11" i="21" s="1"/>
  <c r="M11" i="21"/>
  <c r="P11" i="21" s="1"/>
  <c r="L11" i="21"/>
  <c r="O11" i="21" s="1"/>
  <c r="N10" i="21"/>
  <c r="Q10" i="21" s="1"/>
  <c r="M10" i="21"/>
  <c r="P10" i="21" s="1"/>
  <c r="L10" i="21"/>
  <c r="O10" i="21" s="1"/>
  <c r="N9" i="21"/>
  <c r="Q9" i="21" s="1"/>
  <c r="M9" i="21"/>
  <c r="P9" i="21" s="1"/>
  <c r="L9" i="21"/>
  <c r="O9" i="21" s="1"/>
  <c r="A35" i="21"/>
  <c r="C7" i="21"/>
  <c r="C8" i="21" s="1"/>
  <c r="C9" i="21" s="1"/>
  <c r="C10" i="21" s="1"/>
  <c r="C11" i="21" s="1"/>
  <c r="C12" i="21" s="1"/>
  <c r="C13" i="21" s="1"/>
  <c r="C14" i="21" s="1"/>
  <c r="L29" i="21" l="1"/>
  <c r="N32" i="21"/>
  <c r="L31" i="21"/>
  <c r="M28" i="21"/>
  <c r="L30" i="21"/>
  <c r="M27" i="21"/>
  <c r="L28" i="21"/>
  <c r="N31" i="21"/>
  <c r="M32" i="21"/>
  <c r="N30" i="21"/>
  <c r="M31" i="21"/>
  <c r="N29" i="21"/>
  <c r="L27" i="21"/>
  <c r="L24" i="21" s="1"/>
  <c r="M30" i="21"/>
  <c r="N28" i="21"/>
  <c r="L32" i="21"/>
  <c r="M29" i="21"/>
  <c r="N27" i="21"/>
  <c r="M16" i="21"/>
  <c r="J34" i="19"/>
  <c r="J33" i="19"/>
  <c r="K9" i="19"/>
  <c r="K12" i="19" l="1"/>
  <c r="J22" i="19" s="1"/>
  <c r="J29" i="19" s="1"/>
  <c r="J30" i="19" l="1"/>
  <c r="N74" i="9" l="1"/>
  <c r="A31" i="6"/>
  <c r="A27" i="6"/>
  <c r="I12" i="6"/>
  <c r="J8" i="6"/>
  <c r="J9" i="6"/>
  <c r="J22" i="17" l="1"/>
  <c r="I18" i="17"/>
  <c r="I29" i="17" s="1"/>
  <c r="A38" i="17" l="1"/>
  <c r="I13" i="16"/>
  <c r="I19" i="15"/>
  <c r="I14" i="14"/>
  <c r="I11" i="14"/>
  <c r="M25" i="13"/>
  <c r="M29" i="13" s="1"/>
  <c r="M30" i="13" s="1"/>
  <c r="M23" i="13"/>
  <c r="M24" i="13"/>
  <c r="M26" i="13"/>
  <c r="M27" i="13"/>
  <c r="L24" i="13"/>
  <c r="L25" i="13"/>
  <c r="L26" i="13"/>
  <c r="L29" i="13" s="1"/>
  <c r="L27" i="13"/>
  <c r="L23" i="13"/>
  <c r="J23" i="13"/>
  <c r="J24" i="13"/>
  <c r="J26" i="13"/>
  <c r="J27" i="13"/>
  <c r="I24" i="13"/>
  <c r="I25" i="13"/>
  <c r="I26" i="13"/>
  <c r="I27" i="13"/>
  <c r="I23" i="13"/>
  <c r="I29" i="13" s="1"/>
  <c r="I15" i="13"/>
  <c r="L3" i="10" l="1"/>
  <c r="I6" i="10" s="1"/>
  <c r="I9" i="10" s="1"/>
  <c r="L2" i="10"/>
  <c r="Q29" i="9" l="1"/>
  <c r="P30" i="9"/>
  <c r="P29" i="9"/>
  <c r="P28" i="9"/>
  <c r="O29" i="9"/>
  <c r="O28" i="9"/>
  <c r="Q28" i="9" s="1"/>
  <c r="Q31" i="9" s="1"/>
  <c r="O30" i="9"/>
  <c r="Q30" i="9" s="1"/>
  <c r="Q19" i="9"/>
  <c r="Q18" i="9"/>
  <c r="Q17" i="9"/>
  <c r="P19" i="9"/>
  <c r="P18" i="9"/>
  <c r="P17" i="9"/>
  <c r="Q5" i="9"/>
  <c r="O19" i="9" s="1"/>
  <c r="I24" i="8"/>
  <c r="I20" i="8"/>
  <c r="I11" i="8"/>
  <c r="I8" i="8"/>
  <c r="I7" i="8"/>
  <c r="I4" i="8"/>
  <c r="I10" i="8" s="1"/>
  <c r="I3" i="8"/>
  <c r="J15" i="7"/>
  <c r="R19" i="7" s="1"/>
  <c r="J14" i="7"/>
  <c r="J11" i="7"/>
  <c r="S19" i="7" s="1"/>
  <c r="J10" i="7"/>
  <c r="O18" i="9" l="1"/>
  <c r="R18" i="9" s="1"/>
  <c r="R19" i="9"/>
  <c r="O8" i="9"/>
  <c r="O17" i="9"/>
  <c r="R17" i="9" s="1"/>
  <c r="R20" i="9" s="1"/>
  <c r="N35" i="9" s="1"/>
  <c r="K18" i="5"/>
  <c r="K17" i="5"/>
  <c r="N48" i="9" l="1"/>
  <c r="N47" i="9"/>
  <c r="N39" i="9"/>
  <c r="N34" i="9"/>
  <c r="O10" i="4"/>
  <c r="O9" i="4"/>
  <c r="O8" i="4"/>
  <c r="O7" i="4"/>
  <c r="O6" i="4"/>
  <c r="J20" i="2"/>
  <c r="J19" i="2"/>
  <c r="J13" i="2"/>
  <c r="J12" i="2"/>
  <c r="N60" i="9" l="1"/>
  <c r="N58" i="9"/>
  <c r="N67" i="9"/>
  <c r="N70" i="9" s="1"/>
  <c r="N51" i="9"/>
  <c r="N75" i="9"/>
  <c r="A16" i="2"/>
  <c r="A28" i="2"/>
  <c r="A31" i="21" l="1"/>
  <c r="A27" i="21"/>
  <c r="A23" i="21"/>
  <c r="A21" i="20"/>
  <c r="A17" i="20"/>
  <c r="A19" i="19"/>
  <c r="E12" i="18"/>
  <c r="L4" i="18" s="1"/>
  <c r="D12" i="18"/>
  <c r="A20" i="18"/>
  <c r="A16" i="18"/>
  <c r="A34" i="17"/>
  <c r="A30" i="17"/>
  <c r="A18" i="16"/>
  <c r="A14" i="16"/>
  <c r="A22" i="15"/>
  <c r="A18" i="15"/>
  <c r="A46" i="14"/>
  <c r="A40" i="14"/>
  <c r="A36" i="14"/>
  <c r="D23" i="13"/>
  <c r="J4" i="13" s="1"/>
  <c r="J25" i="13" s="1"/>
  <c r="J29" i="13" s="1"/>
  <c r="J30" i="13" s="1"/>
  <c r="A37" i="13"/>
  <c r="A33" i="13"/>
  <c r="A29" i="13"/>
  <c r="A50" i="12"/>
  <c r="A46" i="12"/>
  <c r="A42" i="12"/>
  <c r="A15" i="11"/>
  <c r="J13" i="1"/>
  <c r="J16" i="1"/>
  <c r="J19" i="1"/>
  <c r="J18" i="1"/>
  <c r="J20" i="1"/>
  <c r="J25" i="1"/>
  <c r="J14" i="1"/>
  <c r="J21" i="1"/>
  <c r="J15" i="1"/>
  <c r="J17" i="1"/>
  <c r="J9" i="1"/>
  <c r="J12" i="1"/>
  <c r="J24" i="1"/>
  <c r="J10" i="1"/>
  <c r="J11" i="1"/>
  <c r="J26" i="1"/>
  <c r="J22" i="1"/>
  <c r="J23" i="1"/>
  <c r="H20" i="24" l="1"/>
  <c r="H12" i="24"/>
  <c r="H13" i="24"/>
  <c r="H21" i="24"/>
  <c r="H27" i="24"/>
  <c r="H10" i="24"/>
  <c r="H11" i="24"/>
  <c r="H18" i="24"/>
  <c r="H25" i="24"/>
  <c r="H16" i="24"/>
  <c r="H17" i="24"/>
  <c r="H14" i="24"/>
  <c r="H15" i="24"/>
  <c r="H23" i="24"/>
  <c r="H19" i="24"/>
  <c r="H24" i="24"/>
  <c r="H22" i="24"/>
  <c r="H26" i="24"/>
  <c r="J8" i="18"/>
  <c r="J4" i="18"/>
  <c r="J7" i="18"/>
  <c r="J5" i="18"/>
  <c r="J6" i="18"/>
  <c r="A19" i="10"/>
  <c r="A79" i="9"/>
  <c r="A75" i="9"/>
  <c r="A71" i="9"/>
  <c r="A67" i="9"/>
  <c r="A63" i="9"/>
  <c r="A59" i="9"/>
  <c r="A55" i="9"/>
  <c r="A31" i="8"/>
  <c r="A27" i="8"/>
  <c r="A23" i="8"/>
  <c r="A27" i="7"/>
  <c r="A19" i="7"/>
  <c r="A15" i="7"/>
  <c r="A11" i="7"/>
  <c r="A23" i="6"/>
  <c r="A17" i="5"/>
  <c r="A13" i="5"/>
  <c r="K16" i="18" l="1"/>
  <c r="L16" i="18" s="1"/>
  <c r="K17" i="18"/>
  <c r="L17" i="18" s="1"/>
  <c r="K18" i="18"/>
  <c r="L18" i="18" s="1"/>
  <c r="J17" i="18"/>
  <c r="J18" i="18"/>
  <c r="J19" i="18"/>
  <c r="J13" i="18"/>
  <c r="J14" i="18"/>
  <c r="J15" i="18"/>
  <c r="K19" i="18"/>
  <c r="L19" i="18" s="1"/>
  <c r="M19" i="18" s="1"/>
  <c r="M18" i="18" s="1"/>
  <c r="M17" i="18" s="1"/>
  <c r="M16" i="18" s="1"/>
  <c r="K20" i="18"/>
  <c r="L20" i="18" s="1"/>
  <c r="K13" i="18"/>
  <c r="L13" i="18" s="1"/>
  <c r="K12" i="18"/>
  <c r="L12" i="18" s="1"/>
  <c r="J20" i="18"/>
  <c r="J12" i="18"/>
  <c r="J16" i="18"/>
  <c r="K14" i="18"/>
  <c r="L14" i="18" s="1"/>
  <c r="K15" i="18"/>
  <c r="L15" i="18" s="1"/>
  <c r="A50" i="4"/>
  <c r="A46" i="4"/>
  <c r="A42" i="4"/>
  <c r="L9" i="1"/>
  <c r="L10" i="1"/>
  <c r="L11" i="1"/>
  <c r="L12" i="1"/>
  <c r="L13" i="1"/>
  <c r="L14" i="1"/>
  <c r="L15" i="1"/>
  <c r="L16" i="1"/>
  <c r="L17" i="1"/>
  <c r="L18" i="1"/>
  <c r="L19" i="1"/>
  <c r="L20" i="1"/>
  <c r="L21" i="1"/>
  <c r="L22" i="1"/>
  <c r="L23" i="1"/>
  <c r="L24" i="1"/>
  <c r="L25" i="1"/>
  <c r="L26" i="1"/>
  <c r="L8" i="1"/>
  <c r="B9" i="1"/>
  <c r="A4" i="4" s="1"/>
  <c r="B10" i="1"/>
  <c r="A4" i="5" s="1"/>
  <c r="B11" i="1"/>
  <c r="A4" i="6" s="1"/>
  <c r="B12" i="1"/>
  <c r="A4" i="7" s="1"/>
  <c r="B13" i="1"/>
  <c r="A4" i="8" s="1"/>
  <c r="B14" i="1"/>
  <c r="A4" i="9" s="1"/>
  <c r="B15" i="1"/>
  <c r="A4" i="10" s="1"/>
  <c r="B16" i="1"/>
  <c r="A4" i="11" s="1"/>
  <c r="B17" i="1"/>
  <c r="A4" i="12" s="1"/>
  <c r="B18" i="1"/>
  <c r="A4" i="13" s="1"/>
  <c r="B19" i="1"/>
  <c r="A4" i="14" s="1"/>
  <c r="B20" i="1"/>
  <c r="A4" i="15" s="1"/>
  <c r="B21" i="1"/>
  <c r="A4" i="16" s="1"/>
  <c r="B22" i="1"/>
  <c r="A4" i="17" s="1"/>
  <c r="B23" i="1"/>
  <c r="A4" i="18" s="1"/>
  <c r="B24" i="1"/>
  <c r="A4" i="19" s="1"/>
  <c r="B25" i="1"/>
  <c r="A4" i="20" s="1"/>
  <c r="B26" i="1"/>
  <c r="A4" i="21" s="1"/>
  <c r="B8" i="1"/>
  <c r="M11" i="1"/>
  <c r="Q13" i="1"/>
  <c r="R26" i="1"/>
  <c r="O22" i="1"/>
  <c r="O17" i="1"/>
  <c r="Q24" i="1"/>
  <c r="P12" i="1"/>
  <c r="N15" i="1"/>
  <c r="P16" i="1"/>
  <c r="M9" i="1"/>
  <c r="O16" i="1"/>
  <c r="O24" i="1"/>
  <c r="P15" i="1"/>
  <c r="P13" i="1"/>
  <c r="Q23" i="1"/>
  <c r="M18" i="1"/>
  <c r="Q20" i="1"/>
  <c r="O9" i="1"/>
  <c r="R19" i="1"/>
  <c r="Q22" i="1"/>
  <c r="P26" i="1"/>
  <c r="O21" i="1"/>
  <c r="M13" i="1"/>
  <c r="S13" i="1"/>
  <c r="S12" i="1"/>
  <c r="S21" i="1"/>
  <c r="N20" i="1"/>
  <c r="R17" i="1"/>
  <c r="M23" i="1"/>
  <c r="R20" i="1"/>
  <c r="N14" i="1"/>
  <c r="S23" i="1"/>
  <c r="Q16" i="1"/>
  <c r="N25" i="1"/>
  <c r="O26" i="1"/>
  <c r="M16" i="1"/>
  <c r="S25" i="1"/>
  <c r="O14" i="1"/>
  <c r="Q15" i="1"/>
  <c r="S19" i="1"/>
  <c r="O12" i="1"/>
  <c r="R10" i="1"/>
  <c r="N12" i="1"/>
  <c r="O20" i="1"/>
  <c r="N17" i="1"/>
  <c r="O10" i="1"/>
  <c r="M14" i="1"/>
  <c r="M17" i="1"/>
  <c r="S14" i="1"/>
  <c r="Q12" i="1"/>
  <c r="R21" i="1"/>
  <c r="R22" i="1"/>
  <c r="R18" i="1"/>
  <c r="N18" i="1"/>
  <c r="P24" i="1"/>
  <c r="R24" i="1"/>
  <c r="R25" i="1"/>
  <c r="Q17" i="1"/>
  <c r="N11" i="1"/>
  <c r="Q10" i="1"/>
  <c r="P20" i="1"/>
  <c r="M15" i="1"/>
  <c r="M22" i="1"/>
  <c r="S26" i="1"/>
  <c r="M25" i="1"/>
  <c r="N16" i="1"/>
  <c r="P21" i="1"/>
  <c r="O15" i="1"/>
  <c r="S15" i="1"/>
  <c r="P23" i="1"/>
  <c r="P17" i="1"/>
  <c r="J8" i="1"/>
  <c r="P10" i="1"/>
  <c r="Q14" i="1"/>
  <c r="Q26" i="1"/>
  <c r="M12" i="1"/>
  <c r="Q21" i="1"/>
  <c r="S18" i="1"/>
  <c r="P9" i="1"/>
  <c r="O13" i="1"/>
  <c r="R15" i="1"/>
  <c r="Q25" i="1"/>
  <c r="S16" i="1"/>
  <c r="M26" i="1"/>
  <c r="P18" i="1"/>
  <c r="P14" i="1"/>
  <c r="N21" i="1"/>
  <c r="R16" i="1"/>
  <c r="N22" i="1"/>
  <c r="N9" i="1"/>
  <c r="P22" i="1"/>
  <c r="N23" i="1"/>
  <c r="R13" i="1"/>
  <c r="Q18" i="1"/>
  <c r="N24" i="1"/>
  <c r="M24" i="1"/>
  <c r="S24" i="1"/>
  <c r="O18" i="1"/>
  <c r="N10" i="1"/>
  <c r="Q9" i="1"/>
  <c r="M21" i="1"/>
  <c r="P11" i="1"/>
  <c r="S10" i="1"/>
  <c r="R12" i="1"/>
  <c r="S20" i="1"/>
  <c r="S9" i="1"/>
  <c r="R23" i="1"/>
  <c r="M20" i="1"/>
  <c r="N13" i="1"/>
  <c r="P25" i="1"/>
  <c r="O25" i="1"/>
  <c r="O23" i="1"/>
  <c r="R14" i="1"/>
  <c r="S22" i="1"/>
  <c r="N26" i="1"/>
  <c r="M10" i="1"/>
  <c r="S17" i="1"/>
  <c r="R9" i="1"/>
  <c r="H9" i="24" l="1"/>
  <c r="M15" i="18"/>
  <c r="M14" i="18" s="1"/>
  <c r="M13" i="18" s="1"/>
  <c r="M12" i="18" s="1"/>
  <c r="M31" i="1"/>
  <c r="A4" i="2"/>
  <c r="O19" i="1"/>
  <c r="O8" i="1"/>
  <c r="O11" i="1"/>
  <c r="P19" i="1"/>
  <c r="R8" i="1"/>
  <c r="S11" i="1"/>
  <c r="Q19" i="1"/>
  <c r="N8" i="1"/>
  <c r="R11" i="1"/>
  <c r="Q8" i="1"/>
  <c r="N19" i="1"/>
  <c r="Q11" i="1"/>
  <c r="M19" i="1"/>
  <c r="P8" i="1"/>
  <c r="S8" i="1"/>
  <c r="M8" i="1"/>
  <c r="M29" i="1" l="1" a="1"/>
  <c r="M29" i="1" s="1"/>
  <c r="P29" i="1" s="1"/>
</calcChain>
</file>

<file path=xl/sharedStrings.xml><?xml version="1.0" encoding="utf-8"?>
<sst xmlns="http://schemas.openxmlformats.org/spreadsheetml/2006/main" count="1091" uniqueCount="819">
  <si>
    <t>Question</t>
  </si>
  <si>
    <t>Sub-Part of Question</t>
  </si>
  <si>
    <t>(a)</t>
  </si>
  <si>
    <t>(b)</t>
  </si>
  <si>
    <t>(c)</t>
  </si>
  <si>
    <t>(d)</t>
  </si>
  <si>
    <t>(e)</t>
  </si>
  <si>
    <t>(f)</t>
  </si>
  <si>
    <t>(g)</t>
  </si>
  <si>
    <t>Total Point Value</t>
  </si>
  <si>
    <t>Total</t>
  </si>
  <si>
    <t>Status</t>
  </si>
  <si>
    <t>Your Score</t>
  </si>
  <si>
    <t>TOTAL</t>
  </si>
  <si>
    <t>Points</t>
  </si>
  <si>
    <t>An insurer uses five geographical Storm Zones (A, B, C, D, and E) in their rating plan.</t>
  </si>
  <si>
    <t>The insurer refines their rating plan using the following approach:</t>
  </si>
  <si>
    <t>• Divide each Storm Zone into numerous geographical sectors.</t>
  </si>
  <si>
    <t>• For each geographical sector and storm type, calculate the observed storm frequency</t>
  </si>
  <si>
    <t xml:space="preserve">   as number of storms per year.</t>
  </si>
  <si>
    <t xml:space="preserve">   ○ There are three storm types defined as Moderate, Strong, and Severe storms.</t>
  </si>
  <si>
    <t>The insurer performs two credibility procedures to produce estimates of the respective</t>
  </si>
  <si>
    <t>storm frequencies in each sector. The first is a multi-dimensional credibility procedure</t>
  </si>
  <si>
    <t>and the second is a single-dimensional credibility procedure (utilizing only a single</t>
  </si>
  <si>
    <t>storm type).</t>
  </si>
  <si>
    <t xml:space="preserve">The multi-dimensional credibility results for a particular sector in Storm Zone C for </t>
  </si>
  <si>
    <t>Severe storms are given in the table below. The single-dimensional credibility factor</t>
  </si>
  <si>
    <t>is 0.30.</t>
  </si>
  <si>
    <t>Storm Type</t>
  </si>
  <si>
    <t>Coefficient</t>
  </si>
  <si>
    <t>Storm Zone Mean Frequency</t>
  </si>
  <si>
    <t>Sector Mean Frequency</t>
  </si>
  <si>
    <t>Intercept</t>
  </si>
  <si>
    <t>Moderate</t>
  </si>
  <si>
    <t>Strong</t>
  </si>
  <si>
    <t>Severe</t>
  </si>
  <si>
    <t>not provided</t>
  </si>
  <si>
    <t>Calculate the mean frequency estimate of Severe storms for each of the two</t>
  </si>
  <si>
    <t>credibility procedures.</t>
  </si>
  <si>
    <t>Fully explain why the single-dimensional credibility estimate in part (a) above is</t>
  </si>
  <si>
    <t>lower than the multi-dimensional credibility estimate.</t>
  </si>
  <si>
    <t>Percentage:</t>
  </si>
  <si>
    <t>Observation</t>
  </si>
  <si>
    <t>Actual Loss Cost</t>
  </si>
  <si>
    <t>Model A Loss Cost</t>
  </si>
  <si>
    <t>Model B Loss Cost</t>
  </si>
  <si>
    <t>Earned Premium</t>
  </si>
  <si>
    <t>Given the following:</t>
  </si>
  <si>
    <t>• The actuary has already provided management with the simple quintile plots and the double lift chart shown above.</t>
  </si>
  <si>
    <t>• The company has implemented several segmented rate changes over the last three years.</t>
  </si>
  <si>
    <t>For each model, provide a loss ratio plot that management can use to assess lift. Identify the basis of sorting the data.</t>
  </si>
  <si>
    <t>Briefly describe one drawback of each type of model validation plot that the actuary has provided to management,</t>
  </si>
  <si>
    <t>including the plot produced in part (a) above.</t>
  </si>
  <si>
    <t xml:space="preserve">Using all three types of model validation plots provided to management, recommend which model should be </t>
  </si>
  <si>
    <t>implemented. Do not perform any calculations.</t>
  </si>
  <si>
    <t>An actuary has built two generalized linear models to predict loss costs. Management has requested a series of model validation</t>
  </si>
  <si>
    <t>plots to demonstrate the appropriateness of each of the new models. Output for each model, simple quantile plots, and a</t>
  </si>
  <si>
    <t>double lift plot are shown below:</t>
  </si>
  <si>
    <t>An insurance company has a private passenger auto book of business with an experience</t>
  </si>
  <si>
    <t>modification factor in its rating plan.</t>
  </si>
  <si>
    <t xml:space="preserve">   • The expected claim frequency for the entire book of business is 0.101.</t>
  </si>
  <si>
    <t xml:space="preserve">   • Annual claims for an individual driver follow a negative binomial distribution with </t>
  </si>
  <si>
    <t xml:space="preserve">       r = 10.</t>
  </si>
  <si>
    <t xml:space="preserve">      is 0.02.</t>
  </si>
  <si>
    <t xml:space="preserve">   • The credibility for the group of risks that have had at least one accident in the last year</t>
  </si>
  <si>
    <t>accident in the last year.</t>
  </si>
  <si>
    <t>Describe why a class with a higher volume of claims and more exposures may have less</t>
  </si>
  <si>
    <t>credibility than a class with fewer claims and exposures.</t>
  </si>
  <si>
    <t xml:space="preserve">The following confusion matrix shows the results from a claim fraud model with a </t>
  </si>
  <si>
    <t>discrimination threshold of 25%:</t>
  </si>
  <si>
    <t>Predicted</t>
  </si>
  <si>
    <t>Actual</t>
  </si>
  <si>
    <t>Yes</t>
  </si>
  <si>
    <t>No</t>
  </si>
  <si>
    <t>Identify a link function that can be used for a generalized linear model that has a binary</t>
  </si>
  <si>
    <t>target variable and briefly explain why this link function is appropriate.</t>
  </si>
  <si>
    <t>Calculate the sensitivity and specificity from the above data.</t>
  </si>
  <si>
    <t>Plot the receiver operating characteristic (ROC) curve with the discrimination threshold</t>
  </si>
  <si>
    <t>of 25%. Label each axis, the coordinates, and the discrimination thresholds of 100%, 25%</t>
  </si>
  <si>
    <t>and 0% on the curve.</t>
  </si>
  <si>
    <t>In addition, plot the ROC curve for each of the following two models:</t>
  </si>
  <si>
    <t xml:space="preserve">    i. A model with no predictive power</t>
  </si>
  <si>
    <t xml:space="preserve">  ii. A hypothetical "perfect" model</t>
  </si>
  <si>
    <t>Briefly describe how the severity of claims will impact the selection of the model threshold.</t>
  </si>
  <si>
    <t>An actuary creates a generalized linear model (GLM) to estimate commercial property claim</t>
  </si>
  <si>
    <t>frequency by occupancy class and amount of insurance (AOI) for sprinklered and</t>
  </si>
  <si>
    <t>non-sprinklered risks. Given the following:</t>
  </si>
  <si>
    <t xml:space="preserve">   • Occupancy class is a categorical variable with four levels: Class 1, 2, 3 and 4.</t>
  </si>
  <si>
    <t xml:space="preserve">   • Sprinklered status is a categorical variable with two levels: sprinklered and </t>
  </si>
  <si>
    <t xml:space="preserve">      non-sprinklered.</t>
  </si>
  <si>
    <t xml:space="preserve">   • The natural log of AOI, ln(AOI), is a continuous variable.</t>
  </si>
  <si>
    <t xml:space="preserve">   • The log link function is selected.</t>
  </si>
  <si>
    <t xml:space="preserve">   • An interaction variable is included as ln(AOI) for sprinklered and zero otherwise.</t>
  </si>
  <si>
    <t xml:space="preserve">   • The model results are as follows:</t>
  </si>
  <si>
    <t>Parameter</t>
  </si>
  <si>
    <t>Occupancy Class 2</t>
  </si>
  <si>
    <t>Occupancy Class 3</t>
  </si>
  <si>
    <t>Occupancy Class 4</t>
  </si>
  <si>
    <t>Sprinklered</t>
  </si>
  <si>
    <t>ln(AOI)</t>
  </si>
  <si>
    <t>Sprinklered: Yes, ln(AOI)</t>
  </si>
  <si>
    <t>Calculate the ratio of the estimated model frequency of a sprinklered property to that of a</t>
  </si>
  <si>
    <t>non-sprinklered property for AOI = 200,000 and Occupancy Class 2.</t>
  </si>
  <si>
    <t>Calculate the intercept term if AOI is centered at the base level of 200,000.</t>
  </si>
  <si>
    <t>Briefly describe two advantages of centering variables of a GLM at their base levels.</t>
  </si>
  <si>
    <t>An actuary is pricing a workers compensation policy. Given the following:</t>
  </si>
  <si>
    <t>Policy Effective Date</t>
  </si>
  <si>
    <t>Policy Term</t>
  </si>
  <si>
    <t>One year</t>
  </si>
  <si>
    <t>Annual Loss Trend</t>
  </si>
  <si>
    <t>Cap for individual claims</t>
  </si>
  <si>
    <t>Credibility factor</t>
  </si>
  <si>
    <t>Expected ultimate loss before modification</t>
  </si>
  <si>
    <t>As of June 30, 2019, ground up reported losses are:</t>
  </si>
  <si>
    <t>Policy Year</t>
  </si>
  <si>
    <t>Total Reported Loss</t>
  </si>
  <si>
    <t>Individual Claims over $100,000</t>
  </si>
  <si>
    <t>None</t>
  </si>
  <si>
    <t>The following limited loss development factors (LDFs) apply to this policy:</t>
  </si>
  <si>
    <t>Maturity to Ultimate</t>
  </si>
  <si>
    <t>Limited LDF</t>
  </si>
  <si>
    <t>42 months</t>
  </si>
  <si>
    <t>30 months</t>
  </si>
  <si>
    <t>18 months</t>
  </si>
  <si>
    <t>Based on an internal study, the actuary believes that claim severity follows a shifted Pareto distribution</t>
  </si>
  <si>
    <t>with α = 1.3 and β = 22,800.</t>
  </si>
  <si>
    <t>The following expenses apply to this policy:</t>
  </si>
  <si>
    <t>Loss Adjustment Expense (LAE)</t>
  </si>
  <si>
    <t>7.5% of loss</t>
  </si>
  <si>
    <t>Taxes and Fees</t>
  </si>
  <si>
    <t>3.5% of gross premium</t>
  </si>
  <si>
    <t>Acquisition</t>
  </si>
  <si>
    <t>17% of gross premium</t>
  </si>
  <si>
    <t>Profit and Contingencies</t>
  </si>
  <si>
    <t>0% of gross premium</t>
  </si>
  <si>
    <t>years of experience combined.</t>
  </si>
  <si>
    <t>Calculate the total modified ground up unlimited expected loss for this policy.</t>
  </si>
  <si>
    <t xml:space="preserve">Alternatively, the actuary could have trended and developed reported losses to the cost level of the </t>
  </si>
  <si>
    <t>prospective policy period. Briefly explain why this approach would not produce an identical modification</t>
  </si>
  <si>
    <t>factor.</t>
  </si>
  <si>
    <t>Calculate the guaranteed cost premium for this insured.</t>
  </si>
  <si>
    <t>The insurer's management is concerned about capacity on risks of this type. To address these concerns,</t>
  </si>
  <si>
    <t>they are requiring facultative reinsurance to support this account. Under the treaty, the reinsurer would</t>
  </si>
  <si>
    <t>assume all aggregate losses between $2,000,000 and $4,000,000. The primary insurer will retain all LAE.</t>
  </si>
  <si>
    <t>The primary insurer's actuary believes the following Table M and the associated expected loss groupings</t>
  </si>
  <si>
    <t>(ELGs) are appropriate for risks of this type:</t>
  </si>
  <si>
    <t>ELG</t>
  </si>
  <si>
    <t>Loss Range</t>
  </si>
  <si>
    <t>Entry Ratio</t>
  </si>
  <si>
    <t>$820,001 – 930,000</t>
  </si>
  <si>
    <t>$730,000 – 820,000</t>
  </si>
  <si>
    <t>$930,001 – 1,090,000</t>
  </si>
  <si>
    <t>$1,090,001 – 1,280,000</t>
  </si>
  <si>
    <t>$1,280,001 – 1,515,000</t>
  </si>
  <si>
    <t>$1,515,001 – 1,844,000</t>
  </si>
  <si>
    <t>(i.e. do not interpolate).</t>
  </si>
  <si>
    <t xml:space="preserve">A reinsurer has quoted a premium of $200,000 for this treaty. Calculate the premium the primary insurer must charge in </t>
  </si>
  <si>
    <t>order to maintain the same underwriting profit.</t>
  </si>
  <si>
    <t>Explain how the assumptions of the primary insurer's actuary may have resulted in an inequitable premium calculated in</t>
  </si>
  <si>
    <t>part (f) above.</t>
  </si>
  <si>
    <t>Given the following for a policy:</t>
  </si>
  <si>
    <t xml:space="preserve">   • Basic Limit = 100,000</t>
  </si>
  <si>
    <t xml:space="preserve">   • Expected Basic Limit Indemnity = 65,000</t>
  </si>
  <si>
    <t xml:space="preserve">   • Allocated Loss Adjustment Expense (ALAE) = 20% of Indemnity</t>
  </si>
  <si>
    <t xml:space="preserve">   • Unallocated Loss Adjustment Expense = 1.5% of Indemnity and ALAE</t>
  </si>
  <si>
    <t xml:space="preserve">   • All other expenses are variable and are 15% of the premium</t>
  </si>
  <si>
    <t xml:space="preserve">   • Risk load = 0%</t>
  </si>
  <si>
    <t xml:space="preserve">   • Profit load = 2.5%</t>
  </si>
  <si>
    <t xml:space="preserve">   • The following table shows Indemnity-only limited expected severity:</t>
  </si>
  <si>
    <t>Limit</t>
  </si>
  <si>
    <t>E[X; L]</t>
  </si>
  <si>
    <t>Calculate the premium for this policy with a 500,000 limit over a 500,000 deductible.</t>
  </si>
  <si>
    <t>An insurer's risk classification system contains four classes (A, B, C, and D). The insurer is considering</t>
  </si>
  <si>
    <t>using experience rating to rate all four classes.</t>
  </si>
  <si>
    <t>Low Variance of</t>
  </si>
  <si>
    <t>Hypothetical Means</t>
  </si>
  <si>
    <t>within Class</t>
  </si>
  <si>
    <t>High Variance of</t>
  </si>
  <si>
    <t>Class A</t>
  </si>
  <si>
    <t>Class B</t>
  </si>
  <si>
    <t>Class C</t>
  </si>
  <si>
    <t>Class D</t>
  </si>
  <si>
    <t>From the insurer's perspective, briefly explain the class for which experience rating is expected to be</t>
  </si>
  <si>
    <t>the most useful and the class for which experience rating is expected to be the least useful.</t>
  </si>
  <si>
    <t>Low Expected Value of 
Process Variance</t>
  </si>
  <si>
    <t>High Expected Value of
Process Variance</t>
  </si>
  <si>
    <t>An actuary has created new models to calculate the experience modification factor for two lines of</t>
  </si>
  <si>
    <t>business. Given the following:</t>
  </si>
  <si>
    <t xml:space="preserve">   • Line of business 1 (currently does not use experience rating)</t>
  </si>
  <si>
    <t xml:space="preserve">   • Line of business 2 (currently uses experience rating)</t>
  </si>
  <si>
    <t>For both lines of business, assume that the cost of implementation is negligible.</t>
  </si>
  <si>
    <t>For line of business 1, evaluate whether the new experience modification should be implemented.</t>
  </si>
  <si>
    <t>For line of business 1, describe a way to improve the results of the experience modification.</t>
  </si>
  <si>
    <t>For line of business 2, evaluate whether the proposed plan should be used.</t>
  </si>
  <si>
    <t>Line of Business 2</t>
  </si>
  <si>
    <t>Efficiency Test</t>
  </si>
  <si>
    <t>Current Plan</t>
  </si>
  <si>
    <t>Proposed Plan</t>
  </si>
  <si>
    <t>Consider the following sample of five insurance risks which have been experience rated:</t>
  </si>
  <si>
    <t>Risk</t>
  </si>
  <si>
    <t>Mod</t>
  </si>
  <si>
    <t>Manual Loss Ratio</t>
  </si>
  <si>
    <t>Standard Loss Ratio</t>
  </si>
  <si>
    <t>X</t>
  </si>
  <si>
    <t>Y</t>
  </si>
  <si>
    <t>The actual claims for Risk 3 in the experience period are as follows:</t>
  </si>
  <si>
    <t>Claim #</t>
  </si>
  <si>
    <t>Incurred Loss Amount</t>
  </si>
  <si>
    <t>001</t>
  </si>
  <si>
    <t>002</t>
  </si>
  <si>
    <t>003</t>
  </si>
  <si>
    <t>004</t>
  </si>
  <si>
    <t>005</t>
  </si>
  <si>
    <t>006</t>
  </si>
  <si>
    <t>007</t>
  </si>
  <si>
    <t>008</t>
  </si>
  <si>
    <t>009</t>
  </si>
  <si>
    <t>010</t>
  </si>
  <si>
    <t>• Expected Losses for Risk 3 in the experience period = 32,000</t>
  </si>
  <si>
    <t>• Credibility factor = 0.75</t>
  </si>
  <si>
    <t>Calculate the modification factor, X, for Risk 3.</t>
  </si>
  <si>
    <t xml:space="preserve">Provide a recommendation to improve the effectiveness of experience rating for Risk 3 and </t>
  </si>
  <si>
    <t>briefly justify.</t>
  </si>
  <si>
    <t>Show, quantitatively, that the recommendation in part (b) above improves the plan. Assume no</t>
  </si>
  <si>
    <t>other risks are impacted by the recommendation.</t>
  </si>
  <si>
    <t>An actuary is assessing the current Table M underlying the pricing of a book of business. All policies</t>
  </si>
  <si>
    <t>within the book of business have identical expected losses and are expected to have exactly one</t>
  </si>
  <si>
    <t xml:space="preserve">claim during the policy period. The actuary divides the book of business into two subsets of </t>
  </si>
  <si>
    <t>policies, Subset A and Subset B, and finds the following distributions of aggregate losses:</t>
  </si>
  <si>
    <t>Discuss why the current Table M may not be appropriate for this book of business.</t>
  </si>
  <si>
    <t>Using the observations in Subset B, calculate the insurance charges associated with the following</t>
  </si>
  <si>
    <t>claim sizes:</t>
  </si>
  <si>
    <t xml:space="preserve">   i. 10,000</t>
  </si>
  <si>
    <t xml:space="preserve">  ii. 40,000</t>
  </si>
  <si>
    <t xml:space="preserve"> iii. 80,000</t>
  </si>
  <si>
    <t>Briefly describe two considerations when using the Table M calculated in part (b) above to support</t>
  </si>
  <si>
    <t>the creation of a Table M for a different line of insurance.</t>
  </si>
  <si>
    <t>For a given policy that provides first dollar coverage, there is a 50% probability that no claims will</t>
  </si>
  <si>
    <t>occur during the policy period. Given that a claim does occur, the frequency distribution is shown</t>
  </si>
  <si>
    <t>below:</t>
  </si>
  <si>
    <t>Number of Claims</t>
  </si>
  <si>
    <t>Probability</t>
  </si>
  <si>
    <t>The claim-size variable X for this policy follows a shifted Pareto distribution with the following</t>
  </si>
  <si>
    <t>characteristics:</t>
  </si>
  <si>
    <r>
      <t xml:space="preserve">   • e</t>
    </r>
    <r>
      <rPr>
        <vertAlign val="subscript"/>
        <sz val="11"/>
        <color theme="1"/>
        <rFont val="Calibri"/>
        <family val="2"/>
        <scheme val="minor"/>
      </rPr>
      <t>X</t>
    </r>
    <r>
      <rPr>
        <sz val="11"/>
        <color theme="1"/>
        <rFont val="Calibri"/>
        <family val="2"/>
        <scheme val="minor"/>
      </rPr>
      <t>(6,000) = 15,000</t>
    </r>
  </si>
  <si>
    <t xml:space="preserve">   • E[X] = 3,000</t>
  </si>
  <si>
    <t xml:space="preserve">   • E[X; 4,000] = 1,433.30</t>
  </si>
  <si>
    <t>Calculate the expected aggregate loss in the layer 1,000 excess of 4,000 for this policy.</t>
  </si>
  <si>
    <t>Explain one difficulty that can arise when trying to fit an aggregate loss distribution function to</t>
  </si>
  <si>
    <t>losses in an excess layer.</t>
  </si>
  <si>
    <t>An insured is written under a retrospective rating plan with a minimum and a maximum premium</t>
  </si>
  <si>
    <t>with the following parameters:</t>
  </si>
  <si>
    <t>Loss Conversion Factor</t>
  </si>
  <si>
    <t>Expected Loss</t>
  </si>
  <si>
    <t>Expenses</t>
  </si>
  <si>
    <r>
      <rPr>
        <sz val="11"/>
        <color theme="1"/>
        <rFont val="Calibri"/>
        <family val="2"/>
      </rPr>
      <t>φ(</t>
    </r>
    <r>
      <rPr>
        <i/>
        <sz val="11"/>
        <color theme="1"/>
        <rFont val="Calibri"/>
        <family val="2"/>
      </rPr>
      <t>r</t>
    </r>
    <r>
      <rPr>
        <i/>
        <vertAlign val="subscript"/>
        <sz val="11"/>
        <color theme="1"/>
        <rFont val="Calibri"/>
        <family val="2"/>
      </rPr>
      <t>H</t>
    </r>
    <r>
      <rPr>
        <sz val="11"/>
        <color theme="1"/>
        <rFont val="Calibri"/>
        <family val="2"/>
      </rPr>
      <t>)</t>
    </r>
  </si>
  <si>
    <r>
      <t>φ(</t>
    </r>
    <r>
      <rPr>
        <i/>
        <sz val="11"/>
        <color theme="1"/>
        <rFont val="Calibri"/>
        <family val="2"/>
      </rPr>
      <t>r</t>
    </r>
    <r>
      <rPr>
        <i/>
        <vertAlign val="subscript"/>
        <sz val="11"/>
        <color theme="1"/>
        <rFont val="Calibri"/>
        <family val="2"/>
      </rPr>
      <t>G</t>
    </r>
    <r>
      <rPr>
        <sz val="11"/>
        <color theme="1"/>
        <rFont val="Calibri"/>
        <family val="2"/>
      </rPr>
      <t>)</t>
    </r>
  </si>
  <si>
    <r>
      <t>r</t>
    </r>
    <r>
      <rPr>
        <i/>
        <vertAlign val="subscript"/>
        <sz val="11"/>
        <color theme="1"/>
        <rFont val="Calibri"/>
        <family val="2"/>
        <scheme val="minor"/>
      </rPr>
      <t>H</t>
    </r>
  </si>
  <si>
    <r>
      <t>r</t>
    </r>
    <r>
      <rPr>
        <i/>
        <vertAlign val="subscript"/>
        <sz val="11"/>
        <color theme="1"/>
        <rFont val="Calibri"/>
        <family val="2"/>
        <scheme val="minor"/>
      </rPr>
      <t>G</t>
    </r>
  </si>
  <si>
    <t>Calculate the basic premium.</t>
  </si>
  <si>
    <t xml:space="preserve">Upon renewal, the insured requests that a per-occurrence claim limit of $200,000 be added to the </t>
  </si>
  <si>
    <t>current policy. The pricing actuary estimates that, on average, the insured will have $400,000 of losses</t>
  </si>
  <si>
    <t>that exceed this per-occurrence limit during the next policy period. To calculate the expected increase</t>
  </si>
  <si>
    <t>to the basic premium, the actuary loads the $400,000 for expenses and profit.</t>
  </si>
  <si>
    <t>Fully discuss the appropriateness of the actuary's methodology.</t>
  </si>
  <si>
    <t>An actuary is pricing a retrospectively rated policy with a per-occurrence limit of 20,000 and no</t>
  </si>
  <si>
    <t>minimum or maximum ratable loss.</t>
  </si>
  <si>
    <t>Using claim data from a group of similar policies, the actuary fit the following regression line to the</t>
  </si>
  <si>
    <t>Loss adjustment expenses as a percentage of loss</t>
  </si>
  <si>
    <t>Commission as a percentage of retrospective premium</t>
  </si>
  <si>
    <t>Premium tax as a percentage of retrospective premium</t>
  </si>
  <si>
    <t>Fixed overhead expenses</t>
  </si>
  <si>
    <t>Underwriting profit as a percentage of expected excess loss</t>
  </si>
  <si>
    <t>Included in:</t>
  </si>
  <si>
    <t>Loss conversion factor</t>
  </si>
  <si>
    <t>Tax multiplier</t>
  </si>
  <si>
    <t>Basic premium</t>
  </si>
  <si>
    <r>
      <t xml:space="preserve">   • The number of claims for ground up losses is Poisson distributed with </t>
    </r>
    <r>
      <rPr>
        <sz val="11"/>
        <color theme="1"/>
        <rFont val="Calibri"/>
        <family val="2"/>
      </rPr>
      <t>λ = 15.</t>
    </r>
  </si>
  <si>
    <t xml:space="preserve">Assuming that actual limited losses equal half the expected limited losses, calculate the </t>
  </si>
  <si>
    <t>retrospective premium.</t>
  </si>
  <si>
    <t>to the excess severity to estimate losses using the shifted Pareto distribution. The fitted regression</t>
  </si>
  <si>
    <r>
      <t xml:space="preserve">function is </t>
    </r>
    <r>
      <rPr>
        <i/>
        <sz val="11"/>
        <color theme="1"/>
        <rFont val="Calibri"/>
        <family val="2"/>
        <scheme val="minor"/>
      </rPr>
      <t>y</t>
    </r>
    <r>
      <rPr>
        <sz val="11"/>
        <color theme="1"/>
        <rFont val="Calibri"/>
        <family val="2"/>
        <scheme val="minor"/>
      </rPr>
      <t xml:space="preserve"> = 0.4467</t>
    </r>
    <r>
      <rPr>
        <i/>
        <sz val="11"/>
        <color theme="1"/>
        <rFont val="Calibri"/>
        <family val="2"/>
        <scheme val="minor"/>
      </rPr>
      <t>x</t>
    </r>
    <r>
      <rPr>
        <sz val="11"/>
        <color theme="1"/>
        <rFont val="Calibri"/>
        <family val="2"/>
        <scheme val="minor"/>
      </rPr>
      <t xml:space="preserve"> + 16112 with </t>
    </r>
    <r>
      <rPr>
        <i/>
        <sz val="11"/>
        <color theme="1"/>
        <rFont val="Calibri"/>
        <family val="2"/>
        <scheme val="minor"/>
      </rPr>
      <t>R</t>
    </r>
    <r>
      <rPr>
        <vertAlign val="superscript"/>
        <sz val="11"/>
        <color theme="1"/>
        <rFont val="Calibri"/>
        <family val="2"/>
        <scheme val="minor"/>
      </rPr>
      <t>2</t>
    </r>
    <r>
      <rPr>
        <sz val="11"/>
        <color theme="1"/>
        <rFont val="Calibri"/>
        <family val="2"/>
        <scheme val="minor"/>
      </rPr>
      <t xml:space="preserve"> = 0.9826.</t>
    </r>
  </si>
  <si>
    <t>Assess the actuary's decision to use the shifted Pareto distribution to estimate excess severity.</t>
  </si>
  <si>
    <t>The loss experience of five similarly sized risks is shown in the table below:</t>
  </si>
  <si>
    <t>Aggregate Unlimited Loss</t>
  </si>
  <si>
    <t>Aggregate Limited Loss</t>
  </si>
  <si>
    <t>Limited losses have a per-occurrence limit of 50,000 applied.</t>
  </si>
  <si>
    <t>Construct a Limited Loss Table M based on the experience above, displaying entry ratios</t>
  </si>
  <si>
    <t>ranging from 0 to 3 in increments of 0.5 and the corresponding insurance charges.</t>
  </si>
  <si>
    <t>An insured similar to the risks above is evaluating three potential policies:</t>
  </si>
  <si>
    <t xml:space="preserve">  2. A large dollar deductible policy with a 50,000 per-occurrence limit</t>
  </si>
  <si>
    <t xml:space="preserve">  1. A guaranteed cost policy</t>
  </si>
  <si>
    <t xml:space="preserve">       per-occurrence limit.</t>
  </si>
  <si>
    <t xml:space="preserve">   • The insured would like to minimize cost</t>
  </si>
  <si>
    <t xml:space="preserve">   • Maintaining a stable, predictable cash flow is a priority for the insured</t>
  </si>
  <si>
    <t xml:space="preserve">   • The insured has recently implement a successful claim severity reduction program.</t>
  </si>
  <si>
    <t xml:space="preserve">Briefly discuss one advantage and one disadvantage of each of the three policies from </t>
  </si>
  <si>
    <t>the perspective of this insured.</t>
  </si>
  <si>
    <t>Instructions</t>
  </si>
  <si>
    <t>1.) Find a quiet place and allow yourself the full four hour exam period to practice. Treat this just as you would the real exam.</t>
  </si>
  <si>
    <t>3.) Answer each question either to the side or below the grey question area.</t>
  </si>
  <si>
    <r>
      <t xml:space="preserve">4.) Use cell </t>
    </r>
    <r>
      <rPr>
        <b/>
        <sz val="11"/>
        <color theme="1"/>
        <rFont val="Calibri"/>
        <family val="2"/>
        <scheme val="minor"/>
      </rPr>
      <t>B1</t>
    </r>
    <r>
      <rPr>
        <sz val="11"/>
        <color theme="1"/>
        <rFont val="Calibri"/>
        <family val="2"/>
        <scheme val="minor"/>
      </rPr>
      <t xml:space="preserve"> on each question worksheet to mark whether you finished the question or not. You should use this feature to</t>
    </r>
  </si>
  <si>
    <t xml:space="preserve">       reflect your confidence in your answer. This way you'll know if you're on the money or your guesses were lucky.</t>
  </si>
  <si>
    <t>5.) Grade each question harshly. It's better to put in extra reviewing time now than find the examiners aren't as generous as you hoped.</t>
  </si>
  <si>
    <t>8.) Find the top five questions where you lost the most points. These are the topics you need to review the most intensely in the</t>
  </si>
  <si>
    <t xml:space="preserve">      next day or so.</t>
  </si>
  <si>
    <t>6.) Enter your estimated score for each sub-part of a question in the box beneath the sub-part point value. They look like:</t>
  </si>
  <si>
    <r>
      <t xml:space="preserve">       Use increments of </t>
    </r>
    <r>
      <rPr>
        <b/>
        <sz val="11"/>
        <color theme="1"/>
        <rFont val="Calibri"/>
        <family val="2"/>
        <scheme val="minor"/>
      </rPr>
      <t>0.25</t>
    </r>
    <r>
      <rPr>
        <sz val="11"/>
        <color theme="1"/>
        <rFont val="Calibri"/>
        <family val="2"/>
        <scheme val="minor"/>
      </rPr>
      <t xml:space="preserve"> when scoring; pay attention to the language used in the question and the point value. An "</t>
    </r>
    <r>
      <rPr>
        <i/>
        <sz val="11"/>
        <color theme="1"/>
        <rFont val="Calibri"/>
        <family val="2"/>
        <scheme val="minor"/>
      </rPr>
      <t>identify" question</t>
    </r>
  </si>
  <si>
    <r>
      <t xml:space="preserve">       is likely 0.25 per item while an "</t>
    </r>
    <r>
      <rPr>
        <i/>
        <sz val="11"/>
        <color theme="1"/>
        <rFont val="Calibri"/>
        <family val="2"/>
        <scheme val="minor"/>
      </rPr>
      <t>explain</t>
    </r>
    <r>
      <rPr>
        <sz val="11"/>
        <color theme="1"/>
        <rFont val="Calibri"/>
        <family val="2"/>
        <scheme val="minor"/>
      </rPr>
      <t>" or "</t>
    </r>
    <r>
      <rPr>
        <i/>
        <sz val="11"/>
        <color theme="1"/>
        <rFont val="Calibri"/>
        <family val="2"/>
        <scheme val="minor"/>
      </rPr>
      <t>briefly justify</t>
    </r>
    <r>
      <rPr>
        <sz val="11"/>
        <color theme="1"/>
        <rFont val="Calibri"/>
        <family val="2"/>
        <scheme val="minor"/>
      </rPr>
      <t>" gets 0.25 for the item and another 0.25 for the justification.</t>
    </r>
  </si>
  <si>
    <t>slay the beast</t>
  </si>
  <si>
    <t>Solution</t>
  </si>
  <si>
    <t>Multi-Dimensional Credibility Formula</t>
  </si>
  <si>
    <t xml:space="preserve">Here, a subscript S refers to the storm sector which is analogous to the class within a </t>
  </si>
  <si>
    <t>hazard group. A subscript Z refers to the storm zone which plays the role of a hazard group.</t>
  </si>
  <si>
    <t>Applying the formula:</t>
  </si>
  <si>
    <t>Let V represent severe storms, W strong storms, and X moderate storms. These take on the</t>
  </si>
  <si>
    <t>role of the injury types.</t>
  </si>
  <si>
    <t>=</t>
  </si>
  <si>
    <t>Single Dimensional Credibility Formula</t>
  </si>
  <si>
    <t>Z = 0.30 (from text)</t>
  </si>
  <si>
    <t>Multi-dimensional credibility is based on the idea that the claim frequency for different</t>
  </si>
  <si>
    <t xml:space="preserve">storm types are related. It assigns weights based on the relative mean frequencies of the </t>
  </si>
  <si>
    <t>sector to the zone. There are more strong and moderate storms than severe storms</t>
  </si>
  <si>
    <t xml:space="preserve">within the sectors than the zone so those storm types have higher frequencies which increases </t>
  </si>
  <si>
    <t xml:space="preserve">the multi-dimensional credibility. Whereas the single dimensional credibility only relies on the </t>
  </si>
  <si>
    <t>difference between the zone and sector for severe storms.</t>
  </si>
  <si>
    <t>Obs</t>
  </si>
  <si>
    <t>Actual Loss Ratio</t>
  </si>
  <si>
    <t>Sort the data by modeled loss cost in ascending order.</t>
  </si>
  <si>
    <t>Note both models have the same order so the plots</t>
  </si>
  <si>
    <t>are identical.</t>
  </si>
  <si>
    <t>Since only 5 observations, each observation is 1 quintile</t>
  </si>
  <si>
    <t>between risks, not if the predictions are accurate.</t>
  </si>
  <si>
    <t>• Loss Ratio plot only assesses how well the GLM distinguishes</t>
  </si>
  <si>
    <t xml:space="preserve">• Double lift charts can be difficult to explain to </t>
  </si>
  <si>
    <t>non-technical people (management)</t>
  </si>
  <si>
    <t>• Quantile plots are on two separate charts which makes</t>
  </si>
  <si>
    <t>it hard to compare them.</t>
  </si>
  <si>
    <t>the actual loss cost than model A as the actual and model</t>
  </si>
  <si>
    <t>lines are closer together.</t>
  </si>
  <si>
    <t>• Based on the quantile plots, model B is better at predicting</t>
  </si>
  <si>
    <t xml:space="preserve">• The double lift chart suggests model B is better as it </t>
  </si>
  <si>
    <t>tracks the actual loss cost more closely.</t>
  </si>
  <si>
    <t>• The loss ratio plot has an upward trend for model B</t>
  </si>
  <si>
    <t>this suggests the model differentiates well between</t>
  </si>
  <si>
    <t>risks.</t>
  </si>
  <si>
    <r>
      <t xml:space="preserve">• Recommend implementing </t>
    </r>
    <r>
      <rPr>
        <b/>
        <sz val="11"/>
        <color theme="1"/>
        <rFont val="Calibri"/>
        <family val="2"/>
        <scheme val="minor"/>
      </rPr>
      <t>model B</t>
    </r>
  </si>
  <si>
    <t>FORMULA SHEET</t>
  </si>
  <si>
    <t>• For the negative binomial distribution (for use on question 3):</t>
  </si>
  <si>
    <t>○</t>
  </si>
  <si>
    <t>• For the shifted Pareto distribution (for use on questions 7, 13 &amp; 15):</t>
  </si>
  <si>
    <t xml:space="preserve">Using </t>
  </si>
  <si>
    <t>yields 0.101 = 10p / (1 - p)</t>
  </si>
  <si>
    <t>Solving this for p gives p = 0.01.</t>
  </si>
  <si>
    <t>Next, we need the probability of no claims, Pr(N = 0)</t>
  </si>
  <si>
    <t>Here x = 0, so</t>
  </si>
  <si>
    <t xml:space="preserve">Then </t>
  </si>
  <si>
    <t>Then</t>
  </si>
  <si>
    <t>So Mod =</t>
  </si>
  <si>
    <t xml:space="preserve">Experience rating credibility depends not only on the volume of data but also the </t>
  </si>
  <si>
    <t>variance within a class. Therefore, a class may receive more credibility than a class with</t>
  </si>
  <si>
    <t>more volume if it has more variance within the class.</t>
  </si>
  <si>
    <t>Finished</t>
  </si>
  <si>
    <t>The logit link function should be used,</t>
  </si>
  <si>
    <t xml:space="preserve">where </t>
  </si>
  <si>
    <t>This is appropriate because the inverse of the logit function is the logistic function,</t>
  </si>
  <si>
    <t>which takes any real number and maps it to the interval [0, 1].</t>
  </si>
  <si>
    <t xml:space="preserve">By choosing a discriminant threshold we can turn this into a </t>
  </si>
  <si>
    <t>binary outcome.</t>
  </si>
  <si>
    <t>Sensitivity = TP / (TP + FN)</t>
  </si>
  <si>
    <t>Specificity = TN / (TN + FP)</t>
  </si>
  <si>
    <t>TP = True Positive</t>
  </si>
  <si>
    <t>TN = True Negative</t>
  </si>
  <si>
    <t>FP = False Positive</t>
  </si>
  <si>
    <t>FN = False Negative</t>
  </si>
  <si>
    <t>X-axis: False positive rate = 1 - Specificity.   Y-axis: Sensitivity (True positive rate)</t>
  </si>
  <si>
    <t>x</t>
  </si>
  <si>
    <t>y</t>
  </si>
  <si>
    <t>Threshold</t>
  </si>
  <si>
    <t>Current Model</t>
  </si>
  <si>
    <t>No Pred Power</t>
  </si>
  <si>
    <t>Perfect</t>
  </si>
  <si>
    <t>The more severe the claims, the lower the discrimination threshold should be because</t>
  </si>
  <si>
    <t>the benefit of identifying fraudulent claims will outweigh the cost of investigating the</t>
  </si>
  <si>
    <t>false positives (predicted fraud when no fraud actually occurred).</t>
  </si>
  <si>
    <t>Sprinklered property, AOI = 200,000, Occupancy Class 2</t>
  </si>
  <si>
    <t>Non-Sprinklered property, AOI = 200,000, Occupancy Class 2</t>
  </si>
  <si>
    <t>When we rebase the model, the predicted value does not change, just the coefficients.</t>
  </si>
  <si>
    <t>By rebasing to AOI = 200,000 we have a ln (AOI / 200,000) term in the model.</t>
  </si>
  <si>
    <t>This is 0 when the AOI  equals 200,000</t>
  </si>
  <si>
    <t>We can equate predictions to determine the new model coefficients.</t>
  </si>
  <si>
    <t xml:space="preserve">It's easiest to use the Non-Sprinklered property found in part (a) above and to ignore </t>
  </si>
  <si>
    <t>the exponential as it is on both sides.</t>
  </si>
  <si>
    <t>We have</t>
  </si>
  <si>
    <t>(initial model terms) = (new coefficient + unchanged occupancy class + no contribution from AOI)</t>
  </si>
  <si>
    <t>b is the rebased intercept term</t>
  </si>
  <si>
    <t>Solving for b yields</t>
  </si>
  <si>
    <t>The transformed intercept is indicated at the base case</t>
  </si>
  <si>
    <t xml:space="preserve">• The intercept now represents all variables at their base case, making the model easier </t>
  </si>
  <si>
    <t xml:space="preserve">   to interpret as now it's the average frequency at base levels.</t>
  </si>
  <si>
    <t>Sign of the Interacted Variable</t>
  </si>
  <si>
    <t>• When a variable isn't centered on its base level the coefficient of an interaction term</t>
  </si>
  <si>
    <t xml:space="preserve">   may have the opposite sign to what is intuitively expected. By rebasing, we make the</t>
  </si>
  <si>
    <t xml:space="preserve">   model easier to interpret relative to our intuition.</t>
  </si>
  <si>
    <t>Loss Elimination Ratio (LER) =  E[X; 100,000] / E[X]</t>
  </si>
  <si>
    <t>Using the formulas on the Formula Sheet we calculate</t>
  </si>
  <si>
    <t xml:space="preserve">LER = </t>
  </si>
  <si>
    <t>This yields the expected ultimate limited loss before modification</t>
  </si>
  <si>
    <t>as</t>
  </si>
  <si>
    <t xml:space="preserve">Now de-trend and de-develop back to the years in the </t>
  </si>
  <si>
    <t>experience period.</t>
  </si>
  <si>
    <t>The effective date is 1/1/20, since we lag the experience period</t>
  </si>
  <si>
    <t>by 1 year, the years in the period are 2018, 2017, and 2016</t>
  </si>
  <si>
    <t>PY</t>
  </si>
  <si>
    <t>Limited</t>
  </si>
  <si>
    <t>Expected</t>
  </si>
  <si>
    <t>Detrend</t>
  </si>
  <si>
    <t>De-Develop</t>
  </si>
  <si>
    <t>Reported</t>
  </si>
  <si>
    <t>Note: The average future accident date is 7/1/20, so the trend length</t>
  </si>
  <si>
    <t>is 2 years for 2018.</t>
  </si>
  <si>
    <t>Limited Reported Losses</t>
  </si>
  <si>
    <t>Excess of cap</t>
  </si>
  <si>
    <t>Total Capped</t>
  </si>
  <si>
    <t>Experience Mod = (Actual / Expected) * Z + (1 - Z)*1</t>
  </si>
  <si>
    <t>Total modified ground up unlimited loss =</t>
  </si>
  <si>
    <t>Experience Mod * Expected ultimate unlimited loss</t>
  </si>
  <si>
    <t>• This approach gives equal weight to all years of experience</t>
  </si>
  <si>
    <t xml:space="preserve">    while the method used in parts (a) and (b) gives more weight</t>
  </si>
  <si>
    <t xml:space="preserve">    to the older years.</t>
  </si>
  <si>
    <t>From part (b) the experience modified expected unlimited</t>
  </si>
  <si>
    <r>
      <t xml:space="preserve">This corresponds to Expected Loss Group </t>
    </r>
    <r>
      <rPr>
        <b/>
        <sz val="11"/>
        <color theme="1"/>
        <rFont val="Calibri"/>
        <family val="2"/>
        <scheme val="minor"/>
      </rPr>
      <t>28</t>
    </r>
  </si>
  <si>
    <t>Now compute the entry ratios for the reinsurer's layer.</t>
  </si>
  <si>
    <t>At the lower bound the entry ratio is 2 million / part (b)</t>
  </si>
  <si>
    <t>Calculate the loss expected to be ceded to the reinsurer under this treaty. Round to the nearest entry ratio</t>
  </si>
  <si>
    <t>At the upper bound the entry ratio is 4 million / part (b)</t>
  </si>
  <si>
    <t>Since there's only a per-occurrence cap, this is a Table M</t>
  </si>
  <si>
    <t>entry ratio, i.e. Unlimited Actual Loss / Expected Unlimited Loss</t>
  </si>
  <si>
    <r>
      <t xml:space="preserve">which rounds to </t>
    </r>
    <r>
      <rPr>
        <b/>
        <sz val="11"/>
        <color theme="1"/>
        <rFont val="Calibri"/>
        <family val="2"/>
        <scheme val="minor"/>
      </rPr>
      <t>1.75</t>
    </r>
  </si>
  <si>
    <r>
      <t xml:space="preserve">which rounds to </t>
    </r>
    <r>
      <rPr>
        <b/>
        <sz val="11"/>
        <color theme="1"/>
        <rFont val="Calibri"/>
        <family val="2"/>
        <scheme val="minor"/>
      </rPr>
      <t>3.50</t>
    </r>
  </si>
  <si>
    <t>Looking these values up in the given table yields</t>
  </si>
  <si>
    <t>φ(1.75) = 0.1131</t>
  </si>
  <si>
    <t>φ(3.50) = 0.0148</t>
  </si>
  <si>
    <t>Hence, the loss in reinsurer layer is</t>
  </si>
  <si>
    <t>(φ(1.75) - φ(3.50))* (part (b))</t>
  </si>
  <si>
    <t>The difference between the premium charged for the layer</t>
  </si>
  <si>
    <t>The primary insurer must load this for profit and variable expenses</t>
  </si>
  <si>
    <t>and add it to the guaranteed cost premium found in part (d).</t>
  </si>
  <si>
    <t>Hence, the new premium is</t>
  </si>
  <si>
    <t>• The choice of a Pareto distribution may not be appropriate</t>
  </si>
  <si>
    <t xml:space="preserve">   as it heavily influences the tail of the distribution. This could</t>
  </si>
  <si>
    <t xml:space="preserve">   make the insurance charges either under or overstate premiums,</t>
  </si>
  <si>
    <t xml:space="preserve">   making them inequitable.</t>
  </si>
  <si>
    <t xml:space="preserve">• The calculation in part (f) also doesn't account for the </t>
  </si>
  <si>
    <t xml:space="preserve">   primary insurer transferring a large part of its uncertain risk</t>
  </si>
  <si>
    <t xml:space="preserve">   to the reinsurer. The primary insurer could lower its profit</t>
  </si>
  <si>
    <t xml:space="preserve">   or risk load to compensate and make premiums equitable.</t>
  </si>
  <si>
    <t>ILF(500,000) = 156,250 / 58,750 =</t>
  </si>
  <si>
    <t xml:space="preserve">ILF(1,000,000) = 218,750 / 58,750 = </t>
  </si>
  <si>
    <t>Expected Losses = Expected Basic Limit Indemnity * (ILF (1m) - ILF (500k))</t>
  </si>
  <si>
    <t>Premium = [Expected Losses *(1 + ALAE%)*(1 + ULAE%) ] / [1 - Var. Exp. - Profit %]</t>
  </si>
  <si>
    <t>High VHM means there is significant variance between risks within the class, this</t>
  </si>
  <si>
    <t>causes the credibility of the experience rating to increase, making experience rating</t>
  </si>
  <si>
    <t>more useful.</t>
  </si>
  <si>
    <t>High EVPV means there is a lot of volatility in loss experience that isn't explained</t>
  </si>
  <si>
    <t>by differences between risks in the class. This causes the credibility of the experience</t>
  </si>
  <si>
    <t>rating to decrease, making it less useful.</t>
  </si>
  <si>
    <r>
      <t xml:space="preserve">Hence experience rating is most useful for Class </t>
    </r>
    <r>
      <rPr>
        <b/>
        <sz val="11"/>
        <color theme="1"/>
        <rFont val="Calibri"/>
        <family val="2"/>
        <scheme val="minor"/>
      </rPr>
      <t>B</t>
    </r>
    <r>
      <rPr>
        <sz val="11"/>
        <color theme="1"/>
        <rFont val="Calibri"/>
        <family val="2"/>
        <scheme val="minor"/>
      </rPr>
      <t xml:space="preserve"> and least useful for Class </t>
    </r>
    <r>
      <rPr>
        <b/>
        <sz val="11"/>
        <color theme="1"/>
        <rFont val="Calibri"/>
        <family val="2"/>
        <scheme val="minor"/>
      </rPr>
      <t>C</t>
    </r>
    <r>
      <rPr>
        <sz val="11"/>
        <color theme="1"/>
        <rFont val="Calibri"/>
        <family val="2"/>
        <scheme val="minor"/>
      </rPr>
      <t>.</t>
    </r>
  </si>
  <si>
    <t>Line of business 1 has an increasing standard loss ratio. This indicates the experience</t>
  </si>
  <si>
    <t>rating is identify differences between risks. Since there is no experience plan currently</t>
  </si>
  <si>
    <t>in place, and the standard loss ratio of the proposal is flatter than the experience modifications proposed,</t>
  </si>
  <si>
    <t>this suggests the model is also correcting for differences between risks.</t>
  </si>
  <si>
    <t>Therefore, I would implement the proposal.</t>
  </si>
  <si>
    <t>Not enough credibility is given to the actual experience because the standard loss ratios</t>
  </si>
  <si>
    <t>are increasing. Increase the credibility given to actual experience.</t>
  </si>
  <si>
    <t>Do not use the proposed plan for line of business 2. The proposed standard loss ratios</t>
  </si>
  <si>
    <t>are steeper than the current ones and the flatter the ratio the better the plan.</t>
  </si>
  <si>
    <t>Also, the current plan has a lower efficiency test statistic than the proposed plan,</t>
  </si>
  <si>
    <t>which indicates the current plan performs better.</t>
  </si>
  <si>
    <t>Here, Z = 0.75, A = 37,100 and E = 32,000.</t>
  </si>
  <si>
    <t>So X =</t>
  </si>
  <si>
    <t>The standard loss ratio for risk 3 is its manual loss ratio divided by its experience mod.</t>
  </si>
  <si>
    <t>i.e. = 0.96 / 1.1195 = 0.8575.</t>
  </si>
  <si>
    <t>If the experience rating plan is good, it should be close to the other standard loss ratios,</t>
  </si>
  <si>
    <t xml:space="preserve">i.e. near 1.00. Since it is materially lower, too much credibility is being placed on the </t>
  </si>
  <si>
    <t>actual experience. Lower the credibility to improve the effectiveness for risk 3.</t>
  </si>
  <si>
    <t>The new experience mod for Risk 3 is then</t>
  </si>
  <si>
    <t>X = 0.25 * (37,100 / 32,000) + (1 - 0.25)*1</t>
  </si>
  <si>
    <t>I choose to place 25% credibility on the actual experience for risk 3.</t>
  </si>
  <si>
    <t>Then the new standard loss ratio is 0.96 / 1.040 = 0.923</t>
  </si>
  <si>
    <t>To compare the old and new plans I will use the efficiency test statistic</t>
  </si>
  <si>
    <t>Old Plan</t>
  </si>
  <si>
    <t>Manual LR</t>
  </si>
  <si>
    <t>Standard LR</t>
  </si>
  <si>
    <t>Efficiency Test = sample variance of Standard LR / sample variance of Manual LR</t>
  </si>
  <si>
    <t>Efficiency:</t>
  </si>
  <si>
    <t>New Plan</t>
  </si>
  <si>
    <t>&lt;- Sample variances</t>
  </si>
  <si>
    <t>Since the new plan has a lower efficiency statistic than the old plan, it is an improvement.</t>
  </si>
  <si>
    <t>Note we assume no other risks are impacted by this recommendation.</t>
  </si>
  <si>
    <t>Subset B has a significantly different loss distribution than Subset A even though</t>
  </si>
  <si>
    <t>they have the same expected loss. The variance of B is greater than that of A which</t>
  </si>
  <si>
    <t>means B should have a higher insurance charge than A for the same entry ratio.</t>
  </si>
  <si>
    <t>Combining A and B to create one table will underprice B and overprice A.</t>
  </si>
  <si>
    <t>φ(x) = average amount above x divided by the expected amount.</t>
  </si>
  <si>
    <t>(i)</t>
  </si>
  <si>
    <t>The expected loss for subset B is (10,000 * 6 + 40,000 * 3 + 80,000 * 1) / 10 = 26,000</t>
  </si>
  <si>
    <t>φ(10,000) = [ (1 * (80,000 - 10,0000) + 3 * (40,000 - 10,000) )/10 ] / 26,000</t>
  </si>
  <si>
    <t>(ii)</t>
  </si>
  <si>
    <t>φ(40,000) = [ (1 * (80,000 - 40,0000) )/10 ] / 26,000</t>
  </si>
  <si>
    <t>(iii)</t>
  </si>
  <si>
    <t>φ(80,000) = 0 as no claims exceed 80,000</t>
  </si>
  <si>
    <t>1.) Does the different line of business have the same expected risk size?</t>
  </si>
  <si>
    <t>2.) The Table M calculated in part (b) only uses 10 risks so likely is not credible.</t>
  </si>
  <si>
    <t>Let S be the aggregate loss variable. Then</t>
  </si>
  <si>
    <t xml:space="preserve">Use the formula sheet and given information to find the parameters of the shifted </t>
  </si>
  <si>
    <t>Pareto distribution.</t>
  </si>
  <si>
    <t>Substitute the second equation into the first to get</t>
  </si>
  <si>
    <r>
      <t xml:space="preserve">So </t>
    </r>
    <r>
      <rPr>
        <sz val="11"/>
        <color theme="1"/>
        <rFont val="Calibri"/>
        <family val="2"/>
      </rPr>
      <t>α = 1.5</t>
    </r>
  </si>
  <si>
    <r>
      <t xml:space="preserve">Then </t>
    </r>
    <r>
      <rPr>
        <sz val="11"/>
        <color theme="1"/>
        <rFont val="Calibri"/>
        <family val="2"/>
      </rPr>
      <t>β = 3000(α - 1) = 1,500</t>
    </r>
  </si>
  <si>
    <t>Next, E[N] = 0.5 * 0 + 0.5 * ( 0.7 * 1 + 0.2 * 2 + 0.1 * 5) = 0.9</t>
  </si>
  <si>
    <t>Lastly, plug the above into the equation for E[S] to get</t>
  </si>
  <si>
    <t>Excess losses are usually sparse and may not be sufficiently credible to consistently</t>
  </si>
  <si>
    <t>fit a distribution without having some jump discontinuities.</t>
  </si>
  <si>
    <t>Here, e = 20,000 and c = 1.07 and E[A] = $825,000</t>
  </si>
  <si>
    <t>I is the net insurance charge,</t>
  </si>
  <si>
    <r>
      <t xml:space="preserve">So </t>
    </r>
    <r>
      <rPr>
        <sz val="11"/>
        <color theme="1"/>
        <rFont val="Calibri"/>
        <family val="2"/>
      </rPr>
      <t>ψ(0.5) = 0.8 + 0.5 - 1 = 0.3</t>
    </r>
  </si>
  <si>
    <t>Thus, I = (0.4 - 0.3) * 825,000 = 82,500</t>
  </si>
  <si>
    <t>Putting this all together yields the basic premium as</t>
  </si>
  <si>
    <t>B = 20,000 - 0.07 * 825,000 + 1.07 * 82,500</t>
  </si>
  <si>
    <t>• There is an overlap between the per-occurrence limit and the aggregate limit set</t>
  </si>
  <si>
    <t>by the maximum premium, so it is not appropriate to load the full amount of</t>
  </si>
  <si>
    <t>$400,000 into the premium. This results in overpricing.</t>
  </si>
  <si>
    <t>• The actuary should use a limited Table M or a Table L instead.</t>
  </si>
  <si>
    <t>From the formula sheet, the excess severity function is</t>
  </si>
  <si>
    <t>We equate this with the fitted regression line to</t>
  </si>
  <si>
    <t>determine the shifted Pareto parameters.</t>
  </si>
  <si>
    <r>
      <t xml:space="preserve">16,112 = </t>
    </r>
    <r>
      <rPr>
        <sz val="11"/>
        <color theme="1"/>
        <rFont val="Calibri"/>
        <family val="2"/>
      </rPr>
      <t>β / (α - 1)</t>
    </r>
  </si>
  <si>
    <t>0.4467 = 1 / (α - 1)</t>
  </si>
  <si>
    <t>So α = 3.24 and β = 36,069</t>
  </si>
  <si>
    <t>Then the unlimited expected severity is E[A] = 16,112</t>
  </si>
  <si>
    <r>
      <t>The expected severity limited to 20,000 is E[A</t>
    </r>
    <r>
      <rPr>
        <vertAlign val="subscript"/>
        <sz val="11"/>
        <color theme="1"/>
        <rFont val="Calibri"/>
        <family val="2"/>
        <scheme val="minor"/>
      </rPr>
      <t>D</t>
    </r>
    <r>
      <rPr>
        <sz val="11"/>
        <color theme="1"/>
        <rFont val="Calibri"/>
        <family val="2"/>
        <scheme val="minor"/>
      </rPr>
      <t>] = 10,108 by the formula sheet.</t>
    </r>
  </si>
  <si>
    <t>So the expected excess severity is 16,112 - 10,108 = 6,004</t>
  </si>
  <si>
    <t>Multiply this by the expected number of claims which is E[N] = 15.</t>
  </si>
  <si>
    <t>So the expected aggregate excess is 15 * 6,004 = 90,060</t>
  </si>
  <si>
    <t>Then the basic premium = fixed expenses + (expected excess)*(1 + LAE % + UW Profit %)</t>
  </si>
  <si>
    <t>The expected limited loss is the expected limited severity multiplied by the expected claim count.</t>
  </si>
  <si>
    <t>Using the result in part (a) this is 15 * 10,108 = 151,620</t>
  </si>
  <si>
    <t>Actual loss</t>
  </si>
  <si>
    <t>Plug into the retrospective rating formula</t>
  </si>
  <si>
    <t>Here L = 75,810 and B = 154,469.60 and c = 1.1</t>
  </si>
  <si>
    <t>T is the tax multiplier, it equals 1 / (1 - 9% - 8%)</t>
  </si>
  <si>
    <t>So the retrospective premium is</t>
  </si>
  <si>
    <r>
      <t>The R</t>
    </r>
    <r>
      <rPr>
        <vertAlign val="superscript"/>
        <sz val="11"/>
        <color theme="1"/>
        <rFont val="Calibri"/>
        <family val="2"/>
        <scheme val="minor"/>
      </rPr>
      <t>2</t>
    </r>
    <r>
      <rPr>
        <sz val="11"/>
        <color theme="1"/>
        <rFont val="Calibri"/>
        <family val="2"/>
        <scheme val="minor"/>
      </rPr>
      <t xml:space="preserve"> value is high and the fitted line is close to the observed values indicating a good fit.</t>
    </r>
  </si>
  <si>
    <t>The regression line is linear and upward sloping which matches the usual shape of a</t>
  </si>
  <si>
    <t>Pareto excess severity distribution.</t>
  </si>
  <si>
    <t>Note the slope of the regression line is sensitive to the size of the largest claims so</t>
  </si>
  <si>
    <t>minor variations in the largest claims could significantly change the distribution parameters.</t>
  </si>
  <si>
    <t>The entry ratio for a limited Table M is the actual limited loss / expected limited loss.</t>
  </si>
  <si>
    <t>For the expected limited loss, use the average over all risks</t>
  </si>
  <si>
    <t>Limited Table M</t>
  </si>
  <si>
    <t># Risks</t>
  </si>
  <si>
    <t># Risks Over</t>
  </si>
  <si>
    <t>% Risks Over</t>
  </si>
  <si>
    <t>Make sure you add rows that correspond to observed entry ratios.</t>
  </si>
  <si>
    <t>φ(r)</t>
  </si>
  <si>
    <t>2.) Advantage: Lower cost compared to GCP since the insured is responsible for losses below the deductible</t>
  </si>
  <si>
    <t xml:space="preserve">      Disadvantage: Potential to pay a lot if there are a lot of claims below the deductible.</t>
  </si>
  <si>
    <t>3.) Advantage: The reduced severity from their program will likely lead to lower actual losses which</t>
  </si>
  <si>
    <t xml:space="preserve">     will decrease premiums.</t>
  </si>
  <si>
    <t xml:space="preserve">     Disadvantage: Potential to pay a lot if their loss experience is poor.</t>
  </si>
  <si>
    <t xml:space="preserve">1.) Advantage: Stable premium known at policy inception. </t>
  </si>
  <si>
    <t xml:space="preserve">      Disadvantage: No reduction in premium for good experience.</t>
  </si>
  <si>
    <t>Calculate the experience modification factor for a policy that has had at least one</t>
  </si>
  <si>
    <t>Calculate the expected ground up reported loss limited to $100,000 per claim for this insured for the three</t>
  </si>
  <si>
    <t xml:space="preserve">  3. A retrospectively rated policy with an underlying 200,000 aggregate limit and no</t>
  </si>
  <si>
    <t>2.) Use the Navigator worksheet to see a brief description of each question, its point value and navigate between questions in your preferred order.</t>
  </si>
  <si>
    <r>
      <t xml:space="preserve">7.) Use the </t>
    </r>
    <r>
      <rPr>
        <b/>
        <sz val="11"/>
        <color theme="1"/>
        <rFont val="Calibri"/>
        <family val="2"/>
        <scheme val="minor"/>
      </rPr>
      <t>Point Grid</t>
    </r>
    <r>
      <rPr>
        <sz val="11"/>
        <color theme="1"/>
        <rFont val="Calibri"/>
        <family val="2"/>
        <scheme val="minor"/>
      </rPr>
      <t xml:space="preserve"> to see your score and a breakdown of where you scored well and where you didn't.</t>
    </r>
  </si>
  <si>
    <t>9.) On the BattleActs site → Custom Battles → BattleCards - Prior Exams → Select this exam and mark the cards you got right and wrong.</t>
  </si>
  <si>
    <t xml:space="preserve">      This allows your Battle Readiness Quotient (BRQ) to track your strengths and weaknesses.</t>
  </si>
  <si>
    <r>
      <t xml:space="preserve">10.) Use the </t>
    </r>
    <r>
      <rPr>
        <u/>
        <sz val="11"/>
        <color theme="1"/>
        <rFont val="Calibri"/>
        <family val="2"/>
        <scheme val="minor"/>
      </rPr>
      <t>Reset Exam</t>
    </r>
    <r>
      <rPr>
        <sz val="11"/>
        <color theme="1"/>
        <rFont val="Calibri"/>
        <family val="2"/>
        <scheme val="minor"/>
      </rPr>
      <t xml:space="preserve"> button on the </t>
    </r>
    <r>
      <rPr>
        <b/>
        <sz val="11"/>
        <color theme="1"/>
        <rFont val="Calibri"/>
        <family val="2"/>
        <scheme val="minor"/>
      </rPr>
      <t>Point Grid</t>
    </r>
    <r>
      <rPr>
        <sz val="11"/>
        <color theme="1"/>
        <rFont val="Calibri"/>
        <family val="2"/>
        <scheme val="minor"/>
      </rPr>
      <t xml:space="preserve"> worksheet to clear all of your work ready for a new attempt at this exam later.</t>
    </r>
  </si>
  <si>
    <t>Navigator – Select a question to go to it</t>
  </si>
  <si>
    <t>Question #</t>
  </si>
  <si>
    <t>Q1 -- Couret &amp; Venter -- Multi-Dimensional Credibility -- 2.25 points</t>
  </si>
  <si>
    <t>Q3 -- Bailey &amp; Simon -- Experience Modification -- 1.75 points</t>
  </si>
  <si>
    <t>Q7 -- Bahnemann -- Expected Ground Up Loss  (IQ) -- 7.50 points</t>
  </si>
  <si>
    <t>Q8 -- Bahnemann -- Excess Layer Premium -- 1.50 points</t>
  </si>
  <si>
    <t>Q9 -- Mahler -- When to Use Experience Rating -- 1.00 point</t>
  </si>
  <si>
    <t>Q10 -- Fisher -- Quintiles &amp; Efficiency Tests -- 1.50 points</t>
  </si>
  <si>
    <t>Q11 -- Fisher -- Experience Modification &amp; Efficiency Test -- 3.75 points</t>
  </si>
  <si>
    <t>Q12 -- Fisher -- Table M -- 2.00 points</t>
  </si>
  <si>
    <t>Q13 -- Bahnemann -- Aggregate Loss in Layer -- 2.00 points</t>
  </si>
  <si>
    <t>Q14 -- Fisher -- Retrospective Rating -- 2.00 points</t>
  </si>
  <si>
    <t>Q15 -- Bahnemann -- Excess Severity -- 3.50 points</t>
  </si>
  <si>
    <t>Q16 -- Fisher -- Limited Table M -- 3.00 points</t>
  </si>
  <si>
    <t>Passing Score:</t>
  </si>
  <si>
    <t>Navigator</t>
  </si>
  <si>
    <t>Formula Sheet</t>
  </si>
  <si>
    <t>2019 Exam 8 Q1</t>
  </si>
  <si>
    <t>2019 Exam 8 Q2</t>
  </si>
  <si>
    <t>Source:</t>
  </si>
  <si>
    <t>2019 Exam 8 Q3</t>
  </si>
  <si>
    <t>2019 Exam 8 Q5</t>
  </si>
  <si>
    <t>2019 Exam 8 Q6</t>
  </si>
  <si>
    <t>2019 Exam 8 Q7</t>
  </si>
  <si>
    <t>2019 Exam 8 Q8</t>
  </si>
  <si>
    <t>2019 Exam 8 Q9</t>
  </si>
  <si>
    <t>2019 Exam 8 Q10</t>
  </si>
  <si>
    <t>2019 Exam 8 Q11</t>
  </si>
  <si>
    <t>2019 Exam 8 Q12</t>
  </si>
  <si>
    <t>2019 Exam 8 Q13</t>
  </si>
  <si>
    <t>2019 Exam 8 Q14</t>
  </si>
  <si>
    <t>2019 Exam 8 Q15</t>
  </si>
  <si>
    <t>2019 Exam 8 Q16</t>
  </si>
  <si>
    <t>2015 Exam S Q32 - revised</t>
  </si>
  <si>
    <t>A GLM is used to model claim size. You are given the following information about</t>
  </si>
  <si>
    <t>the model:</t>
  </si>
  <si>
    <t>• Claim size follows a Gamma distribution.</t>
  </si>
  <si>
    <t>• The log link function is used.</t>
  </si>
  <si>
    <t>Model Output:</t>
  </si>
  <si>
    <t>Variable</t>
  </si>
  <si>
    <t>Location - Rural</t>
  </si>
  <si>
    <t>Gender - Male</t>
  </si>
  <si>
    <t>a.)</t>
  </si>
  <si>
    <t>For a gamma distribution, V(u) = u^2</t>
  </si>
  <si>
    <t>ln(u) =</t>
  </si>
  <si>
    <t>u =</t>
  </si>
  <si>
    <t>Variance for rural male</t>
  </si>
  <si>
    <t>p-value</t>
  </si>
  <si>
    <r>
      <t xml:space="preserve">• The model contains three variables, </t>
    </r>
    <r>
      <rPr>
        <i/>
        <sz val="11"/>
        <color theme="1"/>
        <rFont val="Calibri"/>
        <family val="2"/>
        <scheme val="minor"/>
      </rPr>
      <t>Location</t>
    </r>
    <r>
      <rPr>
        <sz val="11"/>
        <color theme="1"/>
        <rFont val="Calibri"/>
        <family val="2"/>
        <scheme val="minor"/>
      </rPr>
      <t xml:space="preserve">, </t>
    </r>
    <r>
      <rPr>
        <i/>
        <sz val="11"/>
        <color theme="1"/>
        <rFont val="Calibri"/>
        <family val="2"/>
        <scheme val="minor"/>
      </rPr>
      <t>Gender</t>
    </r>
    <r>
      <rPr>
        <sz val="11"/>
        <color theme="1"/>
        <rFont val="Calibri"/>
        <family val="2"/>
        <scheme val="minor"/>
      </rPr>
      <t>, and</t>
    </r>
    <r>
      <rPr>
        <i/>
        <sz val="11"/>
        <color theme="1"/>
        <rFont val="Calibri"/>
        <family val="2"/>
        <scheme val="minor"/>
      </rPr>
      <t xml:space="preserve"> Vehicle Type</t>
    </r>
    <r>
      <rPr>
        <sz val="11"/>
        <color theme="1"/>
        <rFont val="Calibri"/>
        <family val="2"/>
        <scheme val="minor"/>
      </rPr>
      <t>.</t>
    </r>
  </si>
  <si>
    <r>
      <t xml:space="preserve">• </t>
    </r>
    <r>
      <rPr>
        <i/>
        <sz val="11"/>
        <color theme="1"/>
        <rFont val="Calibri"/>
        <family val="2"/>
        <scheme val="minor"/>
      </rPr>
      <t>Location</t>
    </r>
    <r>
      <rPr>
        <sz val="11"/>
        <color theme="1"/>
        <rFont val="Calibri"/>
        <family val="2"/>
        <scheme val="minor"/>
      </rPr>
      <t xml:space="preserve"> and </t>
    </r>
    <r>
      <rPr>
        <i/>
        <sz val="11"/>
        <color theme="1"/>
        <rFont val="Calibri"/>
        <family val="2"/>
        <scheme val="minor"/>
      </rPr>
      <t>Gender</t>
    </r>
    <r>
      <rPr>
        <sz val="11"/>
        <color theme="1"/>
        <rFont val="Calibri"/>
        <family val="2"/>
        <scheme val="minor"/>
      </rPr>
      <t xml:space="preserve"> have two levels each. </t>
    </r>
    <r>
      <rPr>
        <i/>
        <sz val="11"/>
        <color theme="1"/>
        <rFont val="Calibri"/>
        <family val="2"/>
        <scheme val="minor"/>
      </rPr>
      <t>Vehicle Type</t>
    </r>
    <r>
      <rPr>
        <sz val="11"/>
        <color theme="1"/>
        <rFont val="Calibri"/>
        <family val="2"/>
        <scheme val="minor"/>
      </rPr>
      <t xml:space="preserve"> has three levels.</t>
    </r>
  </si>
  <si>
    <t>Vehicle Type - Van</t>
  </si>
  <si>
    <t>Vehicle Type - Truck</t>
  </si>
  <si>
    <t xml:space="preserve">Calculate the variance of the predicted claim size for a rural male with vehicle type = Truck </t>
  </si>
  <si>
    <t>given the associated weight is 0.4.</t>
  </si>
  <si>
    <t>Rural male with vehicle type - truck = u</t>
  </si>
  <si>
    <t>Estimated dispersion parameter:</t>
  </si>
  <si>
    <t>The actuary chose p = 0.05 for their significance level.</t>
  </si>
  <si>
    <t>b.)</t>
  </si>
  <si>
    <t xml:space="preserve">The vehicle type - van p-value is greater than 0.05. The actuary can likely improve the model </t>
  </si>
  <si>
    <t>by grouping vans with the base level for vehicle type.</t>
  </si>
  <si>
    <t>Alternatively, since the p-value for vehicle type - truck is also large, albeit below the threshold,</t>
  </si>
  <si>
    <t>the actuary could remove the Vehicle Type variable from the model.</t>
  </si>
  <si>
    <t>Identify two ways the actuary could improve the model and briefly explain your reasoning.</t>
  </si>
  <si>
    <t>Briefly describe how the actuary could objectively assess which model has better performance.</t>
  </si>
  <si>
    <t>c.)</t>
  </si>
  <si>
    <t>The actuary can compute the AIC and/or BIC statistics for each model. The model with the lower statistic</t>
  </si>
  <si>
    <t>has the best performance. They could also perform an F-test because in this case the models are nested.</t>
  </si>
  <si>
    <t>2011 Exam 8 Q17</t>
  </si>
  <si>
    <t>Let X represent the size of loss of a given claim.</t>
  </si>
  <si>
    <t>Assume the following average severities for varying claim size ranges:</t>
  </si>
  <si>
    <t>Size of Loss Range</t>
  </si>
  <si>
    <t>Average Size</t>
  </si>
  <si>
    <t>of Loss</t>
  </si>
  <si>
    <r>
      <t xml:space="preserve">$500 &lt; X </t>
    </r>
    <r>
      <rPr>
        <sz val="11"/>
        <color theme="1"/>
        <rFont val="Calibri"/>
        <family val="2"/>
      </rPr>
      <t>≤ $1,000</t>
    </r>
  </si>
  <si>
    <r>
      <t xml:space="preserve">X </t>
    </r>
    <r>
      <rPr>
        <sz val="11"/>
        <color theme="1"/>
        <rFont val="Calibri"/>
        <family val="2"/>
      </rPr>
      <t>≤ $500</t>
    </r>
  </si>
  <si>
    <t>X &gt; $1,000</t>
  </si>
  <si>
    <t>The following information is also available:</t>
  </si>
  <si>
    <t>Total number of claims in study</t>
  </si>
  <si>
    <t>Overall average claim size</t>
  </si>
  <si>
    <t>Loss elimination ratio for a $500 straight deductible</t>
  </si>
  <si>
    <t>Calculate the loss elimination ratio for a straight deductible of $1,000.</t>
  </si>
  <si>
    <t>The loss elimination ratio for a deductible is E[A_D] / E[A]</t>
  </si>
  <si>
    <t>We have E[A] =</t>
  </si>
  <si>
    <t>Then, under a $500 straight deductible (D = $500) we have</t>
  </si>
  <si>
    <t>0.4 = E[A_D] / $325,000</t>
  </si>
  <si>
    <t>So E[A_D] =</t>
  </si>
  <si>
    <t>Let A, B, and C denote the number of claims for the size of loss ranges.</t>
  </si>
  <si>
    <t>We also have A+B+C = 500</t>
  </si>
  <si>
    <t>So E[A_D] = A*(Average size of loss for A) + 500*(B+C)</t>
  </si>
  <si>
    <t>B+C = 500 - A</t>
  </si>
  <si>
    <t>Which gives E[A_D] = A * 250 + 500 *(500 - A)</t>
  </si>
  <si>
    <t>Solving for A yields</t>
  </si>
  <si>
    <t>A =</t>
  </si>
  <si>
    <t>A $1,000 straight deductible eliminates A + B losses and $1,000 from C losses.</t>
  </si>
  <si>
    <t>We also know E[A] = A*(Average size of loss for A) + B*(Average size of loss for B) + C*(Average size of loss for C)</t>
  </si>
  <si>
    <t>Substituting back into B + C = 500 - A gives</t>
  </si>
  <si>
    <t>C = 500 - 350 - B = 150 - B</t>
  </si>
  <si>
    <t>So 325,000 = 350*250 + B*750 + (150-B) * 2000</t>
  </si>
  <si>
    <t>Solving for B yields</t>
  </si>
  <si>
    <t xml:space="preserve">B = </t>
  </si>
  <si>
    <t>C =</t>
  </si>
  <si>
    <t>We want E[A_D] = A*(Average size of loss for A) + B*(Average size of loss for B) + C*1000</t>
  </si>
  <si>
    <t>This is the total amount of dollars which the insureds are responsible for under their $500 deductible.</t>
  </si>
  <si>
    <t>The $500 deductible eliminates all A claims, and $500 from B+C claims.</t>
  </si>
  <si>
    <t>Under a $1,000 deductible we have</t>
  </si>
  <si>
    <t>E[A_D] =</t>
  </si>
  <si>
    <t>LER =</t>
  </si>
  <si>
    <t>Q17 -- Bahnemann -- Straight Deductibles -- 3.00 points</t>
  </si>
  <si>
    <t>Q4 -- GLM -- Variance -- 3.00 points</t>
  </si>
  <si>
    <t>Q2 -- GLM -- Model Validation -- 2.75 points</t>
  </si>
  <si>
    <t>Q5 -- GLM -- Logistic Models -- 2.75 points</t>
  </si>
  <si>
    <t>Q6 -- GLM -- Interaction Terms --2.00 points</t>
  </si>
  <si>
    <t>Pearson VUE Demo (Exam 8 2021)</t>
  </si>
  <si>
    <t>The following are historical loss ratios for three risks in a class:</t>
  </si>
  <si>
    <t>Year</t>
  </si>
  <si>
    <t>Risk 1</t>
  </si>
  <si>
    <t>Risk 2</t>
  </si>
  <si>
    <t>Risk 3</t>
  </si>
  <si>
    <t>Grand Mean:</t>
  </si>
  <si>
    <t>To estimate 2021 loss ratios for each risk, an actuary gives equal weight to the 3</t>
  </si>
  <si>
    <t xml:space="preserve">most recent years (N = 3), and the grand mean of 57% is used as the complement </t>
  </si>
  <si>
    <t>Calculate the credibility, to the nearest tenth (Z = 0, 0.1, 0.2, etc.), that minimizes</t>
  </si>
  <si>
    <t>the mean squared error of the actuary's prediction.</t>
  </si>
  <si>
    <t>Using the Small Chance of Large Errors Criterion with an error threshold of 5%,</t>
  </si>
  <si>
    <t>determine if the credibility calculated in Part a is the most appropriate.</t>
  </si>
  <si>
    <t>Briefly describe a test that can be used to determine if the recommendation in</t>
  </si>
  <si>
    <t>Part c is reasonable.</t>
  </si>
  <si>
    <t>a)</t>
  </si>
  <si>
    <t>This is best approached iteratively rather than attempting to repeat laying out the calculation many times.</t>
  </si>
  <si>
    <t>Let Z =</t>
  </si>
  <si>
    <t>We need three years of loss ratios to predict the next year. This means we can only make predictions</t>
  </si>
  <si>
    <t>for 2015 onwards.</t>
  </si>
  <si>
    <t>Predictions</t>
  </si>
  <si>
    <t>(weight 1 - Z).</t>
  </si>
  <si>
    <t>Squared Errors</t>
  </si>
  <si>
    <t>mean squared error</t>
  </si>
  <si>
    <t>Z</t>
  </si>
  <si>
    <t>mse</t>
  </si>
  <si>
    <t>mse Z</t>
  </si>
  <si>
    <t>b)</t>
  </si>
  <si>
    <t>Error</t>
  </si>
  <si>
    <t>Proportion</t>
  </si>
  <si>
    <t>The small chance of large errors looks at the absolute value of the prediction less the actual value,</t>
  </si>
  <si>
    <t>Errors</t>
  </si>
  <si>
    <t>as a percent of the actual value. We count the percent of times this exceeds the error threshold.</t>
  </si>
  <si>
    <t>c)</t>
  </si>
  <si>
    <t>Justify which of the above two criteria the actuary should use to determine credibility,</t>
  </si>
  <si>
    <t>and use that credibility to estimate the loss ratio for 2021 for each of the three risks.</t>
  </si>
  <si>
    <t>Version 1 – use Z associated with mse</t>
  </si>
  <si>
    <t>It is not the most appropriate because, for example, Z = 0.9 yields a smaller proportion of errors greater than 5%.</t>
  </si>
  <si>
    <t>Version 2 - use Z = 0.9 associated with small chance of large errors (could also use Z = 1)</t>
  </si>
  <si>
    <t>Recommend the MSE criteria for selecting credibility because:</t>
  </si>
  <si>
    <t>1. The MSE approach likely gives more stable estimates as it puts more weight on the grand mean.</t>
  </si>
  <si>
    <t xml:space="preserve">2. Changing the error threshold in the small chance of large errors approach may change your recommended credibility. </t>
  </si>
  <si>
    <t>The mse method doesn't do this.</t>
  </si>
  <si>
    <t xml:space="preserve">It places greater weight on the most recent 3 years as opposed to the grand mean. </t>
  </si>
  <si>
    <t>This indicates years that are closer together may be more correlated.</t>
  </si>
  <si>
    <t>Recommend the small chance of large errors for selecting credibility because:</t>
  </si>
  <si>
    <t>d)</t>
  </si>
  <si>
    <t>Small chance of large errors: Test for shifting parameters over time using a chi-squared test or look for correlations between</t>
  </si>
  <si>
    <t>pairs of years.</t>
  </si>
  <si>
    <t xml:space="preserve">MSE: Use a chi-squared test or correlation of pairs test to see if more recent years are more strongly correlated. </t>
  </si>
  <si>
    <t>If not, MSE may be the best criteria.</t>
  </si>
  <si>
    <t>Q19 -- Mahler -- MSE &amp; Small Chance of Large Errors -- 3.50 points</t>
  </si>
  <si>
    <t>2016 Exam S Q35 &amp; Q37</t>
  </si>
  <si>
    <t>You are given the following information about three candidates for a Poisson frequency GLM</t>
  </si>
  <si>
    <t>on a group of condominium policies:</t>
  </si>
  <si>
    <t>Model</t>
  </si>
  <si>
    <t>Log-likelihood</t>
  </si>
  <si>
    <t>AIC</t>
  </si>
  <si>
    <t>BIC</t>
  </si>
  <si>
    <t>• Condominium policies are located in several regions.</t>
  </si>
  <si>
    <t>• Insureds are from one of five Risk Classes: A, B, C, D, and E.</t>
  </si>
  <si>
    <t>• Claim Indicator is either Yes or No.</t>
  </si>
  <si>
    <t>Calculate the absolute difference between the AIC and BIC for Model 2.</t>
  </si>
  <si>
    <t>Determine which of the following GLM selection considerations is true</t>
  </si>
  <si>
    <t>iii.) The model with the largest deviance is always the best model in the model selection process.</t>
  </si>
  <si>
    <t xml:space="preserve">iv.) Other things equal, when the number of observations &gt; 1,000, AIC penalizes more for the number </t>
  </si>
  <si>
    <t xml:space="preserve">v.) Other things equal, when the number of observations &gt; 1,000, BIC penalizes more for the number </t>
  </si>
  <si>
    <t>of parameters used in the model than AIC.</t>
  </si>
  <si>
    <t>of parameters used in the model than BIC.</t>
  </si>
  <si>
    <t>i.)   The model with the largest AIC is always the best model in the model selection process.</t>
  </si>
  <si>
    <t>ii.)  The model with the largest BIC is always the best model in the model selection process.</t>
  </si>
  <si>
    <t>CAS Hybrid Exam 8</t>
  </si>
  <si>
    <t>AIC = -2 * log-likelihood + 2p</t>
  </si>
  <si>
    <t>BIC = -2 * log-likelihood + p * ln (n)</t>
  </si>
  <si>
    <t># Parameters</t>
  </si>
  <si>
    <t>• All models are built on the same data.</t>
  </si>
  <si>
    <t>Claim indicator is binary so has one parameter.</t>
  </si>
  <si>
    <t>So Model 2 (Risk Class + Region) must have 10 - 1 = 9 parameters</t>
  </si>
  <si>
    <t>Risk Class + Intercept</t>
  </si>
  <si>
    <t>Risk Class + Region + Intercept</t>
  </si>
  <si>
    <t>Risk Class + Region + Claim Indicator + Intercept</t>
  </si>
  <si>
    <t>Variables</t>
  </si>
  <si>
    <t>There are five risk classes so we need four parameters to encode them. Adding the intercept means</t>
  </si>
  <si>
    <t>Model 1 has 5 parameters in total.</t>
  </si>
  <si>
    <t>Since Model 1 has 5 parameters there are four parameters for the regions.</t>
  </si>
  <si>
    <t>Model 2 AIC =</t>
  </si>
  <si>
    <t>We now use the BIC for Model 1 to calculate the number of records, n.</t>
  </si>
  <si>
    <t>ln(n) =</t>
  </si>
  <si>
    <t>n =</t>
  </si>
  <si>
    <t>Now we can calculate the BIC for Model 2</t>
  </si>
  <si>
    <t>Model 2 BIC =</t>
  </si>
  <si>
    <t>Identify which of the three models performs best according to the BIC statistic and briefly explain why.</t>
  </si>
  <si>
    <t>So the absolute difference between the AIC and BIC statistics for Model 2 is</t>
  </si>
  <si>
    <t>We need the BIC statistic for Model 3.</t>
  </si>
  <si>
    <t>Model 3 BIC =</t>
  </si>
  <si>
    <t>Model 3 performs the best because it has the lowest BIC statistic.</t>
  </si>
  <si>
    <t>iii.) False: smaller values are better.</t>
  </si>
  <si>
    <t>iv.) False: the AIC penalty is only 2p which is smaller than p*ln(n) when n &gt; 1,000</t>
  </si>
  <si>
    <t>ii.)  False: smaller values are better.</t>
  </si>
  <si>
    <t>v.)  True: the BIC penalty is p*ln(n) which is larger than 2p when n &gt; 1,000</t>
  </si>
  <si>
    <t>Q18 -- GLM -- AIC and BIC -- 2.75 points</t>
  </si>
  <si>
    <t>i.)   False: smaller values are better.</t>
  </si>
  <si>
    <t>Holmes &amp; Casotto Text</t>
  </si>
  <si>
    <t>Alice-the-Actuary is helping Ian-the-Intern evaluate the appropriateness of a</t>
  </si>
  <si>
    <t xml:space="preserve">lasso credibility model that Ian has built. </t>
  </si>
  <si>
    <t xml:space="preserve">Describe four scenarios where it is appropriate to judgmentally increase the </t>
  </si>
  <si>
    <t>penalty parameter beyond its statistically indicated optimal value.</t>
  </si>
  <si>
    <t>• Mitigate policyholder impacts: If the complement of credibility is derived from the current rating relativities then increasing the penalty parameter produces model output which lies between the current and optimal indicated output.</t>
  </si>
  <si>
    <t>• Factor instability: If certain variables show instability in their relativities across the folds then increasing the penalty parameter provides additional stability such as through smoothing ordinal variable curves.</t>
  </si>
  <si>
    <t>• Volatility: Your modeling data may have been adjusted for trend, developed, or have generic case reserve estimates. These adjustments dampen volatility, making the data seem more credible than it really is. Increasing the penalty parameter reduces the credibility assigned and can reintroduce some volatility.</t>
  </si>
  <si>
    <t>• Experience: Increasing the penalty parameter is permissible if the modeler believes it produces a more actuarially sound model given the available information.</t>
  </si>
  <si>
    <t>Briefly explain why selecting a penalty parameter which is higher than the</t>
  </si>
  <si>
    <t>optimal penalty parameter is considered generally to be actuarial best practice.</t>
  </si>
  <si>
    <t>Selecting a higher estimate for the penalty parameter is more conservative and is similar to the concept of selecting a value "between current and indicated" when using traditional actuarial analyses.</t>
  </si>
  <si>
    <t xml:space="preserve">Ian-the-Intern suggests switching to elastic net regression. </t>
  </si>
  <si>
    <t>Briefly explain why lasso penalization is preferred over elastic net regression</t>
  </si>
  <si>
    <t>for actuarial purposes.</t>
  </si>
  <si>
    <t>Lasso penalization is more responsive to significant coefficients than elastic net regression  because the coefficients grow quicker once they pass the significance threshold.</t>
  </si>
  <si>
    <t>Ian-the-Intern is confused about why we should be using lasso credibility instead</t>
  </si>
  <si>
    <t>of lasso penalized regression or even a GLM.</t>
  </si>
  <si>
    <t>Identify when lasso credibility should outperform a GLM and when it should</t>
  </si>
  <si>
    <t>outperform lasso penalized regression.</t>
  </si>
  <si>
    <t>d.)</t>
  </si>
  <si>
    <t>• Lasso credibility should outperform a GLM when the complement of credibiity pulls the indicated relativities in the correct direction (towards the true relativities)</t>
  </si>
  <si>
    <t>• Lasso credibility should outperform lasso penalized regression when the complement of credibility is more appropriate than the default assumption of 1.000.</t>
  </si>
  <si>
    <t>Q20 -- Holmes -- Appropriateness of Lasso Credibility -- 2.50 points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</si>
</sst>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8" formatCode="&quot;$&quot;#,##0.00_);[Red]\(&quot;$&quot;#,##0.00\)"/>
    <numFmt numFmtId="44" formatCode="_(&quot;$&quot;* #,##0.00_);_(&quot;$&quot;* \(#,##0.00\);_(&quot;$&quot;* &quot;-&quot;??_);_(@_)"/>
    <numFmt numFmtId="164" formatCode="0.0%"/>
    <numFmt numFmtId="165" formatCode="0.000"/>
    <numFmt numFmtId="166" formatCode="0.0000"/>
    <numFmt numFmtId="167" formatCode="[$-409]mmmm\ d\,\ yyyy;@"/>
    <numFmt numFmtId="168" formatCode="0.000000"/>
    <numFmt numFmtId="169" formatCode="_(&quot;$&quot;* #,##0_);_(&quot;$&quot;* \(#,##0\);_(&quot;$&quot;* &quot;-&quot;??_);_(@_)"/>
    <numFmt numFmtId="170" formatCode="&quot;$&quot;#,##0.00"/>
    <numFmt numFmtId="171" formatCode="0.0000000"/>
    <numFmt numFmtId="172" formatCode="#,##0.00000"/>
  </numFmts>
  <fonts count="26"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b/>
      <u/>
      <sz val="12"/>
      <color theme="1"/>
      <name val="Calibri"/>
      <family val="2"/>
      <scheme val="minor"/>
    </font>
    <font>
      <b/>
      <u/>
      <sz val="11"/>
      <color rgb="FFFF0000"/>
      <name val="Calibri"/>
      <family val="2"/>
      <scheme val="minor"/>
    </font>
    <font>
      <b/>
      <sz val="11"/>
      <color rgb="FFFF0000"/>
      <name val="Calibri"/>
      <family val="2"/>
      <scheme val="minor"/>
    </font>
    <font>
      <u/>
      <sz val="11"/>
      <color theme="1"/>
      <name val="Calibri"/>
      <family val="2"/>
      <scheme val="minor"/>
    </font>
    <font>
      <sz val="11"/>
      <color theme="1"/>
      <name val="Calibri"/>
      <family val="2"/>
    </font>
    <font>
      <vertAlign val="subscript"/>
      <sz val="11"/>
      <color theme="1"/>
      <name val="Calibri"/>
      <family val="2"/>
      <scheme val="minor"/>
    </font>
    <font>
      <i/>
      <sz val="11"/>
      <color theme="1"/>
      <name val="Calibri"/>
      <family val="2"/>
    </font>
    <font>
      <i/>
      <vertAlign val="subscript"/>
      <sz val="11"/>
      <color theme="1"/>
      <name val="Calibri"/>
      <family val="2"/>
    </font>
    <font>
      <i/>
      <sz val="11"/>
      <color theme="1"/>
      <name val="Calibri"/>
      <family val="2"/>
      <scheme val="minor"/>
    </font>
    <font>
      <i/>
      <vertAlign val="subscript"/>
      <sz val="11"/>
      <color theme="1"/>
      <name val="Calibri"/>
      <family val="2"/>
      <scheme val="minor"/>
    </font>
    <font>
      <vertAlign val="superscript"/>
      <sz val="11"/>
      <color theme="1"/>
      <name val="Calibri"/>
      <family val="2"/>
      <scheme val="minor"/>
    </font>
    <font>
      <u/>
      <sz val="11"/>
      <color theme="10"/>
      <name val="Calibri"/>
      <family val="2"/>
      <scheme val="minor"/>
    </font>
    <font>
      <b/>
      <u/>
      <sz val="18"/>
      <color theme="1"/>
      <name val="Calibri"/>
      <family val="2"/>
      <scheme val="minor"/>
    </font>
    <font>
      <b/>
      <u/>
      <sz val="16"/>
      <color theme="1"/>
      <name val="Calibri"/>
      <family val="2"/>
      <scheme val="minor"/>
    </font>
    <font>
      <b/>
      <i/>
      <sz val="12"/>
      <color theme="1"/>
      <name val="Calibri"/>
      <family val="2"/>
      <scheme val="minor"/>
    </font>
    <font>
      <b/>
      <u/>
      <sz val="11"/>
      <color theme="1"/>
      <name val="Calibri"/>
      <family val="2"/>
      <scheme val="minor"/>
    </font>
    <font>
      <b/>
      <u/>
      <sz val="11"/>
      <name val="Calibri"/>
      <family val="2"/>
      <scheme val="minor"/>
    </font>
    <font>
      <sz val="14"/>
      <color theme="1"/>
      <name val="Calibri"/>
      <family val="2"/>
      <scheme val="minor"/>
    </font>
    <font>
      <b/>
      <sz val="11"/>
      <color theme="1"/>
      <name val="Calibri"/>
      <family val="2"/>
    </font>
    <font>
      <b/>
      <sz val="14"/>
      <color theme="1"/>
      <name val="Calibri"/>
      <family val="2"/>
      <scheme val="minor"/>
    </font>
    <font>
      <b/>
      <sz val="11"/>
      <color rgb="FF0070C0"/>
      <name val="Calibri"/>
      <family val="2"/>
      <scheme val="minor"/>
    </font>
    <font>
      <b/>
      <i/>
      <sz val="11"/>
      <color rgb="FF0070C0"/>
      <name val="Calibri"/>
      <family val="2"/>
      <scheme val="minor"/>
    </font>
  </fonts>
  <fills count="6">
    <fill>
      <patternFill patternType="none"/>
    </fill>
    <fill>
      <patternFill patternType="gray125"/>
    </fill>
    <fill>
      <patternFill patternType="solid">
        <fgColor theme="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9" tint="0.59999389629810485"/>
        <bgColor indexed="64"/>
      </patternFill>
    </fill>
  </fills>
  <borders count="3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medium">
        <color indexed="64"/>
      </bottom>
      <diagonal/>
    </border>
    <border>
      <left/>
      <right/>
      <top style="thin">
        <color theme="2" tint="-9.9948118533890809E-2"/>
      </top>
      <bottom style="thin">
        <color theme="2" tint="-9.9948118533890809E-2"/>
      </bottom>
      <diagonal/>
    </border>
    <border>
      <left/>
      <right style="thin">
        <color theme="1"/>
      </right>
      <top/>
      <bottom style="thin">
        <color theme="2" tint="-9.9948118533890809E-2"/>
      </bottom>
      <diagonal/>
    </border>
    <border>
      <left/>
      <right style="thin">
        <color theme="1"/>
      </right>
      <top/>
      <bottom/>
      <diagonal/>
    </border>
    <border>
      <left/>
      <right style="thin">
        <color theme="1"/>
      </right>
      <top style="thin">
        <color theme="2" tint="-9.9948118533890809E-2"/>
      </top>
      <bottom style="thin">
        <color theme="2" tint="-9.9948118533890809E-2"/>
      </bottom>
      <diagonal/>
    </border>
    <border>
      <left/>
      <right/>
      <top/>
      <bottom style="thin">
        <color theme="2" tint="-9.9948118533890809E-2"/>
      </bottom>
      <diagonal/>
    </border>
    <border>
      <left/>
      <right style="thin">
        <color theme="1"/>
      </right>
      <top/>
      <bottom style="thin">
        <color auto="1"/>
      </bottom>
      <diagonal/>
    </border>
    <border>
      <left/>
      <right style="thin">
        <color auto="1"/>
      </right>
      <top/>
      <bottom style="thin">
        <color theme="2" tint="-9.9948118533890809E-2"/>
      </bottom>
      <diagonal/>
    </border>
    <border>
      <left/>
      <right style="thin">
        <color auto="1"/>
      </right>
      <top style="thin">
        <color theme="2" tint="-9.9948118533890809E-2"/>
      </top>
      <bottom style="thin">
        <color theme="2" tint="-9.9948118533890809E-2"/>
      </bottom>
      <diagonal/>
    </border>
    <border>
      <left/>
      <right/>
      <top style="thin">
        <color indexed="64"/>
      </top>
      <bottom/>
      <diagonal/>
    </border>
    <border>
      <left style="thin">
        <color indexed="64"/>
      </left>
      <right/>
      <top/>
      <bottom/>
      <diagonal/>
    </border>
  </borders>
  <cellStyleXfs count="4">
    <xf numFmtId="0" fontId="0" fillId="0" borderId="0"/>
    <xf numFmtId="9" fontId="1" fillId="0" borderId="0" applyFont="0" applyFill="0" applyBorder="0" applyAlignment="0" applyProtection="0"/>
    <xf numFmtId="0" fontId="15" fillId="0" borderId="0" applyNumberFormat="0" applyFill="0" applyBorder="0" applyAlignment="0" applyProtection="0"/>
    <xf numFmtId="44" fontId="1" fillId="0" borderId="0" applyFont="0" applyFill="0" applyBorder="0" applyAlignment="0" applyProtection="0"/>
  </cellStyleXfs>
  <cellXfs count="270">
    <xf numFmtId="0" fontId="0" fillId="0" borderId="0" xfId="0"/>
    <xf numFmtId="0" fontId="0" fillId="0" borderId="0" xfId="0" applyAlignment="1">
      <alignment horizontal="center"/>
    </xf>
    <xf numFmtId="0" fontId="2" fillId="0" borderId="0" xfId="0" applyFont="1"/>
    <xf numFmtId="0" fontId="2" fillId="0" borderId="0" xfId="0" applyFont="1" applyAlignment="1">
      <alignment horizontal="centerContinuous"/>
    </xf>
    <xf numFmtId="0" fontId="0" fillId="0" borderId="0" xfId="0" applyProtection="1">
      <protection locked="0"/>
    </xf>
    <xf numFmtId="0" fontId="2" fillId="3" borderId="3" xfId="0" applyFont="1" applyFill="1" applyBorder="1" applyAlignment="1" applyProtection="1">
      <alignment horizontal="center"/>
      <protection locked="0"/>
    </xf>
    <xf numFmtId="0" fontId="0" fillId="2" borderId="0" xfId="0" applyFill="1"/>
    <xf numFmtId="0" fontId="0" fillId="2" borderId="1" xfId="0" applyFill="1" applyBorder="1" applyAlignment="1">
      <alignment horizontal="center"/>
    </xf>
    <xf numFmtId="0" fontId="0" fillId="2" borderId="0" xfId="0" applyFill="1" applyAlignment="1">
      <alignment horizontal="center"/>
    </xf>
    <xf numFmtId="2" fontId="0" fillId="2" borderId="0" xfId="0" applyNumberFormat="1" applyFill="1" applyAlignment="1">
      <alignment horizontal="center"/>
    </xf>
    <xf numFmtId="2" fontId="0" fillId="2" borderId="1" xfId="0" applyNumberFormat="1" applyFill="1" applyBorder="1" applyAlignment="1">
      <alignment horizontal="center"/>
    </xf>
    <xf numFmtId="0" fontId="0" fillId="2" borderId="0" xfId="0" applyFill="1" applyAlignment="1">
      <alignment horizontal="left"/>
    </xf>
    <xf numFmtId="164" fontId="2" fillId="0" borderId="0" xfId="1" applyNumberFormat="1" applyFont="1" applyAlignment="1">
      <alignment horizontal="center"/>
    </xf>
    <xf numFmtId="0" fontId="0" fillId="2" borderId="2" xfId="0" applyFill="1" applyBorder="1" applyAlignment="1">
      <alignment horizontal="center"/>
    </xf>
    <xf numFmtId="3" fontId="0" fillId="2" borderId="2" xfId="0" applyNumberFormat="1" applyFill="1" applyBorder="1" applyAlignment="1">
      <alignment horizontal="center"/>
    </xf>
    <xf numFmtId="0" fontId="3" fillId="2" borderId="5" xfId="0" applyFont="1" applyFill="1" applyBorder="1" applyAlignment="1" applyProtection="1">
      <alignment horizontal="center"/>
      <protection locked="0"/>
    </xf>
    <xf numFmtId="0" fontId="2" fillId="2" borderId="4" xfId="0" applyFont="1" applyFill="1" applyBorder="1" applyAlignment="1">
      <alignment horizontal="center"/>
    </xf>
    <xf numFmtId="0" fontId="0" fillId="2" borderId="5" xfId="0" applyFill="1" applyBorder="1"/>
    <xf numFmtId="0" fontId="0" fillId="2" borderId="7" xfId="0" applyFill="1" applyBorder="1"/>
    <xf numFmtId="0" fontId="0" fillId="2" borderId="8" xfId="0" applyFill="1" applyBorder="1"/>
    <xf numFmtId="0" fontId="5" fillId="2" borderId="7" xfId="0" applyFont="1" applyFill="1" applyBorder="1" applyAlignment="1">
      <alignment horizontal="center"/>
    </xf>
    <xf numFmtId="0" fontId="6" fillId="2" borderId="7" xfId="0" applyFont="1" applyFill="1" applyBorder="1" applyAlignment="1">
      <alignment horizontal="center"/>
    </xf>
    <xf numFmtId="0" fontId="0" fillId="2" borderId="7" xfId="0" applyFill="1" applyBorder="1" applyAlignment="1">
      <alignment horizontal="center"/>
    </xf>
    <xf numFmtId="0" fontId="0" fillId="2" borderId="9" xfId="0" applyFill="1" applyBorder="1"/>
    <xf numFmtId="0" fontId="0" fillId="2" borderId="10" xfId="0" applyFill="1" applyBorder="1"/>
    <xf numFmtId="0" fontId="0" fillId="2" borderId="11" xfId="0" applyFill="1" applyBorder="1"/>
    <xf numFmtId="0" fontId="7" fillId="2" borderId="0" xfId="0" applyFont="1" applyFill="1" applyAlignment="1">
      <alignment horizontal="centerContinuous"/>
    </xf>
    <xf numFmtId="0" fontId="7" fillId="2" borderId="0" xfId="0" applyFont="1" applyFill="1" applyAlignment="1">
      <alignment horizontal="right"/>
    </xf>
    <xf numFmtId="0" fontId="0" fillId="2" borderId="0" xfId="0" applyFill="1" applyAlignment="1">
      <alignment horizontal="right"/>
    </xf>
    <xf numFmtId="0" fontId="0" fillId="2" borderId="13" xfId="0" applyFill="1" applyBorder="1" applyAlignment="1">
      <alignment horizontal="center"/>
    </xf>
    <xf numFmtId="0" fontId="0" fillId="2" borderId="12" xfId="0" applyFill="1" applyBorder="1" applyAlignment="1">
      <alignment horizontal="left"/>
    </xf>
    <xf numFmtId="0" fontId="2" fillId="2" borderId="12" xfId="0" applyFont="1" applyFill="1" applyBorder="1" applyAlignment="1">
      <alignment horizontal="left"/>
    </xf>
    <xf numFmtId="0" fontId="2" fillId="2" borderId="13" xfId="0" applyFont="1" applyFill="1" applyBorder="1" applyAlignment="1">
      <alignment horizontal="center"/>
    </xf>
    <xf numFmtId="0" fontId="2" fillId="2" borderId="2" xfId="0" applyFont="1" applyFill="1" applyBorder="1" applyAlignment="1">
      <alignment horizontal="right"/>
    </xf>
    <xf numFmtId="167" fontId="0" fillId="2" borderId="0" xfId="0" applyNumberFormat="1" applyFill="1" applyAlignment="1">
      <alignment horizontal="left"/>
    </xf>
    <xf numFmtId="0" fontId="0" fillId="2" borderId="2" xfId="0" applyFill="1" applyBorder="1"/>
    <xf numFmtId="0" fontId="0" fillId="2" borderId="12" xfId="0" applyFill="1" applyBorder="1"/>
    <xf numFmtId="0" fontId="0" fillId="2" borderId="14" xfId="0" applyFill="1" applyBorder="1"/>
    <xf numFmtId="0" fontId="0" fillId="2" borderId="0" xfId="0" applyFill="1" applyAlignment="1">
      <alignment horizontal="centerContinuous"/>
    </xf>
    <xf numFmtId="0" fontId="0" fillId="2" borderId="13" xfId="0" applyFill="1" applyBorder="1" applyAlignment="1">
      <alignment horizontal="centerContinuous"/>
    </xf>
    <xf numFmtId="0" fontId="0" fillId="2" borderId="12" xfId="0" applyFill="1" applyBorder="1" applyAlignment="1">
      <alignment horizontal="centerContinuous"/>
    </xf>
    <xf numFmtId="0" fontId="8" fillId="2" borderId="0" xfId="0" applyFont="1" applyFill="1"/>
    <xf numFmtId="0" fontId="0" fillId="2" borderId="13" xfId="0" applyFill="1" applyBorder="1"/>
    <xf numFmtId="0" fontId="0" fillId="2" borderId="15" xfId="0" applyFill="1" applyBorder="1"/>
    <xf numFmtId="167" fontId="0" fillId="2" borderId="12" xfId="0" applyNumberFormat="1" applyFill="1" applyBorder="1" applyAlignment="1">
      <alignment horizontal="centerContinuous"/>
    </xf>
    <xf numFmtId="10" fontId="0" fillId="2" borderId="0" xfId="0" applyNumberFormat="1" applyFill="1" applyAlignment="1">
      <alignment horizontal="left"/>
    </xf>
    <xf numFmtId="6" fontId="0" fillId="2" borderId="0" xfId="0" applyNumberFormat="1" applyFill="1" applyAlignment="1">
      <alignment horizontal="left"/>
    </xf>
    <xf numFmtId="6" fontId="0" fillId="2" borderId="2" xfId="0" applyNumberFormat="1" applyFill="1" applyBorder="1" applyAlignment="1">
      <alignment horizontal="center"/>
    </xf>
    <xf numFmtId="6" fontId="0" fillId="2" borderId="0" xfId="0" applyNumberFormat="1" applyFill="1" applyAlignment="1">
      <alignment horizontal="center"/>
    </xf>
    <xf numFmtId="166" fontId="0" fillId="2" borderId="2" xfId="0" applyNumberFormat="1" applyFill="1" applyBorder="1" applyAlignment="1">
      <alignment horizontal="center"/>
    </xf>
    <xf numFmtId="0" fontId="0" fillId="2" borderId="16" xfId="0" applyFill="1" applyBorder="1" applyAlignment="1">
      <alignment horizontal="center"/>
    </xf>
    <xf numFmtId="0" fontId="0" fillId="2" borderId="17" xfId="0" applyFill="1" applyBorder="1" applyAlignment="1">
      <alignment horizontal="center"/>
    </xf>
    <xf numFmtId="0" fontId="0" fillId="2" borderId="18" xfId="0" applyFill="1" applyBorder="1" applyAlignment="1">
      <alignment horizontal="center"/>
    </xf>
    <xf numFmtId="2" fontId="0" fillId="2" borderId="2" xfId="0" applyNumberFormat="1" applyFill="1" applyBorder="1" applyAlignment="1">
      <alignment horizontal="center"/>
    </xf>
    <xf numFmtId="0" fontId="0" fillId="2" borderId="2" xfId="0" quotePrefix="1" applyFill="1" applyBorder="1" applyAlignment="1">
      <alignment horizontal="center"/>
    </xf>
    <xf numFmtId="9" fontId="0" fillId="2" borderId="2" xfId="0" applyNumberFormat="1" applyFill="1" applyBorder="1" applyAlignment="1">
      <alignment horizontal="center"/>
    </xf>
    <xf numFmtId="0" fontId="8" fillId="2" borderId="2" xfId="0" applyFont="1" applyFill="1" applyBorder="1" applyAlignment="1">
      <alignment horizontal="center"/>
    </xf>
    <xf numFmtId="0" fontId="12" fillId="2" borderId="2" xfId="0" applyFont="1" applyFill="1" applyBorder="1" applyAlignment="1">
      <alignment horizontal="center"/>
    </xf>
    <xf numFmtId="0" fontId="7" fillId="2" borderId="0" xfId="0" applyFont="1" applyFill="1"/>
    <xf numFmtId="0" fontId="7" fillId="2" borderId="0" xfId="0" applyFont="1" applyFill="1" applyAlignment="1">
      <alignment horizontal="center"/>
    </xf>
    <xf numFmtId="0" fontId="0" fillId="0" borderId="23" xfId="0" applyBorder="1" applyAlignment="1">
      <alignment horizontal="center"/>
    </xf>
    <xf numFmtId="2" fontId="0" fillId="0" borderId="23" xfId="0" applyNumberFormat="1" applyBorder="1" applyAlignment="1">
      <alignment horizontal="center"/>
    </xf>
    <xf numFmtId="0" fontId="2" fillId="0" borderId="23" xfId="0" applyFont="1" applyBorder="1" applyAlignment="1">
      <alignment horizontal="center"/>
    </xf>
    <xf numFmtId="0" fontId="0" fillId="0" borderId="0" xfId="0" applyAlignment="1">
      <alignment horizontal="centerContinuous"/>
    </xf>
    <xf numFmtId="0" fontId="2" fillId="0" borderId="0" xfId="0" applyFont="1" applyAlignment="1">
      <alignment horizontal="right"/>
    </xf>
    <xf numFmtId="0" fontId="15" fillId="0" borderId="24" xfId="2" applyBorder="1" applyAlignment="1">
      <alignment horizontal="center"/>
    </xf>
    <xf numFmtId="0" fontId="16" fillId="0" borderId="0" xfId="0" applyFont="1" applyAlignment="1">
      <alignment horizontal="centerContinuous"/>
    </xf>
    <xf numFmtId="0" fontId="17" fillId="0" borderId="0" xfId="0" applyFont="1" applyAlignment="1">
      <alignment horizontal="centerContinuous"/>
    </xf>
    <xf numFmtId="0" fontId="18" fillId="0" borderId="0" xfId="0" applyFont="1" applyAlignment="1">
      <alignment horizontal="centerContinuous"/>
    </xf>
    <xf numFmtId="0" fontId="19" fillId="0" borderId="0" xfId="0" applyFont="1" applyProtection="1">
      <protection locked="0"/>
    </xf>
    <xf numFmtId="0" fontId="0" fillId="0" borderId="0" xfId="0" quotePrefix="1" applyAlignment="1" applyProtection="1">
      <alignment horizontal="right"/>
      <protection locked="0"/>
    </xf>
    <xf numFmtId="0" fontId="7" fillId="0" borderId="0" xfId="0" applyFont="1" applyProtection="1">
      <protection locked="0"/>
    </xf>
    <xf numFmtId="0" fontId="0" fillId="0" borderId="0" xfId="0" applyAlignment="1" applyProtection="1">
      <alignment horizontal="center"/>
      <protection locked="0"/>
    </xf>
    <xf numFmtId="0" fontId="0" fillId="0" borderId="2" xfId="0" applyBorder="1" applyAlignment="1" applyProtection="1">
      <alignment horizontal="center"/>
      <protection locked="0"/>
    </xf>
    <xf numFmtId="164" fontId="0" fillId="0" borderId="2" xfId="1" applyNumberFormat="1" applyFont="1" applyBorder="1" applyAlignment="1" applyProtection="1">
      <alignment horizontal="center"/>
      <protection locked="0"/>
    </xf>
    <xf numFmtId="0" fontId="21" fillId="0" borderId="0" xfId="0" applyFont="1" applyAlignment="1">
      <alignment horizontal="centerContinuous"/>
    </xf>
    <xf numFmtId="0" fontId="0" fillId="0" borderId="0" xfId="0" applyAlignment="1" applyProtection="1">
      <alignment horizontal="right"/>
      <protection locked="0"/>
    </xf>
    <xf numFmtId="0" fontId="0" fillId="0" borderId="0" xfId="0" applyAlignment="1" applyProtection="1">
      <alignment horizontal="centerContinuous"/>
      <protection locked="0"/>
    </xf>
    <xf numFmtId="9" fontId="0" fillId="0" borderId="0" xfId="0" applyNumberFormat="1" applyProtection="1">
      <protection locked="0"/>
    </xf>
    <xf numFmtId="10" fontId="0" fillId="0" borderId="0" xfId="0" applyNumberFormat="1" applyAlignment="1" applyProtection="1">
      <alignment horizontal="center"/>
      <protection locked="0"/>
    </xf>
    <xf numFmtId="168" fontId="0" fillId="4" borderId="0" xfId="0" applyNumberFormat="1" applyFill="1" applyProtection="1">
      <protection locked="0"/>
    </xf>
    <xf numFmtId="166" fontId="0" fillId="0" borderId="0" xfId="0" applyNumberFormat="1" applyProtection="1">
      <protection locked="0"/>
    </xf>
    <xf numFmtId="0" fontId="0" fillId="0" borderId="0" xfId="0" quotePrefix="1" applyAlignment="1" applyProtection="1">
      <alignment horizontal="center"/>
      <protection locked="0"/>
    </xf>
    <xf numFmtId="166" fontId="0" fillId="0" borderId="0" xfId="0" applyNumberFormat="1" applyAlignment="1" applyProtection="1">
      <alignment horizontal="left"/>
      <protection locked="0"/>
    </xf>
    <xf numFmtId="8" fontId="0" fillId="0" borderId="2" xfId="0" applyNumberFormat="1" applyBorder="1" applyAlignment="1" applyProtection="1">
      <alignment horizontal="center"/>
      <protection locked="0"/>
    </xf>
    <xf numFmtId="4" fontId="0" fillId="0" borderId="2" xfId="0" applyNumberFormat="1" applyBorder="1" applyAlignment="1" applyProtection="1">
      <alignment horizontal="center"/>
      <protection locked="0"/>
    </xf>
    <xf numFmtId="0" fontId="0" fillId="0" borderId="12"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18" xfId="0" applyBorder="1" applyAlignment="1" applyProtection="1">
      <alignment horizontal="center"/>
      <protection locked="0"/>
    </xf>
    <xf numFmtId="6" fontId="0" fillId="0" borderId="0" xfId="0" applyNumberFormat="1" applyProtection="1">
      <protection locked="0"/>
    </xf>
    <xf numFmtId="6" fontId="0" fillId="0" borderId="23" xfId="0" applyNumberFormat="1" applyBorder="1" applyProtection="1">
      <protection locked="0"/>
    </xf>
    <xf numFmtId="3" fontId="0" fillId="0" borderId="0" xfId="0" applyNumberFormat="1" applyProtection="1">
      <protection locked="0"/>
    </xf>
    <xf numFmtId="2" fontId="0" fillId="0" borderId="0" xfId="0" applyNumberFormat="1" applyAlignment="1" applyProtection="1">
      <alignment horizontal="left"/>
      <protection locked="0"/>
    </xf>
    <xf numFmtId="0" fontId="0" fillId="0" borderId="0" xfId="0" applyAlignment="1" applyProtection="1">
      <alignment horizontal="left"/>
      <protection locked="0"/>
    </xf>
    <xf numFmtId="0" fontId="8" fillId="0" borderId="0" xfId="0" applyFont="1" applyProtection="1">
      <protection locked="0"/>
    </xf>
    <xf numFmtId="170" fontId="0" fillId="0" borderId="0" xfId="3" applyNumberFormat="1" applyFont="1" applyProtection="1">
      <protection locked="0"/>
    </xf>
    <xf numFmtId="165" fontId="0" fillId="0" borderId="0" xfId="0" applyNumberFormat="1" applyAlignment="1" applyProtection="1">
      <alignment horizontal="left"/>
      <protection locked="0"/>
    </xf>
    <xf numFmtId="2" fontId="0" fillId="0" borderId="0" xfId="0" applyNumberFormat="1" applyProtection="1">
      <protection locked="0"/>
    </xf>
    <xf numFmtId="4" fontId="0" fillId="0" borderId="0" xfId="0" applyNumberFormat="1" applyAlignment="1" applyProtection="1">
      <alignment horizontal="left"/>
      <protection locked="0"/>
    </xf>
    <xf numFmtId="3" fontId="0" fillId="0" borderId="0" xfId="0" applyNumberFormat="1" applyAlignment="1" applyProtection="1">
      <alignment horizontal="left"/>
      <protection locked="0"/>
    </xf>
    <xf numFmtId="9" fontId="0" fillId="0" borderId="2" xfId="1" applyFont="1" applyBorder="1" applyAlignment="1" applyProtection="1">
      <alignment horizontal="center"/>
      <protection locked="0"/>
    </xf>
    <xf numFmtId="0" fontId="2" fillId="0" borderId="2" xfId="0" applyFont="1" applyBorder="1" applyAlignment="1" applyProtection="1">
      <alignment horizontal="center"/>
      <protection locked="0"/>
    </xf>
    <xf numFmtId="0" fontId="22" fillId="0" borderId="2" xfId="0" applyFont="1" applyBorder="1" applyAlignment="1" applyProtection="1">
      <alignment horizontal="center"/>
      <protection locked="0"/>
    </xf>
    <xf numFmtId="0" fontId="4" fillId="0" borderId="26" xfId="0" applyFont="1" applyBorder="1" applyAlignment="1">
      <alignment horizontal="center"/>
    </xf>
    <xf numFmtId="0" fontId="15" fillId="0" borderId="27" xfId="2" applyBorder="1" applyAlignment="1">
      <alignment horizontal="center"/>
    </xf>
    <xf numFmtId="0" fontId="15" fillId="0" borderId="25" xfId="2" applyBorder="1" applyAlignment="1">
      <alignment horizontal="center"/>
    </xf>
    <xf numFmtId="2" fontId="0" fillId="0" borderId="28" xfId="0" applyNumberFormat="1" applyBorder="1" applyAlignment="1">
      <alignment horizontal="center"/>
    </xf>
    <xf numFmtId="0" fontId="2" fillId="0" borderId="29" xfId="0" applyFont="1" applyBorder="1" applyAlignment="1">
      <alignment horizontal="center"/>
    </xf>
    <xf numFmtId="0" fontId="2" fillId="0" borderId="1" xfId="0" applyFont="1" applyBorder="1" applyAlignment="1">
      <alignment horizontal="center"/>
    </xf>
    <xf numFmtId="0" fontId="15" fillId="0" borderId="28" xfId="2" applyBorder="1" applyAlignment="1">
      <alignment horizontal="center"/>
    </xf>
    <xf numFmtId="2" fontId="0" fillId="0" borderId="30" xfId="0" applyNumberFormat="1" applyBorder="1" applyAlignment="1">
      <alignment horizontal="center"/>
    </xf>
    <xf numFmtId="2" fontId="0" fillId="0" borderId="31" xfId="0" applyNumberFormat="1" applyBorder="1" applyAlignment="1">
      <alignment horizontal="center"/>
    </xf>
    <xf numFmtId="0" fontId="0" fillId="0" borderId="28" xfId="0" applyBorder="1" applyAlignment="1">
      <alignment horizontal="center"/>
    </xf>
    <xf numFmtId="0" fontId="20" fillId="0" borderId="0" xfId="0" applyFont="1" applyAlignment="1" applyProtection="1">
      <alignment horizontal="center"/>
      <protection locked="0"/>
    </xf>
    <xf numFmtId="0" fontId="19" fillId="0" borderId="0" xfId="0" applyFont="1" applyAlignment="1" applyProtection="1">
      <alignment horizontal="center"/>
      <protection locked="0"/>
    </xf>
    <xf numFmtId="0" fontId="2" fillId="2" borderId="2" xfId="0" applyFont="1" applyFill="1" applyBorder="1" applyAlignment="1">
      <alignment horizontal="center" wrapText="1"/>
    </xf>
    <xf numFmtId="0" fontId="2" fillId="2" borderId="2" xfId="0" applyFont="1" applyFill="1" applyBorder="1" applyAlignment="1">
      <alignment horizontal="center"/>
    </xf>
    <xf numFmtId="0" fontId="2" fillId="2" borderId="2" xfId="0" applyFont="1" applyFill="1" applyBorder="1" applyAlignment="1">
      <alignment horizontal="centerContinuous"/>
    </xf>
    <xf numFmtId="0" fontId="2" fillId="2" borderId="12" xfId="0" applyFont="1" applyFill="1" applyBorder="1" applyAlignment="1">
      <alignment horizontal="centerContinuous"/>
    </xf>
    <xf numFmtId="0" fontId="2" fillId="2" borderId="14" xfId="0" applyFont="1" applyFill="1" applyBorder="1" applyAlignment="1">
      <alignment horizontal="centerContinuous"/>
    </xf>
    <xf numFmtId="0" fontId="2" fillId="2" borderId="13" xfId="0" applyFont="1" applyFill="1" applyBorder="1" applyAlignment="1">
      <alignment horizontal="centerContinuous"/>
    </xf>
    <xf numFmtId="0" fontId="0" fillId="2" borderId="8" xfId="0" applyFill="1" applyBorder="1" applyAlignment="1">
      <alignment horizontal="centerContinuous"/>
    </xf>
    <xf numFmtId="0" fontId="0" fillId="2" borderId="8" xfId="0" applyFill="1" applyBorder="1" applyAlignment="1">
      <alignment horizontal="center"/>
    </xf>
    <xf numFmtId="166" fontId="0" fillId="2" borderId="8" xfId="0" applyNumberFormat="1" applyFill="1" applyBorder="1" applyAlignment="1">
      <alignment horizontal="center"/>
    </xf>
    <xf numFmtId="2" fontId="2" fillId="2" borderId="2" xfId="0" applyNumberFormat="1" applyFont="1" applyFill="1" applyBorder="1" applyAlignment="1">
      <alignment horizontal="center"/>
    </xf>
    <xf numFmtId="0" fontId="2" fillId="0" borderId="0" xfId="0" applyFont="1" applyAlignment="1" applyProtection="1">
      <alignment horizontal="center"/>
      <protection locked="0"/>
    </xf>
    <xf numFmtId="3" fontId="2" fillId="2" borderId="2" xfId="0" applyNumberFormat="1" applyFont="1" applyFill="1" applyBorder="1" applyAlignment="1">
      <alignment horizontal="center"/>
    </xf>
    <xf numFmtId="0" fontId="23" fillId="0" borderId="1" xfId="0" applyFont="1" applyBorder="1"/>
    <xf numFmtId="0" fontId="21" fillId="0" borderId="1" xfId="0" applyFont="1" applyBorder="1"/>
    <xf numFmtId="0" fontId="23" fillId="0" borderId="1" xfId="0" applyFont="1" applyBorder="1" applyAlignment="1">
      <alignment horizontal="center"/>
    </xf>
    <xf numFmtId="0" fontId="19" fillId="0" borderId="0" xfId="0" applyFont="1"/>
    <xf numFmtId="0" fontId="2" fillId="0" borderId="0" xfId="0" applyFont="1" applyAlignment="1">
      <alignment horizontal="center"/>
    </xf>
    <xf numFmtId="2" fontId="0" fillId="0" borderId="0" xfId="0" applyNumberFormat="1" applyAlignment="1">
      <alignment horizontal="center"/>
    </xf>
    <xf numFmtId="0" fontId="15" fillId="2" borderId="6" xfId="2" applyFill="1" applyBorder="1" applyAlignment="1" applyProtection="1">
      <alignment horizontal="right"/>
    </xf>
    <xf numFmtId="0" fontId="15" fillId="2" borderId="5" xfId="2" applyFill="1" applyBorder="1" applyAlignment="1" applyProtection="1">
      <alignment horizontal="center"/>
    </xf>
    <xf numFmtId="0" fontId="0" fillId="2" borderId="14" xfId="0" applyFill="1" applyBorder="1" applyAlignment="1">
      <alignment horizontal="center"/>
    </xf>
    <xf numFmtId="0" fontId="0" fillId="2" borderId="20" xfId="0" applyFill="1" applyBorder="1" applyAlignment="1">
      <alignment horizontal="center"/>
    </xf>
    <xf numFmtId="0" fontId="0" fillId="2" borderId="22" xfId="0" applyFill="1" applyBorder="1" applyAlignment="1">
      <alignment horizontal="center"/>
    </xf>
    <xf numFmtId="0" fontId="2" fillId="2" borderId="5" xfId="0" applyFont="1" applyFill="1" applyBorder="1"/>
    <xf numFmtId="0" fontId="2" fillId="2" borderId="5" xfId="0" applyFont="1" applyFill="1" applyBorder="1" applyAlignment="1">
      <alignment horizontal="right"/>
    </xf>
    <xf numFmtId="0" fontId="2" fillId="2" borderId="0" xfId="0" applyFont="1" applyFill="1"/>
    <xf numFmtId="0" fontId="0" fillId="5" borderId="0" xfId="0" applyFill="1"/>
    <xf numFmtId="0" fontId="0" fillId="2" borderId="0" xfId="0" applyFill="1" applyProtection="1">
      <protection locked="0"/>
    </xf>
    <xf numFmtId="0" fontId="0" fillId="2" borderId="14" xfId="0" applyFill="1" applyBorder="1" applyProtection="1">
      <protection locked="0"/>
    </xf>
    <xf numFmtId="2" fontId="0" fillId="2" borderId="13" xfId="0" applyNumberFormat="1" applyFill="1" applyBorder="1" applyAlignment="1">
      <alignment horizontal="left"/>
    </xf>
    <xf numFmtId="0" fontId="2" fillId="2" borderId="12" xfId="0" applyFont="1" applyFill="1" applyBorder="1"/>
    <xf numFmtId="0" fontId="2" fillId="2" borderId="14" xfId="0" applyFont="1" applyFill="1" applyBorder="1" applyAlignment="1">
      <alignment horizontal="center"/>
    </xf>
    <xf numFmtId="0" fontId="0" fillId="2" borderId="33" xfId="0" applyFill="1" applyBorder="1"/>
    <xf numFmtId="0" fontId="0" fillId="2" borderId="15" xfId="0" applyFill="1" applyBorder="1" applyAlignment="1">
      <alignment horizontal="center"/>
    </xf>
    <xf numFmtId="0" fontId="0" fillId="2" borderId="33" xfId="0" applyFill="1" applyBorder="1" applyProtection="1">
      <protection locked="0"/>
    </xf>
    <xf numFmtId="0" fontId="0" fillId="2" borderId="0" xfId="0" applyFill="1" applyAlignment="1" applyProtection="1">
      <alignment horizontal="center"/>
      <protection locked="0"/>
    </xf>
    <xf numFmtId="0" fontId="0" fillId="2" borderId="15" xfId="0" applyFill="1" applyBorder="1" applyAlignment="1" applyProtection="1">
      <alignment horizontal="center"/>
      <protection locked="0"/>
    </xf>
    <xf numFmtId="0" fontId="0" fillId="2" borderId="21" xfId="0" applyFill="1" applyBorder="1" applyProtection="1">
      <protection locked="0"/>
    </xf>
    <xf numFmtId="0" fontId="0" fillId="2" borderId="1" xfId="0" applyFill="1" applyBorder="1" applyAlignment="1" applyProtection="1">
      <alignment horizontal="center"/>
      <protection locked="0"/>
    </xf>
    <xf numFmtId="0" fontId="0" fillId="2" borderId="22" xfId="0" applyFill="1" applyBorder="1" applyAlignment="1" applyProtection="1">
      <alignment horizontal="center"/>
      <protection locked="0"/>
    </xf>
    <xf numFmtId="0" fontId="0" fillId="2" borderId="8" xfId="0" applyFill="1" applyBorder="1" applyProtection="1">
      <protection locked="0"/>
    </xf>
    <xf numFmtId="0" fontId="0" fillId="2" borderId="10" xfId="0" applyFill="1" applyBorder="1" applyProtection="1">
      <protection locked="0"/>
    </xf>
    <xf numFmtId="0" fontId="0" fillId="2" borderId="11" xfId="0" applyFill="1" applyBorder="1" applyProtection="1">
      <protection locked="0"/>
    </xf>
    <xf numFmtId="0" fontId="0" fillId="2" borderId="7" xfId="0" applyFill="1" applyBorder="1" applyProtection="1">
      <protection locked="0"/>
    </xf>
    <xf numFmtId="0" fontId="0" fillId="2" borderId="9" xfId="0" applyFill="1" applyBorder="1" applyProtection="1">
      <protection locked="0"/>
    </xf>
    <xf numFmtId="0" fontId="0" fillId="5" borderId="0" xfId="0" applyFill="1" applyAlignment="1" applyProtection="1">
      <alignment horizontal="left"/>
      <protection locked="0"/>
    </xf>
    <xf numFmtId="10" fontId="0" fillId="5" borderId="0" xfId="1" applyNumberFormat="1" applyFont="1" applyFill="1" applyAlignment="1" applyProtection="1">
      <alignment horizontal="center"/>
      <protection locked="0"/>
    </xf>
    <xf numFmtId="168" fontId="0" fillId="5" borderId="0" xfId="0" applyNumberFormat="1" applyFill="1" applyProtection="1">
      <protection locked="0"/>
    </xf>
    <xf numFmtId="166" fontId="0" fillId="5" borderId="0" xfId="0" applyNumberFormat="1" applyFill="1" applyProtection="1">
      <protection locked="0"/>
    </xf>
    <xf numFmtId="4" fontId="0" fillId="5" borderId="0" xfId="0" applyNumberFormat="1" applyFill="1" applyProtection="1">
      <protection locked="0"/>
    </xf>
    <xf numFmtId="8" fontId="0" fillId="5" borderId="0" xfId="0" applyNumberFormat="1" applyFill="1" applyProtection="1">
      <protection locked="0"/>
    </xf>
    <xf numFmtId="8" fontId="0" fillId="5" borderId="0" xfId="0" applyNumberFormat="1" applyFill="1" applyAlignment="1" applyProtection="1">
      <alignment horizontal="left"/>
      <protection locked="0"/>
    </xf>
    <xf numFmtId="169" fontId="0" fillId="5" borderId="0" xfId="3" applyNumberFormat="1" applyFont="1" applyFill="1" applyProtection="1">
      <protection locked="0"/>
    </xf>
    <xf numFmtId="166" fontId="0" fillId="5" borderId="0" xfId="0" applyNumberFormat="1" applyFill="1" applyAlignment="1" applyProtection="1">
      <alignment horizontal="left"/>
      <protection locked="0"/>
    </xf>
    <xf numFmtId="0" fontId="0" fillId="5" borderId="0" xfId="0" applyFill="1" applyProtection="1">
      <protection locked="0"/>
    </xf>
    <xf numFmtId="0" fontId="24" fillId="0" borderId="0" xfId="0" applyFont="1" applyProtection="1">
      <protection locked="0"/>
    </xf>
    <xf numFmtId="6" fontId="0" fillId="0" borderId="0" xfId="0" applyNumberFormat="1"/>
    <xf numFmtId="0" fontId="0" fillId="2" borderId="16" xfId="0" applyFill="1" applyBorder="1" applyProtection="1">
      <protection locked="0"/>
    </xf>
    <xf numFmtId="6" fontId="0" fillId="2" borderId="20" xfId="0" applyNumberFormat="1" applyFill="1" applyBorder="1" applyAlignment="1">
      <alignment horizontal="center"/>
    </xf>
    <xf numFmtId="6" fontId="0" fillId="2" borderId="15" xfId="0" applyNumberFormat="1" applyFill="1" applyBorder="1" applyAlignment="1">
      <alignment horizontal="center"/>
    </xf>
    <xf numFmtId="6" fontId="0" fillId="2" borderId="22" xfId="0" applyNumberFormat="1" applyFill="1" applyBorder="1" applyAlignment="1">
      <alignment horizontal="center"/>
    </xf>
    <xf numFmtId="0" fontId="0" fillId="2" borderId="19" xfId="0" applyFill="1" applyBorder="1"/>
    <xf numFmtId="0" fontId="0" fillId="2" borderId="32" xfId="0" applyFill="1" applyBorder="1"/>
    <xf numFmtId="6" fontId="0" fillId="2" borderId="17" xfId="0" applyNumberFormat="1" applyFill="1" applyBorder="1" applyAlignment="1">
      <alignment horizontal="center"/>
    </xf>
    <xf numFmtId="0" fontId="0" fillId="2" borderId="21" xfId="0" applyFill="1" applyBorder="1"/>
    <xf numFmtId="0" fontId="0" fillId="2" borderId="1" xfId="0" applyFill="1" applyBorder="1"/>
    <xf numFmtId="164" fontId="0" fillId="5" borderId="0" xfId="1" applyNumberFormat="1" applyFont="1" applyFill="1" applyProtection="1">
      <protection locked="0"/>
    </xf>
    <xf numFmtId="164" fontId="0" fillId="0" borderId="0" xfId="0" applyNumberFormat="1"/>
    <xf numFmtId="164" fontId="0" fillId="2" borderId="0" xfId="0" applyNumberFormat="1" applyFill="1" applyAlignment="1">
      <alignment horizontal="center"/>
    </xf>
    <xf numFmtId="164" fontId="0" fillId="2" borderId="15" xfId="0" applyNumberFormat="1" applyFill="1" applyBorder="1" applyAlignment="1">
      <alignment horizontal="center"/>
    </xf>
    <xf numFmtId="164" fontId="0" fillId="0" borderId="0" xfId="0" applyNumberFormat="1" applyAlignment="1">
      <alignment horizontal="center"/>
    </xf>
    <xf numFmtId="164" fontId="0" fillId="0" borderId="15" xfId="0" applyNumberFormat="1" applyBorder="1" applyAlignment="1">
      <alignment horizontal="center"/>
    </xf>
    <xf numFmtId="164" fontId="0" fillId="0" borderId="1" xfId="0" applyNumberFormat="1" applyBorder="1" applyAlignment="1">
      <alignment horizontal="center"/>
    </xf>
    <xf numFmtId="164" fontId="0" fillId="0" borderId="22" xfId="0" applyNumberFormat="1" applyBorder="1" applyAlignment="1">
      <alignment horizontal="center"/>
    </xf>
    <xf numFmtId="164" fontId="0" fillId="2" borderId="1" xfId="0" applyNumberFormat="1" applyFill="1" applyBorder="1" applyAlignment="1">
      <alignment horizontal="center"/>
    </xf>
    <xf numFmtId="164" fontId="0" fillId="2" borderId="22" xfId="0" applyNumberFormat="1" applyFill="1" applyBorder="1" applyAlignment="1">
      <alignment horizontal="center"/>
    </xf>
    <xf numFmtId="9" fontId="0" fillId="0" borderId="0" xfId="0" applyNumberFormat="1"/>
    <xf numFmtId="9" fontId="0" fillId="2" borderId="0" xfId="0" applyNumberFormat="1" applyFill="1"/>
    <xf numFmtId="0" fontId="0" fillId="0" borderId="14" xfId="0" applyBorder="1" applyAlignment="1">
      <alignment horizontal="center"/>
    </xf>
    <xf numFmtId="0" fontId="0" fillId="0" borderId="13" xfId="0" applyBorder="1" applyAlignment="1">
      <alignment horizontal="center"/>
    </xf>
    <xf numFmtId="0" fontId="0" fillId="0" borderId="2" xfId="0" applyBorder="1" applyAlignment="1">
      <alignment horizontal="center"/>
    </xf>
    <xf numFmtId="166" fontId="0" fillId="0" borderId="0" xfId="0" applyNumberFormat="1"/>
    <xf numFmtId="171" fontId="0" fillId="0" borderId="0" xfId="1" applyNumberFormat="1" applyFont="1" applyAlignment="1">
      <alignment horizontal="center"/>
    </xf>
    <xf numFmtId="166" fontId="0" fillId="0" borderId="1" xfId="0" applyNumberFormat="1" applyBorder="1" applyAlignment="1">
      <alignment horizontal="center"/>
    </xf>
    <xf numFmtId="166" fontId="0" fillId="0" borderId="1" xfId="0" applyNumberFormat="1" applyBorder="1" applyAlignment="1" applyProtection="1">
      <alignment horizontal="center"/>
      <protection locked="0"/>
    </xf>
    <xf numFmtId="166" fontId="0" fillId="0" borderId="22" xfId="0" applyNumberFormat="1" applyBorder="1" applyAlignment="1" applyProtection="1">
      <alignment horizontal="center"/>
      <protection locked="0"/>
    </xf>
    <xf numFmtId="0" fontId="0" fillId="0" borderId="18" xfId="0" applyBorder="1"/>
    <xf numFmtId="0" fontId="0" fillId="0" borderId="2" xfId="0" applyBorder="1"/>
    <xf numFmtId="0" fontId="0" fillId="0" borderId="14" xfId="0" applyBorder="1" applyAlignment="1" applyProtection="1">
      <alignment horizontal="center"/>
      <protection locked="0"/>
    </xf>
    <xf numFmtId="0" fontId="0" fillId="0" borderId="13" xfId="0" applyBorder="1" applyAlignment="1" applyProtection="1">
      <alignment horizontal="center"/>
      <protection locked="0"/>
    </xf>
    <xf numFmtId="0" fontId="0" fillId="5" borderId="0" xfId="0" applyFill="1" applyAlignment="1">
      <alignment horizontal="center"/>
    </xf>
    <xf numFmtId="164" fontId="0" fillId="0" borderId="19" xfId="1" applyNumberFormat="1" applyFont="1" applyBorder="1" applyAlignment="1">
      <alignment horizontal="center"/>
    </xf>
    <xf numFmtId="164" fontId="0" fillId="0" borderId="32" xfId="1" applyNumberFormat="1" applyFont="1" applyBorder="1" applyAlignment="1">
      <alignment horizontal="center"/>
    </xf>
    <xf numFmtId="164" fontId="0" fillId="0" borderId="20" xfId="1" applyNumberFormat="1" applyFont="1" applyBorder="1" applyAlignment="1">
      <alignment horizontal="center"/>
    </xf>
    <xf numFmtId="164" fontId="0" fillId="0" borderId="33" xfId="1" applyNumberFormat="1" applyFont="1" applyBorder="1" applyAlignment="1">
      <alignment horizontal="center"/>
    </xf>
    <xf numFmtId="164" fontId="0" fillId="0" borderId="0" xfId="1" applyNumberFormat="1" applyFont="1" applyBorder="1" applyAlignment="1">
      <alignment horizontal="center"/>
    </xf>
    <xf numFmtId="164" fontId="0" fillId="0" borderId="15" xfId="1" applyNumberFormat="1" applyFont="1" applyBorder="1" applyAlignment="1">
      <alignment horizontal="center"/>
    </xf>
    <xf numFmtId="164" fontId="0" fillId="0" borderId="21" xfId="1" applyNumberFormat="1" applyFont="1" applyBorder="1" applyAlignment="1">
      <alignment horizontal="center"/>
    </xf>
    <xf numFmtId="164" fontId="0" fillId="0" borderId="1" xfId="1" applyNumberFormat="1" applyFont="1" applyBorder="1" applyAlignment="1">
      <alignment horizontal="center"/>
    </xf>
    <xf numFmtId="164" fontId="0" fillId="0" borderId="22" xfId="1" applyNumberFormat="1" applyFont="1" applyBorder="1" applyAlignment="1">
      <alignment horizontal="center"/>
    </xf>
    <xf numFmtId="166" fontId="0" fillId="0" borderId="19" xfId="0" applyNumberFormat="1" applyBorder="1" applyAlignment="1">
      <alignment horizontal="center"/>
    </xf>
    <xf numFmtId="166" fontId="0" fillId="0" borderId="32" xfId="0" applyNumberFormat="1" applyBorder="1" applyAlignment="1">
      <alignment horizontal="center"/>
    </xf>
    <xf numFmtId="166" fontId="0" fillId="0" borderId="20" xfId="0" applyNumberFormat="1" applyBorder="1" applyAlignment="1">
      <alignment horizontal="center"/>
    </xf>
    <xf numFmtId="166" fontId="0" fillId="0" borderId="33" xfId="0" applyNumberFormat="1" applyBorder="1" applyAlignment="1">
      <alignment horizontal="center"/>
    </xf>
    <xf numFmtId="166" fontId="0" fillId="0" borderId="0" xfId="0" applyNumberFormat="1" applyAlignment="1">
      <alignment horizontal="center"/>
    </xf>
    <xf numFmtId="166" fontId="0" fillId="0" borderId="15" xfId="0" applyNumberFormat="1" applyBorder="1" applyAlignment="1">
      <alignment horizontal="center"/>
    </xf>
    <xf numFmtId="166" fontId="0" fillId="0" borderId="21" xfId="0" applyNumberFormat="1" applyBorder="1" applyAlignment="1">
      <alignment horizontal="center"/>
    </xf>
    <xf numFmtId="166" fontId="0" fillId="0" borderId="22" xfId="0" applyNumberFormat="1" applyBorder="1" applyAlignment="1">
      <alignment horizontal="center"/>
    </xf>
    <xf numFmtId="0" fontId="25" fillId="0" borderId="0" xfId="0" applyFont="1" applyProtection="1">
      <protection locked="0"/>
    </xf>
    <xf numFmtId="164" fontId="0" fillId="0" borderId="19" xfId="0" applyNumberFormat="1" applyBorder="1" applyAlignment="1">
      <alignment horizontal="center"/>
    </xf>
    <xf numFmtId="164" fontId="0" fillId="0" borderId="32" xfId="0" applyNumberFormat="1" applyBorder="1" applyAlignment="1">
      <alignment horizontal="center"/>
    </xf>
    <xf numFmtId="164" fontId="0" fillId="0" borderId="20" xfId="0" applyNumberFormat="1" applyBorder="1" applyAlignment="1">
      <alignment horizontal="center"/>
    </xf>
    <xf numFmtId="164" fontId="0" fillId="0" borderId="33" xfId="0" applyNumberFormat="1" applyBorder="1" applyAlignment="1">
      <alignment horizontal="center"/>
    </xf>
    <xf numFmtId="164" fontId="0" fillId="0" borderId="21" xfId="0" applyNumberFormat="1" applyBorder="1" applyAlignment="1">
      <alignment horizontal="center"/>
    </xf>
    <xf numFmtId="164" fontId="0" fillId="0" borderId="1" xfId="0" applyNumberFormat="1" applyBorder="1" applyAlignment="1" applyProtection="1">
      <alignment horizontal="center"/>
      <protection locked="0"/>
    </xf>
    <xf numFmtId="164" fontId="0" fillId="0" borderId="22" xfId="0" applyNumberFormat="1" applyBorder="1" applyAlignment="1" applyProtection="1">
      <alignment horizontal="center"/>
      <protection locked="0"/>
    </xf>
    <xf numFmtId="164" fontId="0" fillId="0" borderId="0" xfId="1" applyNumberFormat="1" applyFont="1" applyAlignment="1" applyProtection="1">
      <alignment horizontal="center"/>
      <protection locked="0"/>
    </xf>
    <xf numFmtId="0" fontId="0" fillId="3" borderId="2" xfId="0" applyFill="1" applyBorder="1" applyAlignment="1">
      <alignment horizontal="center"/>
    </xf>
    <xf numFmtId="3" fontId="0" fillId="2" borderId="0" xfId="0" applyNumberFormat="1" applyFill="1" applyAlignment="1">
      <alignment horizontal="center"/>
    </xf>
    <xf numFmtId="172" fontId="0" fillId="2" borderId="0" xfId="0" applyNumberFormat="1" applyFill="1" applyAlignment="1">
      <alignment horizontal="center"/>
    </xf>
    <xf numFmtId="0" fontId="0" fillId="2" borderId="0" xfId="0" applyFill="1" applyAlignment="1">
      <alignment horizontal="left" indent="2"/>
    </xf>
    <xf numFmtId="3" fontId="0" fillId="2" borderId="1" xfId="0" applyNumberFormat="1" applyFill="1" applyBorder="1" applyAlignment="1">
      <alignment horizontal="center"/>
    </xf>
    <xf numFmtId="0" fontId="0" fillId="0" borderId="0" xfId="0" applyAlignment="1">
      <alignment horizontal="left"/>
    </xf>
    <xf numFmtId="3" fontId="0" fillId="0" borderId="0" xfId="0" applyNumberFormat="1"/>
    <xf numFmtId="172" fontId="0" fillId="3" borderId="2" xfId="0" applyNumberFormat="1" applyFill="1" applyBorder="1" applyAlignment="1">
      <alignment horizontal="center"/>
    </xf>
    <xf numFmtId="4" fontId="0" fillId="0" borderId="0" xfId="0" applyNumberFormat="1"/>
    <xf numFmtId="0" fontId="2" fillId="0" borderId="15" xfId="0" applyFont="1" applyBorder="1" applyAlignment="1">
      <alignment horizontal="center" wrapText="1"/>
    </xf>
    <xf numFmtId="0" fontId="2" fillId="0" borderId="22" xfId="0" applyFont="1" applyBorder="1" applyAlignment="1">
      <alignment horizontal="center" wrapText="1"/>
    </xf>
    <xf numFmtId="0" fontId="15" fillId="0" borderId="0" xfId="2" applyAlignment="1">
      <alignment horizontal="left"/>
    </xf>
    <xf numFmtId="0" fontId="0" fillId="2" borderId="1" xfId="0" applyFill="1" applyBorder="1" applyAlignment="1">
      <alignment horizontal="center" wrapText="1"/>
    </xf>
    <xf numFmtId="2" fontId="0" fillId="2" borderId="0" xfId="0" applyNumberFormat="1" applyFill="1" applyAlignment="1">
      <alignment horizontal="center"/>
    </xf>
    <xf numFmtId="2" fontId="0" fillId="2" borderId="1" xfId="0" applyNumberFormat="1" applyFill="1" applyBorder="1" applyAlignment="1">
      <alignment horizontal="center"/>
    </xf>
    <xf numFmtId="0" fontId="15" fillId="2" borderId="5" xfId="2" applyFill="1" applyBorder="1" applyAlignment="1" applyProtection="1">
      <alignment horizontal="right"/>
    </xf>
    <xf numFmtId="0" fontId="15" fillId="2" borderId="6" xfId="2" applyFill="1" applyBorder="1" applyAlignment="1" applyProtection="1">
      <alignment horizontal="right"/>
    </xf>
    <xf numFmtId="0" fontId="15" fillId="2" borderId="5" xfId="2" applyFill="1" applyBorder="1" applyAlignment="1" applyProtection="1">
      <alignment horizontal="center"/>
    </xf>
    <xf numFmtId="0" fontId="0" fillId="2" borderId="12" xfId="0" applyFill="1" applyBorder="1" applyAlignment="1">
      <alignment horizontal="center"/>
    </xf>
    <xf numFmtId="0" fontId="0" fillId="2" borderId="13" xfId="0" applyFill="1" applyBorder="1" applyAlignment="1">
      <alignment horizontal="center"/>
    </xf>
    <xf numFmtId="0" fontId="0" fillId="2" borderId="14" xfId="0" applyFill="1" applyBorder="1" applyAlignment="1">
      <alignment horizontal="center"/>
    </xf>
    <xf numFmtId="6" fontId="0" fillId="2" borderId="12" xfId="0" applyNumberFormat="1" applyFill="1" applyBorder="1" applyAlignment="1">
      <alignment horizontal="center"/>
    </xf>
    <xf numFmtId="6" fontId="0" fillId="2" borderId="13" xfId="0" applyNumberFormat="1" applyFill="1" applyBorder="1" applyAlignment="1">
      <alignment horizontal="center"/>
    </xf>
    <xf numFmtId="0" fontId="0" fillId="0" borderId="0" xfId="0" applyAlignment="1" applyProtection="1">
      <alignment horizontal="center" wrapText="1"/>
      <protection locked="0"/>
    </xf>
    <xf numFmtId="10" fontId="0" fillId="2" borderId="12" xfId="0" applyNumberFormat="1" applyFill="1" applyBorder="1" applyAlignment="1">
      <alignment horizontal="center"/>
    </xf>
    <xf numFmtId="10" fontId="0" fillId="2" borderId="13" xfId="0" applyNumberFormat="1" applyFill="1" applyBorder="1" applyAlignment="1">
      <alignment horizontal="center"/>
    </xf>
    <xf numFmtId="0" fontId="0" fillId="2" borderId="2" xfId="0" applyFill="1" applyBorder="1" applyAlignment="1">
      <alignment horizontal="center" vertical="center"/>
    </xf>
    <xf numFmtId="0" fontId="0" fillId="2" borderId="19" xfId="0" applyFill="1" applyBorder="1" applyAlignment="1">
      <alignment horizontal="center" wrapText="1"/>
    </xf>
    <xf numFmtId="0" fontId="0" fillId="2" borderId="20" xfId="0" applyFill="1" applyBorder="1" applyAlignment="1">
      <alignment horizontal="center" wrapText="1"/>
    </xf>
    <xf numFmtId="0" fontId="0" fillId="2" borderId="21" xfId="0" applyFill="1" applyBorder="1" applyAlignment="1">
      <alignment horizontal="center" wrapText="1"/>
    </xf>
    <xf numFmtId="0" fontId="0" fillId="2" borderId="22" xfId="0" applyFill="1" applyBorder="1" applyAlignment="1">
      <alignment horizontal="center" wrapText="1"/>
    </xf>
    <xf numFmtId="0" fontId="0" fillId="2" borderId="20" xfId="0" applyFill="1" applyBorder="1" applyAlignment="1">
      <alignment horizontal="center"/>
    </xf>
    <xf numFmtId="0" fontId="0" fillId="2" borderId="21" xfId="0" applyFill="1" applyBorder="1" applyAlignment="1">
      <alignment horizontal="center"/>
    </xf>
    <xf numFmtId="0" fontId="0" fillId="2" borderId="22" xfId="0" applyFill="1" applyBorder="1" applyAlignment="1">
      <alignment horizontal="center"/>
    </xf>
    <xf numFmtId="0" fontId="2" fillId="2" borderId="2" xfId="0" applyFont="1" applyFill="1" applyBorder="1" applyAlignment="1">
      <alignment horizontal="center" vertical="center" wrapText="1"/>
    </xf>
    <xf numFmtId="0" fontId="15" fillId="0" borderId="0" xfId="2" applyBorder="1" applyAlignment="1">
      <alignment horizontal="center"/>
    </xf>
    <xf numFmtId="0" fontId="0" fillId="2" borderId="0" xfId="0" applyFill="1" applyBorder="1"/>
    <xf numFmtId="0" fontId="0" fillId="2" borderId="0" xfId="0" applyFill="1" applyBorder="1" applyProtection="1">
      <protection locked="0"/>
    </xf>
  </cellXfs>
  <cellStyles count="4">
    <cellStyle name="Currency" xfId="3" builtinId="4"/>
    <cellStyle name="Hyperlink" xfId="2" builtinId="8"/>
    <cellStyle name="Normal" xfId="0" builtinId="0"/>
    <cellStyle name="Percent" xfId="1" builtinId="5"/>
  </cellStyles>
  <dxfs count="79">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4.9989318521683403E-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theme="0"/>
      </font>
      <fill>
        <patternFill patternType="none">
          <bgColor auto="1"/>
        </patternFill>
      </fill>
    </dxf>
    <dxf>
      <fill>
        <patternFill>
          <bgColor theme="0" tint="-4.9989318521683403E-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GB" sz="1200"/>
              <a:t>Loss Ratio Plot</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val>
            <c:numRef>
              <c:f>'2'!$O$6:$O$10</c:f>
              <c:numCache>
                <c:formatCode>0.0%</c:formatCode>
                <c:ptCount val="5"/>
                <c:pt idx="0">
                  <c:v>0</c:v>
                </c:pt>
                <c:pt idx="1">
                  <c:v>0.46551724137931033</c:v>
                </c:pt>
                <c:pt idx="2">
                  <c:v>0.83333333333333337</c:v>
                </c:pt>
                <c:pt idx="3">
                  <c:v>0.8571428571428571</c:v>
                </c:pt>
                <c:pt idx="4">
                  <c:v>1.0256410256410255</c:v>
                </c:pt>
              </c:numCache>
            </c:numRef>
          </c:val>
          <c:extLst>
            <c:ext xmlns:c16="http://schemas.microsoft.com/office/drawing/2014/chart" uri="{C3380CC4-5D6E-409C-BE32-E72D297353CC}">
              <c16:uniqueId val="{00000000-82C7-4353-8CE1-149ED01D2A8D}"/>
            </c:ext>
          </c:extLst>
        </c:ser>
        <c:dLbls>
          <c:showLegendKey val="0"/>
          <c:showVal val="0"/>
          <c:showCatName val="0"/>
          <c:showSerName val="0"/>
          <c:showPercent val="0"/>
          <c:showBubbleSize val="0"/>
        </c:dLbls>
        <c:gapWidth val="219"/>
        <c:overlap val="-27"/>
        <c:axId val="476722224"/>
        <c:axId val="476722880"/>
      </c:barChart>
      <c:catAx>
        <c:axId val="47672222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Quintile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6722880"/>
        <c:crosses val="autoZero"/>
        <c:auto val="1"/>
        <c:lblAlgn val="ctr"/>
        <c:lblOffset val="100"/>
        <c:noMultiLvlLbl val="0"/>
      </c:catAx>
      <c:valAx>
        <c:axId val="4767228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Actual Loss Ratio</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672222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ROC Curve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Current Model</c:v>
          </c:tx>
          <c:spPr>
            <a:ln w="19050" cap="rnd">
              <a:solidFill>
                <a:schemeClr val="accent1"/>
              </a:solidFill>
              <a:round/>
            </a:ln>
            <a:effectLst/>
          </c:spPr>
          <c:marker>
            <c:symbol val="circle"/>
            <c:size val="5"/>
            <c:spPr>
              <a:solidFill>
                <a:schemeClr val="accent1"/>
              </a:solidFill>
              <a:ln w="9525">
                <a:solidFill>
                  <a:schemeClr val="accent1"/>
                </a:solidFill>
              </a:ln>
              <a:effectLst/>
            </c:spPr>
          </c:marker>
          <c:dLbls>
            <c:dLbl>
              <c:idx val="0"/>
              <c:layout>
                <c:manualLayout>
                  <c:x val="-0.13055555555555556"/>
                  <c:y val="5.0925925925925923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6E2-4226-A712-4A5859B9A017}"/>
                </c:ext>
              </c:extLst>
            </c:dLbl>
            <c:dLbl>
              <c:idx val="1"/>
              <c:layout>
                <c:manualLayout>
                  <c:x val="-0.05"/>
                  <c:y val="-7.8703703703703706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6E2-4226-A712-4A5859B9A017}"/>
                </c:ext>
              </c:extLst>
            </c:dLbl>
            <c:dLbl>
              <c:idx val="2"/>
              <c:layout>
                <c:manualLayout>
                  <c:x val="-1.3888888888889093E-2"/>
                  <c:y val="-5.0925925925925923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6E2-4226-A712-4A5859B9A01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'5'!$R$18:$R$20</c:f>
              <c:numCache>
                <c:formatCode>0.00%</c:formatCode>
                <c:ptCount val="3"/>
                <c:pt idx="0" formatCode="General">
                  <c:v>0</c:v>
                </c:pt>
                <c:pt idx="1">
                  <c:v>4.9763033175355464E-2</c:v>
                </c:pt>
                <c:pt idx="2" formatCode="General">
                  <c:v>1</c:v>
                </c:pt>
              </c:numCache>
            </c:numRef>
          </c:xVal>
          <c:yVal>
            <c:numRef>
              <c:f>'5'!$S$18:$S$20</c:f>
              <c:numCache>
                <c:formatCode>0.00%</c:formatCode>
                <c:ptCount val="3"/>
                <c:pt idx="0" formatCode="General">
                  <c:v>0</c:v>
                </c:pt>
                <c:pt idx="1">
                  <c:v>0.30769230769230771</c:v>
                </c:pt>
                <c:pt idx="2" formatCode="General">
                  <c:v>1</c:v>
                </c:pt>
              </c:numCache>
            </c:numRef>
          </c:yVal>
          <c:smooth val="0"/>
          <c:extLst>
            <c:ext xmlns:c16="http://schemas.microsoft.com/office/drawing/2014/chart" uri="{C3380CC4-5D6E-409C-BE32-E72D297353CC}">
              <c16:uniqueId val="{00000000-76E2-4226-A712-4A5859B9A017}"/>
            </c:ext>
          </c:extLst>
        </c:ser>
        <c:ser>
          <c:idx val="1"/>
          <c:order val="1"/>
          <c:tx>
            <c:v>No Predictive Power Model</c:v>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'5'!$T$18:$T$20</c:f>
              <c:numCache>
                <c:formatCode>General</c:formatCode>
                <c:ptCount val="3"/>
                <c:pt idx="0">
                  <c:v>0</c:v>
                </c:pt>
                <c:pt idx="1">
                  <c:v>0.25</c:v>
                </c:pt>
                <c:pt idx="2">
                  <c:v>1</c:v>
                </c:pt>
              </c:numCache>
            </c:numRef>
          </c:xVal>
          <c:yVal>
            <c:numRef>
              <c:f>'5'!$U$18:$U$20</c:f>
              <c:numCache>
                <c:formatCode>General</c:formatCode>
                <c:ptCount val="3"/>
                <c:pt idx="0">
                  <c:v>0</c:v>
                </c:pt>
                <c:pt idx="1">
                  <c:v>0.25</c:v>
                </c:pt>
                <c:pt idx="2">
                  <c:v>1</c:v>
                </c:pt>
              </c:numCache>
            </c:numRef>
          </c:yVal>
          <c:smooth val="0"/>
          <c:extLst>
            <c:ext xmlns:c16="http://schemas.microsoft.com/office/drawing/2014/chart" uri="{C3380CC4-5D6E-409C-BE32-E72D297353CC}">
              <c16:uniqueId val="{00000002-76E2-4226-A712-4A5859B9A017}"/>
            </c:ext>
          </c:extLst>
        </c:ser>
        <c:ser>
          <c:idx val="2"/>
          <c:order val="2"/>
          <c:tx>
            <c:v>Perfect Model</c:v>
          </c:tx>
          <c:spPr>
            <a:ln w="25400" cap="rnd">
              <a:solidFill>
                <a:schemeClr val="tx1"/>
              </a:solidFill>
              <a:round/>
            </a:ln>
            <a:effectLst/>
          </c:spPr>
          <c:marker>
            <c:symbol val="square"/>
            <c:size val="5"/>
            <c:spPr>
              <a:solidFill>
                <a:schemeClr val="tx1"/>
              </a:solidFill>
              <a:ln w="9525">
                <a:solidFill>
                  <a:schemeClr val="tx1"/>
                </a:solidFill>
              </a:ln>
              <a:effectLst/>
            </c:spPr>
          </c:marker>
          <c:xVal>
            <c:numRef>
              <c:f>'5'!$V$18:$V$20</c:f>
              <c:numCache>
                <c:formatCode>General</c:formatCode>
                <c:ptCount val="3"/>
                <c:pt idx="0">
                  <c:v>0</c:v>
                </c:pt>
                <c:pt idx="1">
                  <c:v>0</c:v>
                </c:pt>
                <c:pt idx="2">
                  <c:v>1</c:v>
                </c:pt>
              </c:numCache>
            </c:numRef>
          </c:xVal>
          <c:yVal>
            <c:numRef>
              <c:f>'5'!$W$18:$W$20</c:f>
              <c:numCache>
                <c:formatCode>General</c:formatCode>
                <c:ptCount val="3"/>
                <c:pt idx="0">
                  <c:v>0</c:v>
                </c:pt>
                <c:pt idx="1">
                  <c:v>1</c:v>
                </c:pt>
                <c:pt idx="2">
                  <c:v>1</c:v>
                </c:pt>
              </c:numCache>
            </c:numRef>
          </c:yVal>
          <c:smooth val="0"/>
          <c:extLst>
            <c:ext xmlns:c16="http://schemas.microsoft.com/office/drawing/2014/chart" uri="{C3380CC4-5D6E-409C-BE32-E72D297353CC}">
              <c16:uniqueId val="{00000003-76E2-4226-A712-4A5859B9A017}"/>
            </c:ext>
          </c:extLst>
        </c:ser>
        <c:dLbls>
          <c:showLegendKey val="0"/>
          <c:showVal val="0"/>
          <c:showCatName val="0"/>
          <c:showSerName val="0"/>
          <c:showPercent val="0"/>
          <c:showBubbleSize val="0"/>
        </c:dLbls>
        <c:axId val="574662000"/>
        <c:axId val="574659048"/>
      </c:scatterChart>
      <c:valAx>
        <c:axId val="574662000"/>
        <c:scaling>
          <c:orientation val="minMax"/>
          <c:max val="1"/>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False Positive Rate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4659048"/>
        <c:crosses val="autoZero"/>
        <c:crossBetween val="midCat"/>
      </c:valAx>
      <c:valAx>
        <c:axId val="574659048"/>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Sensitivity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4662000"/>
        <c:crosses val="autoZero"/>
        <c:crossBetween val="midCat"/>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7.png"/></Relationships>
</file>

<file path=xl/drawings/_rels/drawing17.xml.rels><?xml version="1.0" encoding="UTF-8" standalone="yes"?>
<Relationships xmlns="http://schemas.openxmlformats.org/package/2006/relationships"><Relationship Id="rId1" Type="http://schemas.openxmlformats.org/officeDocument/2006/relationships/image" Target="../media/image9.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chart" Target="../charts/chart1.xml"/></Relationships>
</file>

<file path=xl/drawings/_rels/drawing9.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3</xdr:col>
      <xdr:colOff>390525</xdr:colOff>
      <xdr:row>0</xdr:row>
      <xdr:rowOff>0</xdr:rowOff>
    </xdr:from>
    <xdr:to>
      <xdr:col>9</xdr:col>
      <xdr:colOff>111972</xdr:colOff>
      <xdr:row>4</xdr:row>
      <xdr:rowOff>32174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19325" y="0"/>
          <a:ext cx="3379047" cy="794174"/>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0.13611</cdr:x>
      <cdr:y>0.36227</cdr:y>
    </cdr:from>
    <cdr:to>
      <cdr:x>0.39236</cdr:x>
      <cdr:y>0.4456</cdr:y>
    </cdr:to>
    <cdr:sp macro="" textlink="">
      <cdr:nvSpPr>
        <cdr:cNvPr id="2" name="TextBox 5">
          <a:extLst xmlns:a="http://schemas.openxmlformats.org/drawingml/2006/main">
            <a:ext uri="{FF2B5EF4-FFF2-40B4-BE49-F238E27FC236}">
              <a16:creationId xmlns:a16="http://schemas.microsoft.com/office/drawing/2014/main" id="{9845C567-1304-4AA1-8831-58FBE590CF82}"/>
            </a:ext>
          </a:extLst>
        </cdr:cNvPr>
        <cdr:cNvSpPr txBox="1"/>
      </cdr:nvSpPr>
      <cdr:spPr>
        <a:xfrm xmlns:a="http://schemas.openxmlformats.org/drawingml/2006/main">
          <a:off x="622300" y="993775"/>
          <a:ext cx="1171575" cy="22860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GB" sz="800"/>
            <a:t>25% Threshold</a:t>
          </a:r>
        </a:p>
      </cdr:txBody>
    </cdr:sp>
  </cdr:relSizeAnchor>
</c:userShapes>
</file>

<file path=xl/drawings/drawing11.xml><?xml version="1.0" encoding="utf-8"?>
<xdr:wsDr xmlns:xdr="http://schemas.openxmlformats.org/drawingml/2006/spreadsheetDrawing" xmlns:a="http://schemas.openxmlformats.org/drawingml/2006/main">
  <xdr:oneCellAnchor>
    <xdr:from>
      <xdr:col>13</xdr:col>
      <xdr:colOff>361950</xdr:colOff>
      <xdr:row>3</xdr:row>
      <xdr:rowOff>61912</xdr:rowOff>
    </xdr:from>
    <xdr:ext cx="1083502" cy="413831"/>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8591550" y="642937"/>
              <a:ext cx="1083502" cy="4138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1−</m:t>
                    </m:r>
                    <m:sSup>
                      <m:sSupPr>
                        <m:ctrlPr>
                          <a:rPr lang="en-US" sz="1100" b="0" i="1">
                            <a:latin typeface="Cambria Math" panose="02040503050406030204" pitchFamily="18" charset="0"/>
                          </a:rPr>
                        </m:ctrlPr>
                      </m:sSupPr>
                      <m:e>
                        <m:d>
                          <m:dPr>
                            <m:ctrlPr>
                              <a:rPr lang="en-US" sz="1100" b="0" i="1">
                                <a:latin typeface="Cambria Math" panose="02040503050406030204" pitchFamily="18" charset="0"/>
                              </a:rPr>
                            </m:ctrlPr>
                          </m:dPr>
                          <m:e>
                            <m:f>
                              <m:fPr>
                                <m:ctrlPr>
                                  <a:rPr lang="en-US" sz="1100" b="0" i="1">
                                    <a:latin typeface="Cambria Math" panose="02040503050406030204" pitchFamily="18" charset="0"/>
                                  </a:rPr>
                                </m:ctrlPr>
                              </m:fPr>
                              <m:num>
                                <m:r>
                                  <a:rPr lang="en-US" sz="1100" b="0" i="1">
                                    <a:latin typeface="Cambria Math" panose="02040503050406030204" pitchFamily="18" charset="0"/>
                                  </a:rPr>
                                  <m:t>22,800</m:t>
                                </m:r>
                              </m:num>
                              <m:den>
                                <m:r>
                                  <a:rPr lang="en-US" sz="1100" b="0" i="1">
                                    <a:latin typeface="Cambria Math" panose="02040503050406030204" pitchFamily="18" charset="0"/>
                                  </a:rPr>
                                  <m:t>122,800</m:t>
                                </m:r>
                              </m:den>
                            </m:f>
                          </m:e>
                        </m:d>
                      </m:e>
                      <m:sup>
                        <m:r>
                          <a:rPr lang="en-US" sz="1100" b="0" i="1">
                            <a:latin typeface="Cambria Math" panose="02040503050406030204" pitchFamily="18" charset="0"/>
                          </a:rPr>
                          <m:t>0.3</m:t>
                        </m:r>
                      </m:sup>
                    </m:sSup>
                  </m:oMath>
                </m:oMathPara>
              </a14:m>
              <a:endParaRPr lang="en-GB" sz="1100"/>
            </a:p>
          </xdr:txBody>
        </xdr:sp>
      </mc:Choice>
      <mc:Fallback xmlns="">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8591550" y="642937"/>
              <a:ext cx="1083502" cy="4138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b="0" i="0">
                  <a:latin typeface="Cambria Math" panose="02040503050406030204" pitchFamily="18" charset="0"/>
                </a:rPr>
                <a:t>1−(22,800/122,800)^0.3</a:t>
              </a:r>
              <a:endParaRPr lang="en-GB" sz="1100"/>
            </a:p>
          </xdr:txBody>
        </xdr:sp>
      </mc:Fallback>
    </mc:AlternateContent>
    <xdr:clientData/>
  </xdr:oneCellAnchor>
  <xdr:oneCellAnchor>
    <xdr:from>
      <xdr:col>13</xdr:col>
      <xdr:colOff>38100</xdr:colOff>
      <xdr:row>43</xdr:row>
      <xdr:rowOff>128587</xdr:rowOff>
    </xdr:from>
    <xdr:ext cx="2458301" cy="357342"/>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A00-000003000000}"/>
                </a:ext>
              </a:extLst>
            </xdr:cNvPr>
            <xdr:cNvSpPr txBox="1"/>
          </xdr:nvSpPr>
          <xdr:spPr>
            <a:xfrm>
              <a:off x="8286750" y="8339137"/>
              <a:ext cx="2458301" cy="357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m:rPr>
                        <m:nor/>
                      </m:rPr>
                      <a:rPr lang="en-US" sz="1100" b="0" i="0">
                        <a:latin typeface="Cambria Math" panose="02040503050406030204" pitchFamily="18" charset="0"/>
                      </a:rPr>
                      <m:t>GCP</m:t>
                    </m:r>
                    <m:r>
                      <a:rPr lang="en-US" sz="1100" b="0" i="1">
                        <a:latin typeface="Cambria Math" panose="02040503050406030204" pitchFamily="18" charset="0"/>
                      </a:rPr>
                      <m:t>= </m:t>
                    </m:r>
                    <m:f>
                      <m:fPr>
                        <m:ctrlPr>
                          <a:rPr lang="en-US" sz="1100" b="0" i="1">
                            <a:latin typeface="Cambria Math" panose="02040503050406030204" pitchFamily="18" charset="0"/>
                          </a:rPr>
                        </m:ctrlPr>
                      </m:fPr>
                      <m:num>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𝐿</m:t>
                            </m:r>
                          </m:e>
                        </m:d>
                        <m:r>
                          <a:rPr lang="en-US" sz="1100" b="0" i="1">
                            <a:latin typeface="Cambria Math" panose="02040503050406030204" pitchFamily="18" charset="0"/>
                          </a:rPr>
                          <m:t>⋅</m:t>
                        </m:r>
                        <m:d>
                          <m:dPr>
                            <m:ctrlPr>
                              <a:rPr lang="en-US" sz="1100" b="0" i="1">
                                <a:latin typeface="Cambria Math" panose="02040503050406030204" pitchFamily="18" charset="0"/>
                              </a:rPr>
                            </m:ctrlPr>
                          </m:dPr>
                          <m:e>
                            <m:r>
                              <m:rPr>
                                <m:nor/>
                              </m:rPr>
                              <a:rPr lang="en-US" sz="1100" b="0" i="0">
                                <a:latin typeface="Cambria Math" panose="02040503050406030204" pitchFamily="18" charset="0"/>
                              </a:rPr>
                              <m:t>Exp</m:t>
                            </m:r>
                            <m:r>
                              <m:rPr>
                                <m:nor/>
                              </m:rPr>
                              <a:rPr lang="en-US" sz="1100" b="0" i="0">
                                <a:latin typeface="Cambria Math" panose="02040503050406030204" pitchFamily="18" charset="0"/>
                              </a:rPr>
                              <m:t>. </m:t>
                            </m:r>
                            <m:r>
                              <m:rPr>
                                <m:nor/>
                              </m:rPr>
                              <a:rPr lang="en-US" sz="1100" b="0" i="0">
                                <a:latin typeface="Cambria Math" panose="02040503050406030204" pitchFamily="18" charset="0"/>
                              </a:rPr>
                              <m:t>Mod</m:t>
                            </m:r>
                          </m:e>
                        </m:d>
                        <m:r>
                          <a:rPr lang="en-US" sz="1100" b="0" i="1">
                            <a:latin typeface="Cambria Math" panose="02040503050406030204" pitchFamily="18" charset="0"/>
                          </a:rPr>
                          <m:t>⋅</m:t>
                        </m:r>
                        <m:d>
                          <m:dPr>
                            <m:ctrlPr>
                              <a:rPr lang="en-US" sz="1100" b="0" i="1">
                                <a:latin typeface="Cambria Math" panose="02040503050406030204" pitchFamily="18" charset="0"/>
                              </a:rPr>
                            </m:ctrlPr>
                          </m:dPr>
                          <m:e>
                            <m:r>
                              <a:rPr lang="en-US" sz="1100" b="0" i="1">
                                <a:latin typeface="Cambria Math" panose="02040503050406030204" pitchFamily="18" charset="0"/>
                              </a:rPr>
                              <m:t>1+</m:t>
                            </m:r>
                            <m:r>
                              <m:rPr>
                                <m:nor/>
                              </m:rPr>
                              <a:rPr lang="en-US" sz="1100" b="0" i="0">
                                <a:latin typeface="Cambria Math" panose="02040503050406030204" pitchFamily="18" charset="0"/>
                              </a:rPr>
                              <m:t>LAE</m:t>
                            </m:r>
                            <m:r>
                              <a:rPr lang="en-US" sz="1100" b="0" i="1">
                                <a:latin typeface="Cambria Math" panose="02040503050406030204" pitchFamily="18" charset="0"/>
                              </a:rPr>
                              <m:t> %</m:t>
                            </m:r>
                          </m:e>
                        </m:d>
                      </m:num>
                      <m:den>
                        <m:r>
                          <a:rPr lang="en-US" sz="1100" b="0" i="1">
                            <a:latin typeface="Cambria Math" panose="02040503050406030204" pitchFamily="18" charset="0"/>
                          </a:rPr>
                          <m:t>1−</m:t>
                        </m:r>
                        <m:r>
                          <m:rPr>
                            <m:nor/>
                          </m:rPr>
                          <a:rPr lang="en-US" sz="1100" b="0" i="0">
                            <a:latin typeface="Cambria Math" panose="02040503050406030204" pitchFamily="18" charset="0"/>
                          </a:rPr>
                          <m:t>Variable</m:t>
                        </m:r>
                        <m:r>
                          <m:rPr>
                            <m:nor/>
                          </m:rPr>
                          <a:rPr lang="en-US" sz="1100" b="0" i="0">
                            <a:latin typeface="Cambria Math" panose="02040503050406030204" pitchFamily="18" charset="0"/>
                          </a:rPr>
                          <m:t> </m:t>
                        </m:r>
                        <m:r>
                          <m:rPr>
                            <m:nor/>
                          </m:rPr>
                          <a:rPr lang="en-US" sz="1100" b="0" i="0">
                            <a:latin typeface="Cambria Math" panose="02040503050406030204" pitchFamily="18" charset="0"/>
                          </a:rPr>
                          <m:t>Expenses</m:t>
                        </m:r>
                      </m:den>
                    </m:f>
                  </m:oMath>
                </m:oMathPara>
              </a14:m>
              <a:endParaRPr lang="en-GB" sz="1100"/>
            </a:p>
          </xdr:txBody>
        </xdr:sp>
      </mc:Choice>
      <mc:Fallback xmlns="">
        <xdr:sp macro="" textlink="">
          <xdr:nvSpPr>
            <xdr:cNvPr id="3" name="TextBox 2">
              <a:extLst>
                <a:ext uri="{FF2B5EF4-FFF2-40B4-BE49-F238E27FC236}">
                  <a16:creationId xmlns:a16="http://schemas.microsoft.com/office/drawing/2014/main" id="{BC0E9C1A-CACA-46B7-BB82-28F2813D939F}"/>
                </a:ext>
              </a:extLst>
            </xdr:cNvPr>
            <xdr:cNvSpPr txBox="1"/>
          </xdr:nvSpPr>
          <xdr:spPr>
            <a:xfrm>
              <a:off x="8286750" y="8339137"/>
              <a:ext cx="2458301" cy="357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"GCP"=  (𝐸[𝐿]⋅("Exp. Mod" )⋅(1+"LAE"  %))/(1−"Variable Expenses" )</a:t>
              </a:r>
              <a:endParaRPr lang="en-GB" sz="1100"/>
            </a:p>
          </xdr:txBody>
        </xdr:sp>
      </mc:Fallback>
    </mc:AlternateContent>
    <xdr:clientData/>
  </xdr:oneCellAnchor>
</xdr:wsDr>
</file>

<file path=xl/drawings/drawing12.xml><?xml version="1.0" encoding="utf-8"?>
<xdr:wsDr xmlns:xdr="http://schemas.openxmlformats.org/drawingml/2006/spreadsheetDrawing" xmlns:a="http://schemas.openxmlformats.org/drawingml/2006/main">
  <xdr:twoCellAnchor editAs="oneCell">
    <xdr:from>
      <xdr:col>0</xdr:col>
      <xdr:colOff>597710</xdr:colOff>
      <xdr:row>5</xdr:row>
      <xdr:rowOff>0</xdr:rowOff>
    </xdr:from>
    <xdr:to>
      <xdr:col>6</xdr:col>
      <xdr:colOff>453933</xdr:colOff>
      <xdr:row>18</xdr:row>
      <xdr:rowOff>56557</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597710" y="929640"/>
          <a:ext cx="5586463" cy="2433997"/>
        </a:xfrm>
        <a:prstGeom prst="rect">
          <a:avLst/>
        </a:prstGeom>
      </xdr:spPr>
    </xdr:pic>
    <xdr:clientData/>
  </xdr:twoCellAnchor>
  <xdr:twoCellAnchor editAs="oneCell">
    <xdr:from>
      <xdr:col>0</xdr:col>
      <xdr:colOff>601980</xdr:colOff>
      <xdr:row>19</xdr:row>
      <xdr:rowOff>175260</xdr:rowOff>
    </xdr:from>
    <xdr:to>
      <xdr:col>6</xdr:col>
      <xdr:colOff>454610</xdr:colOff>
      <xdr:row>33</xdr:row>
      <xdr:rowOff>83820</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a:stretch>
          <a:fillRect/>
        </a:stretch>
      </xdr:blipFill>
      <xdr:spPr>
        <a:xfrm>
          <a:off x="601980" y="3665220"/>
          <a:ext cx="5582870" cy="246888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200025</xdr:colOff>
      <xdr:row>0</xdr:row>
      <xdr:rowOff>185737</xdr:rowOff>
    </xdr:from>
    <xdr:ext cx="1459374" cy="316882"/>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6305550" y="185737"/>
              <a:ext cx="1459374" cy="3168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𝑋</m:t>
                    </m:r>
                    <m:r>
                      <a:rPr lang="en-US" sz="1100" b="0" i="1">
                        <a:latin typeface="Cambria Math" panose="02040503050406030204" pitchFamily="18" charset="0"/>
                      </a:rPr>
                      <m:t>= </m:t>
                    </m:r>
                    <m:f>
                      <m:fPr>
                        <m:ctrlPr>
                          <a:rPr lang="en-US" sz="1100" b="0" i="1">
                            <a:latin typeface="Cambria Math" panose="02040503050406030204" pitchFamily="18" charset="0"/>
                          </a:rPr>
                        </m:ctrlPr>
                      </m:fPr>
                      <m:num>
                        <m:r>
                          <a:rPr lang="en-US" sz="1100" b="0" i="1">
                            <a:latin typeface="Cambria Math" panose="02040503050406030204" pitchFamily="18" charset="0"/>
                          </a:rPr>
                          <m:t>𝐴</m:t>
                        </m:r>
                      </m:num>
                      <m:den>
                        <m:r>
                          <a:rPr lang="en-US" sz="1100" b="0" i="1">
                            <a:latin typeface="Cambria Math" panose="02040503050406030204" pitchFamily="18" charset="0"/>
                          </a:rPr>
                          <m:t>𝐸</m:t>
                        </m:r>
                      </m:den>
                    </m:f>
                    <m:r>
                      <a:rPr lang="en-US" sz="1100" b="0" i="1">
                        <a:latin typeface="Cambria Math" panose="02040503050406030204" pitchFamily="18" charset="0"/>
                      </a:rPr>
                      <m:t>⋅</m:t>
                    </m:r>
                    <m:r>
                      <a:rPr lang="en-US" sz="1100" b="0" i="1">
                        <a:latin typeface="Cambria Math" panose="02040503050406030204" pitchFamily="18" charset="0"/>
                      </a:rPr>
                      <m:t>𝑍</m:t>
                    </m:r>
                    <m:r>
                      <a:rPr lang="en-US" sz="1100" b="0" i="1">
                        <a:latin typeface="Cambria Math" panose="02040503050406030204" pitchFamily="18" charset="0"/>
                      </a:rPr>
                      <m:t>+</m:t>
                    </m:r>
                    <m:d>
                      <m:dPr>
                        <m:ctrlPr>
                          <a:rPr lang="en-US" sz="1100" b="0" i="1">
                            <a:latin typeface="Cambria Math" panose="02040503050406030204" pitchFamily="18" charset="0"/>
                          </a:rPr>
                        </m:ctrlPr>
                      </m:dPr>
                      <m:e>
                        <m:r>
                          <a:rPr lang="en-US" sz="1100" b="0" i="1">
                            <a:latin typeface="Cambria Math" panose="02040503050406030204" pitchFamily="18" charset="0"/>
                          </a:rPr>
                          <m:t>1−</m:t>
                        </m:r>
                        <m:r>
                          <a:rPr lang="en-US" sz="1100" b="0" i="1">
                            <a:latin typeface="Cambria Math" panose="02040503050406030204" pitchFamily="18" charset="0"/>
                          </a:rPr>
                          <m:t>𝑍</m:t>
                        </m:r>
                      </m:e>
                    </m:d>
                    <m:r>
                      <a:rPr lang="en-US" sz="1100" b="0" i="1">
                        <a:latin typeface="Cambria Math" panose="02040503050406030204" pitchFamily="18" charset="0"/>
                      </a:rPr>
                      <m:t>⋅1</m:t>
                    </m:r>
                  </m:oMath>
                </m:oMathPara>
              </a14:m>
              <a:endParaRPr lang="en-GB" sz="1100"/>
            </a:p>
          </xdr:txBody>
        </xdr:sp>
      </mc:Choice>
      <mc:Fallback xmlns="">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6305550" y="185737"/>
              <a:ext cx="1459374" cy="3168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b="0" i="0">
                  <a:latin typeface="Cambria Math" panose="02040503050406030204" pitchFamily="18" charset="0"/>
                </a:rPr>
                <a:t>𝑋=  𝐴/𝐸⋅𝑍+(1−𝑍)⋅1</a:t>
              </a:r>
              <a:endParaRPr lang="en-GB" sz="1100"/>
            </a:p>
          </xdr:txBody>
        </xdr:sp>
      </mc:Fallback>
    </mc:AlternateContent>
    <xdr:clientData/>
  </xdr:oneCellAnchor>
</xdr:wsDr>
</file>

<file path=xl/drawings/drawing14.xml><?xml version="1.0" encoding="utf-8"?>
<xdr:wsDr xmlns:xdr="http://schemas.openxmlformats.org/drawingml/2006/spreadsheetDrawing" xmlns:a="http://schemas.openxmlformats.org/drawingml/2006/main">
  <xdr:twoCellAnchor editAs="oneCell">
    <xdr:from>
      <xdr:col>1</xdr:col>
      <xdr:colOff>38100</xdr:colOff>
      <xdr:row>6</xdr:row>
      <xdr:rowOff>45719</xdr:rowOff>
    </xdr:from>
    <xdr:to>
      <xdr:col>4</xdr:col>
      <xdr:colOff>800100</xdr:colOff>
      <xdr:row>19</xdr:row>
      <xdr:rowOff>65432</xdr:rowOff>
    </xdr:to>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rotWithShape="1">
        <a:blip xmlns:r="http://schemas.openxmlformats.org/officeDocument/2006/relationships" r:embed="rId1"/>
        <a:srcRect l="3031" t="4412" r="4037" b="2566"/>
        <a:stretch/>
      </xdr:blipFill>
      <xdr:spPr>
        <a:xfrm>
          <a:off x="662940" y="1158239"/>
          <a:ext cx="3802380" cy="2397153"/>
        </a:xfrm>
        <a:prstGeom prst="rect">
          <a:avLst/>
        </a:prstGeom>
      </xdr:spPr>
    </xdr:pic>
    <xdr:clientData/>
  </xdr:twoCellAnchor>
  <xdr:twoCellAnchor editAs="oneCell">
    <xdr:from>
      <xdr:col>1</xdr:col>
      <xdr:colOff>53340</xdr:colOff>
      <xdr:row>19</xdr:row>
      <xdr:rowOff>121920</xdr:rowOff>
    </xdr:from>
    <xdr:to>
      <xdr:col>4</xdr:col>
      <xdr:colOff>800100</xdr:colOff>
      <xdr:row>32</xdr:row>
      <xdr:rowOff>168918</xdr:rowOff>
    </xdr:to>
    <xdr:pic>
      <xdr:nvPicPr>
        <xdr:cNvPr id="4" name="Picture 3">
          <a:extLst>
            <a:ext uri="{FF2B5EF4-FFF2-40B4-BE49-F238E27FC236}">
              <a16:creationId xmlns:a16="http://schemas.microsoft.com/office/drawing/2014/main" id="{00000000-0008-0000-0F00-000004000000}"/>
            </a:ext>
          </a:extLst>
        </xdr:cNvPr>
        <xdr:cNvPicPr>
          <a:picLocks noChangeAspect="1"/>
        </xdr:cNvPicPr>
      </xdr:nvPicPr>
      <xdr:blipFill rotWithShape="1">
        <a:blip xmlns:r="http://schemas.openxmlformats.org/officeDocument/2006/relationships" r:embed="rId2"/>
        <a:srcRect l="1484" t="5089" r="2531" b="2672"/>
        <a:stretch/>
      </xdr:blipFill>
      <xdr:spPr>
        <a:xfrm>
          <a:off x="678180" y="3611880"/>
          <a:ext cx="3787140" cy="2424438"/>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oneCellAnchor>
    <xdr:from>
      <xdr:col>12</xdr:col>
      <xdr:colOff>28575</xdr:colOff>
      <xdr:row>1</xdr:row>
      <xdr:rowOff>14287</xdr:rowOff>
    </xdr:from>
    <xdr:ext cx="2549929" cy="17222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1000-000002000000}"/>
                </a:ext>
              </a:extLst>
            </xdr:cNvPr>
            <xdr:cNvSpPr txBox="1"/>
          </xdr:nvSpPr>
          <xdr:spPr>
            <a:xfrm>
              <a:off x="9067800" y="214312"/>
              <a:ext cx="2549929"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𝑆</m:t>
                        </m:r>
                      </m:e>
                    </m:d>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𝑁</m:t>
                        </m:r>
                      </m:e>
                    </m:d>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;5,000</m:t>
                        </m:r>
                      </m:e>
                    </m:d>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;4,000</m:t>
                        </m:r>
                      </m:e>
                    </m:d>
                    <m:r>
                      <a:rPr lang="en-US" sz="1100" b="0" i="1">
                        <a:latin typeface="Cambria Math" panose="02040503050406030204" pitchFamily="18" charset="0"/>
                      </a:rPr>
                      <m:t>)</m:t>
                    </m:r>
                  </m:oMath>
                </m:oMathPara>
              </a14:m>
              <a:endParaRPr lang="en-GB" sz="1100"/>
            </a:p>
          </xdr:txBody>
        </xdr:sp>
      </mc:Choice>
      <mc:Fallback xmlns="">
        <xdr:sp macro="" textlink="">
          <xdr:nvSpPr>
            <xdr:cNvPr id="2" name="TextBox 1">
              <a:extLst>
                <a:ext uri="{FF2B5EF4-FFF2-40B4-BE49-F238E27FC236}">
                  <a16:creationId xmlns:a16="http://schemas.microsoft.com/office/drawing/2014/main" id="{D832CD95-B550-4F9F-AA76-177C4C65EE60}"/>
                </a:ext>
              </a:extLst>
            </xdr:cNvPr>
            <xdr:cNvSpPr txBox="1"/>
          </xdr:nvSpPr>
          <xdr:spPr>
            <a:xfrm>
              <a:off x="9067800" y="214312"/>
              <a:ext cx="2549929"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𝐸[𝑆]=𝐸[𝑁]⋅(𝐸[𝑋;5,000]−𝐸[𝑋;4,000])</a:t>
              </a:r>
              <a:endParaRPr lang="en-GB" sz="1100"/>
            </a:p>
          </xdr:txBody>
        </xdr:sp>
      </mc:Fallback>
    </mc:AlternateContent>
    <xdr:clientData/>
  </xdr:oneCellAnchor>
  <xdr:oneCellAnchor>
    <xdr:from>
      <xdr:col>8</xdr:col>
      <xdr:colOff>95250</xdr:colOff>
      <xdr:row>4</xdr:row>
      <xdr:rowOff>52387</xdr:rowOff>
    </xdr:from>
    <xdr:ext cx="2018694" cy="321435"/>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1000-000003000000}"/>
                </a:ext>
              </a:extLst>
            </xdr:cNvPr>
            <xdr:cNvSpPr txBox="1"/>
          </xdr:nvSpPr>
          <xdr:spPr>
            <a:xfrm>
              <a:off x="6696075" y="823912"/>
              <a:ext cx="2018694" cy="3214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𝑒</m:t>
                        </m:r>
                      </m:e>
                      <m:sub>
                        <m:r>
                          <a:rPr lang="en-US" sz="1100" b="0" i="1">
                            <a:latin typeface="Cambria Math" panose="02040503050406030204" pitchFamily="18" charset="0"/>
                          </a:rPr>
                          <m:t>𝑋</m:t>
                        </m:r>
                      </m:sub>
                    </m:sSub>
                    <m:d>
                      <m:dPr>
                        <m:ctrlPr>
                          <a:rPr lang="en-US" sz="1100" b="0" i="1">
                            <a:latin typeface="Cambria Math" panose="02040503050406030204" pitchFamily="18" charset="0"/>
                          </a:rPr>
                        </m:ctrlPr>
                      </m:dPr>
                      <m:e>
                        <m:r>
                          <a:rPr lang="en-US" sz="1100" b="0" i="1">
                            <a:latin typeface="Cambria Math" panose="02040503050406030204" pitchFamily="18" charset="0"/>
                          </a:rPr>
                          <m:t>6,000</m:t>
                        </m:r>
                      </m:e>
                    </m:d>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6,000+</m:t>
                        </m:r>
                        <m:r>
                          <a:rPr lang="en-US" sz="1100" b="0" i="1">
                            <a:latin typeface="Cambria Math" panose="02040503050406030204" pitchFamily="18" charset="0"/>
                          </a:rPr>
                          <m:t>𝛽</m:t>
                        </m:r>
                      </m:num>
                      <m:den>
                        <m:r>
                          <a:rPr lang="en-US" sz="1100" b="0" i="1">
                            <a:latin typeface="Cambria Math" panose="02040503050406030204" pitchFamily="18" charset="0"/>
                          </a:rPr>
                          <m:t>𝛼</m:t>
                        </m:r>
                        <m:r>
                          <a:rPr lang="en-US" sz="1100" b="0" i="1">
                            <a:latin typeface="Cambria Math" panose="02040503050406030204" pitchFamily="18" charset="0"/>
                          </a:rPr>
                          <m:t>−1</m:t>
                        </m:r>
                      </m:den>
                    </m:f>
                    <m:r>
                      <a:rPr lang="en-US" sz="1100" b="0" i="1">
                        <a:latin typeface="Cambria Math" panose="02040503050406030204" pitchFamily="18" charset="0"/>
                      </a:rPr>
                      <m:t>=15,000</m:t>
                    </m:r>
                  </m:oMath>
                </m:oMathPara>
              </a14:m>
              <a:endParaRPr lang="en-GB" sz="1100"/>
            </a:p>
          </xdr:txBody>
        </xdr:sp>
      </mc:Choice>
      <mc:Fallback xmlns="">
        <xdr:sp macro="" textlink="">
          <xdr:nvSpPr>
            <xdr:cNvPr id="3" name="TextBox 2">
              <a:extLst>
                <a:ext uri="{FF2B5EF4-FFF2-40B4-BE49-F238E27FC236}">
                  <a16:creationId xmlns:a16="http://schemas.microsoft.com/office/drawing/2014/main" id="{8660D758-7E51-46E1-A426-F21F1457F3F2}"/>
                </a:ext>
              </a:extLst>
            </xdr:cNvPr>
            <xdr:cNvSpPr txBox="1"/>
          </xdr:nvSpPr>
          <xdr:spPr>
            <a:xfrm>
              <a:off x="6696075" y="823912"/>
              <a:ext cx="2018694" cy="3214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𝑒_𝑋 (6,000)=(6,000+𝛽)/(𝛼−1)=15,000</a:t>
              </a:r>
              <a:endParaRPr lang="en-GB" sz="1100"/>
            </a:p>
          </xdr:txBody>
        </xdr:sp>
      </mc:Fallback>
    </mc:AlternateContent>
    <xdr:clientData/>
  </xdr:oneCellAnchor>
  <xdr:oneCellAnchor>
    <xdr:from>
      <xdr:col>8</xdr:col>
      <xdr:colOff>85725</xdr:colOff>
      <xdr:row>6</xdr:row>
      <xdr:rowOff>52387</xdr:rowOff>
    </xdr:from>
    <xdr:ext cx="1393651" cy="321435"/>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00000000-0008-0000-1000-000004000000}"/>
                </a:ext>
              </a:extLst>
            </xdr:cNvPr>
            <xdr:cNvSpPr txBox="1"/>
          </xdr:nvSpPr>
          <xdr:spPr>
            <a:xfrm>
              <a:off x="6686550" y="1204912"/>
              <a:ext cx="1393651" cy="3214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e>
                    </m:d>
                    <m:r>
                      <a:rPr lang="en-US" sz="1100" b="0" i="1">
                        <a:latin typeface="Cambria Math" panose="02040503050406030204" pitchFamily="18" charset="0"/>
                      </a:rPr>
                      <m:t>= </m:t>
                    </m:r>
                    <m:f>
                      <m:fPr>
                        <m:ctrlPr>
                          <a:rPr lang="en-US" sz="1100" b="0" i="1">
                            <a:latin typeface="Cambria Math" panose="02040503050406030204" pitchFamily="18" charset="0"/>
                          </a:rPr>
                        </m:ctrlPr>
                      </m:fPr>
                      <m:num>
                        <m:r>
                          <a:rPr lang="en-US" sz="1100" b="0" i="1">
                            <a:latin typeface="Cambria Math" panose="02040503050406030204" pitchFamily="18" charset="0"/>
                          </a:rPr>
                          <m:t>𝛽</m:t>
                        </m:r>
                      </m:num>
                      <m:den>
                        <m:r>
                          <a:rPr lang="en-US" sz="1100" b="0" i="1">
                            <a:latin typeface="Cambria Math" panose="02040503050406030204" pitchFamily="18" charset="0"/>
                          </a:rPr>
                          <m:t>𝛼</m:t>
                        </m:r>
                        <m:r>
                          <a:rPr lang="en-US" sz="1100" b="0" i="1">
                            <a:latin typeface="Cambria Math" panose="02040503050406030204" pitchFamily="18" charset="0"/>
                          </a:rPr>
                          <m:t>−1</m:t>
                        </m:r>
                      </m:den>
                    </m:f>
                    <m:r>
                      <a:rPr lang="en-US" sz="1100" b="0" i="1">
                        <a:latin typeface="Cambria Math" panose="02040503050406030204" pitchFamily="18" charset="0"/>
                      </a:rPr>
                      <m:t>=3,000</m:t>
                    </m:r>
                  </m:oMath>
                </m:oMathPara>
              </a14:m>
              <a:endParaRPr lang="en-GB" sz="1100"/>
            </a:p>
          </xdr:txBody>
        </xdr:sp>
      </mc:Choice>
      <mc:Fallback xmlns="">
        <xdr:sp macro="" textlink="">
          <xdr:nvSpPr>
            <xdr:cNvPr id="4" name="TextBox 3">
              <a:extLst>
                <a:ext uri="{FF2B5EF4-FFF2-40B4-BE49-F238E27FC236}">
                  <a16:creationId xmlns:a16="http://schemas.microsoft.com/office/drawing/2014/main" id="{1BD7A4D4-89CD-4969-8D6B-988902FDA8E3}"/>
                </a:ext>
              </a:extLst>
            </xdr:cNvPr>
            <xdr:cNvSpPr txBox="1"/>
          </xdr:nvSpPr>
          <xdr:spPr>
            <a:xfrm>
              <a:off x="6686550" y="1204912"/>
              <a:ext cx="1393651" cy="3214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𝐸[𝑋]=  𝛽/(𝛼−1)=3,000</a:t>
              </a:r>
              <a:endParaRPr lang="en-GB" sz="1100"/>
            </a:p>
          </xdr:txBody>
        </xdr:sp>
      </mc:Fallback>
    </mc:AlternateContent>
    <xdr:clientData/>
  </xdr:oneCellAnchor>
  <xdr:oneCellAnchor>
    <xdr:from>
      <xdr:col>13</xdr:col>
      <xdr:colOff>76200</xdr:colOff>
      <xdr:row>8</xdr:row>
      <xdr:rowOff>109537</xdr:rowOff>
    </xdr:from>
    <xdr:ext cx="1541640" cy="317972"/>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00000000-0008-0000-1000-000005000000}"/>
                </a:ext>
              </a:extLst>
            </xdr:cNvPr>
            <xdr:cNvSpPr txBox="1"/>
          </xdr:nvSpPr>
          <xdr:spPr>
            <a:xfrm>
              <a:off x="9725025" y="1643062"/>
              <a:ext cx="1541640" cy="3179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15,000= </m:t>
                    </m:r>
                    <m:f>
                      <m:fPr>
                        <m:ctrlPr>
                          <a:rPr lang="en-US" sz="1100" b="0" i="1">
                            <a:latin typeface="Cambria Math" panose="02040503050406030204" pitchFamily="18" charset="0"/>
                          </a:rPr>
                        </m:ctrlPr>
                      </m:fPr>
                      <m:num>
                        <m:r>
                          <a:rPr lang="en-US" sz="1100" b="0" i="1">
                            <a:latin typeface="Cambria Math" panose="02040503050406030204" pitchFamily="18" charset="0"/>
                          </a:rPr>
                          <m:t>6,000</m:t>
                        </m:r>
                      </m:num>
                      <m:den>
                        <m:r>
                          <a:rPr lang="en-US" sz="1100" b="0" i="1">
                            <a:latin typeface="Cambria Math" panose="02040503050406030204" pitchFamily="18" charset="0"/>
                          </a:rPr>
                          <m:t>𝛼</m:t>
                        </m:r>
                        <m:r>
                          <a:rPr lang="en-US" sz="1100" b="0" i="1">
                            <a:latin typeface="Cambria Math" panose="02040503050406030204" pitchFamily="18" charset="0"/>
                          </a:rPr>
                          <m:t>−1 </m:t>
                        </m:r>
                      </m:den>
                    </m:f>
                    <m:r>
                      <a:rPr lang="en-US" sz="1100" b="0" i="1">
                        <a:latin typeface="Cambria Math" panose="02040503050406030204" pitchFamily="18" charset="0"/>
                      </a:rPr>
                      <m:t>+3,000</m:t>
                    </m:r>
                  </m:oMath>
                </m:oMathPara>
              </a14:m>
              <a:endParaRPr lang="en-GB" sz="1100"/>
            </a:p>
          </xdr:txBody>
        </xdr:sp>
      </mc:Choice>
      <mc:Fallback xmlns="">
        <xdr:sp macro="" textlink="">
          <xdr:nvSpPr>
            <xdr:cNvPr id="5" name="TextBox 4">
              <a:extLst>
                <a:ext uri="{FF2B5EF4-FFF2-40B4-BE49-F238E27FC236}">
                  <a16:creationId xmlns:a16="http://schemas.microsoft.com/office/drawing/2014/main" id="{F66410E2-934C-42AD-8D57-6574CDFFB944}"/>
                </a:ext>
              </a:extLst>
            </xdr:cNvPr>
            <xdr:cNvSpPr txBox="1"/>
          </xdr:nvSpPr>
          <xdr:spPr>
            <a:xfrm>
              <a:off x="9725025" y="1643062"/>
              <a:ext cx="1541640" cy="3179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15,000=  6,000/(𝛼−1 )+3,000</a:t>
              </a:r>
              <a:endParaRPr lang="en-GB" sz="1100"/>
            </a:p>
          </xdr:txBody>
        </xdr:sp>
      </mc:Fallback>
    </mc:AlternateContent>
    <xdr:clientData/>
  </xdr:oneCellAnchor>
  <xdr:oneCellAnchor>
    <xdr:from>
      <xdr:col>8</xdr:col>
      <xdr:colOff>352425</xdr:colOff>
      <xdr:row>12</xdr:row>
      <xdr:rowOff>100012</xdr:rowOff>
    </xdr:from>
    <xdr:ext cx="3935373" cy="444802"/>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00000000-0008-0000-1000-000006000000}"/>
                </a:ext>
              </a:extLst>
            </xdr:cNvPr>
            <xdr:cNvSpPr txBox="1"/>
          </xdr:nvSpPr>
          <xdr:spPr>
            <a:xfrm>
              <a:off x="6953250" y="2395537"/>
              <a:ext cx="3935373" cy="4448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;5,000</m:t>
                        </m:r>
                      </m:e>
                    </m:d>
                    <m:r>
                      <a:rPr lang="en-US" sz="1100" b="0" i="1">
                        <a:latin typeface="Cambria Math" panose="02040503050406030204" pitchFamily="18" charset="0"/>
                      </a:rPr>
                      <m:t>= </m:t>
                    </m:r>
                    <m:f>
                      <m:fPr>
                        <m:ctrlPr>
                          <a:rPr lang="en-US" sz="1100" b="0" i="1">
                            <a:latin typeface="Cambria Math" panose="02040503050406030204" pitchFamily="18" charset="0"/>
                          </a:rPr>
                        </m:ctrlPr>
                      </m:fPr>
                      <m:num>
                        <m:r>
                          <a:rPr lang="en-US" sz="1100" b="0" i="1">
                            <a:latin typeface="Cambria Math" panose="02040503050406030204" pitchFamily="18" charset="0"/>
                          </a:rPr>
                          <m:t>1,500</m:t>
                        </m:r>
                      </m:num>
                      <m:den>
                        <m:r>
                          <a:rPr lang="en-US" sz="1100" b="0" i="1">
                            <a:latin typeface="Cambria Math" panose="02040503050406030204" pitchFamily="18" charset="0"/>
                          </a:rPr>
                          <m:t>1.5 −1</m:t>
                        </m:r>
                      </m:den>
                    </m:f>
                    <m:r>
                      <a:rPr lang="en-US" sz="1100" b="0" i="1">
                        <a:latin typeface="Cambria Math" panose="02040503050406030204" pitchFamily="18" charset="0"/>
                      </a:rPr>
                      <m:t>⋅</m:t>
                    </m:r>
                    <m:d>
                      <m:dPr>
                        <m:ctrlPr>
                          <a:rPr lang="en-US" sz="1100" b="0" i="1">
                            <a:latin typeface="Cambria Math" panose="02040503050406030204" pitchFamily="18" charset="0"/>
                          </a:rPr>
                        </m:ctrlPr>
                      </m:dPr>
                      <m:e>
                        <m:r>
                          <a:rPr lang="en-US" sz="1100" b="0" i="1">
                            <a:latin typeface="Cambria Math" panose="02040503050406030204" pitchFamily="18" charset="0"/>
                          </a:rPr>
                          <m:t>1−</m:t>
                        </m:r>
                        <m:sSup>
                          <m:sSupPr>
                            <m:ctrlPr>
                              <a:rPr lang="en-US" sz="1100" b="0" i="1">
                                <a:latin typeface="Cambria Math" panose="02040503050406030204" pitchFamily="18" charset="0"/>
                              </a:rPr>
                            </m:ctrlPr>
                          </m:sSupPr>
                          <m:e>
                            <m:d>
                              <m:dPr>
                                <m:ctrlPr>
                                  <a:rPr lang="en-US" sz="1100" b="0" i="1">
                                    <a:latin typeface="Cambria Math" panose="02040503050406030204" pitchFamily="18" charset="0"/>
                                  </a:rPr>
                                </m:ctrlPr>
                              </m:dPr>
                              <m:e>
                                <m:f>
                                  <m:fPr>
                                    <m:ctrlPr>
                                      <a:rPr lang="en-US" sz="1100" b="0" i="1">
                                        <a:latin typeface="Cambria Math" panose="02040503050406030204" pitchFamily="18" charset="0"/>
                                      </a:rPr>
                                    </m:ctrlPr>
                                  </m:fPr>
                                  <m:num>
                                    <m:r>
                                      <a:rPr lang="en-US" sz="1100" b="0" i="1">
                                        <a:latin typeface="Cambria Math" panose="02040503050406030204" pitchFamily="18" charset="0"/>
                                      </a:rPr>
                                      <m:t>1,500</m:t>
                                    </m:r>
                                  </m:num>
                                  <m:den>
                                    <m:r>
                                      <a:rPr lang="en-US" sz="1100" b="0" i="1">
                                        <a:latin typeface="Cambria Math" panose="02040503050406030204" pitchFamily="18" charset="0"/>
                                      </a:rPr>
                                      <m:t>5,000+1,500</m:t>
                                    </m:r>
                                  </m:den>
                                </m:f>
                              </m:e>
                            </m:d>
                          </m:e>
                          <m:sup>
                            <m:r>
                              <a:rPr lang="en-US" sz="1100" b="0" i="1">
                                <a:latin typeface="Cambria Math" panose="02040503050406030204" pitchFamily="18" charset="0"/>
                              </a:rPr>
                              <m:t>1.5 − 1</m:t>
                            </m:r>
                          </m:sup>
                        </m:sSup>
                      </m:e>
                    </m:d>
                    <m:r>
                      <a:rPr lang="en-US" sz="1100" b="0" i="1">
                        <a:latin typeface="Cambria Math" panose="02040503050406030204" pitchFamily="18" charset="0"/>
                      </a:rPr>
                      <m:t>=1558.85</m:t>
                    </m:r>
                  </m:oMath>
                </m:oMathPara>
              </a14:m>
              <a:endParaRPr lang="en-GB" sz="1100"/>
            </a:p>
          </xdr:txBody>
        </xdr:sp>
      </mc:Choice>
      <mc:Fallback xmlns="">
        <xdr:sp macro="" textlink="">
          <xdr:nvSpPr>
            <xdr:cNvPr id="6" name="TextBox 5">
              <a:extLst>
                <a:ext uri="{FF2B5EF4-FFF2-40B4-BE49-F238E27FC236}">
                  <a16:creationId xmlns:a16="http://schemas.microsoft.com/office/drawing/2014/main" id="{3DBD783C-0327-4C82-AFFB-A4EBEC1145F4}"/>
                </a:ext>
              </a:extLst>
            </xdr:cNvPr>
            <xdr:cNvSpPr txBox="1"/>
          </xdr:nvSpPr>
          <xdr:spPr>
            <a:xfrm>
              <a:off x="6953250" y="2395537"/>
              <a:ext cx="3935373" cy="4448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𝐸[𝑋;5,000]=  1,500/(1.5 −1)⋅(1−(1,500/(5,000+1,500))^(1.5 − 1) )=1558.85</a:t>
              </a:r>
              <a:endParaRPr lang="en-GB" sz="1100"/>
            </a:p>
          </xdr:txBody>
        </xdr:sp>
      </mc:Fallback>
    </mc:AlternateContent>
    <xdr:clientData/>
  </xdr:oneCellAnchor>
</xdr:wsDr>
</file>

<file path=xl/drawings/drawing16.xml><?xml version="1.0" encoding="utf-8"?>
<xdr:wsDr xmlns:xdr="http://schemas.openxmlformats.org/drawingml/2006/spreadsheetDrawing" xmlns:a="http://schemas.openxmlformats.org/drawingml/2006/main">
  <xdr:oneCellAnchor>
    <xdr:from>
      <xdr:col>8</xdr:col>
      <xdr:colOff>38100</xdr:colOff>
      <xdr:row>1</xdr:row>
      <xdr:rowOff>14287</xdr:rowOff>
    </xdr:from>
    <xdr:ext cx="1800429" cy="17222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1100-000002000000}"/>
                </a:ext>
              </a:extLst>
            </xdr:cNvPr>
            <xdr:cNvSpPr txBox="1"/>
          </xdr:nvSpPr>
          <xdr:spPr>
            <a:xfrm>
              <a:off x="6991350" y="214312"/>
              <a:ext cx="1800429"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𝐵</m:t>
                    </m:r>
                    <m:r>
                      <a:rPr lang="en-US" sz="1100" b="0" i="1">
                        <a:latin typeface="Cambria Math" panose="02040503050406030204" pitchFamily="18" charset="0"/>
                      </a:rPr>
                      <m:t>=</m:t>
                    </m:r>
                    <m:r>
                      <a:rPr lang="en-US" sz="1100" b="0" i="1">
                        <a:latin typeface="Cambria Math" panose="02040503050406030204" pitchFamily="18" charset="0"/>
                      </a:rPr>
                      <m:t>𝑒</m:t>
                    </m:r>
                    <m:r>
                      <a:rPr lang="en-US" sz="1100" b="0" i="1">
                        <a:latin typeface="Cambria Math" panose="02040503050406030204" pitchFamily="18" charset="0"/>
                      </a:rPr>
                      <m:t> −</m:t>
                    </m:r>
                    <m:d>
                      <m:dPr>
                        <m:ctrlPr>
                          <a:rPr lang="en-US" sz="1100" b="0" i="1">
                            <a:latin typeface="Cambria Math" panose="02040503050406030204" pitchFamily="18" charset="0"/>
                          </a:rPr>
                        </m:ctrlPr>
                      </m:dPr>
                      <m:e>
                        <m:r>
                          <a:rPr lang="en-US" sz="1100" b="0" i="1">
                            <a:latin typeface="Cambria Math" panose="02040503050406030204" pitchFamily="18" charset="0"/>
                          </a:rPr>
                          <m:t>𝑐</m:t>
                        </m:r>
                        <m:r>
                          <a:rPr lang="en-US" sz="1100" b="0" i="1">
                            <a:latin typeface="Cambria Math" panose="02040503050406030204" pitchFamily="18" charset="0"/>
                          </a:rPr>
                          <m:t>−1</m:t>
                        </m:r>
                      </m:e>
                    </m:d>
                    <m:r>
                      <a:rPr lang="en-US" sz="1100" b="0" i="1">
                        <a:latin typeface="Cambria Math" panose="02040503050406030204" pitchFamily="18" charset="0"/>
                      </a:rPr>
                      <m:t>⋅</m:t>
                    </m:r>
                    <m:r>
                      <a:rPr lang="en-US" sz="1100" b="0" i="1">
                        <a:latin typeface="Cambria Math" panose="02040503050406030204" pitchFamily="18" charset="0"/>
                      </a:rPr>
                      <m:t>𝐸</m:t>
                    </m:r>
                    <m:d>
                      <m:dPr>
                        <m:begChr m:val="["/>
                        <m:endChr m:val="]"/>
                        <m:ctrlPr>
                          <a:rPr lang="en-US" sz="1100" b="0" i="1">
                            <a:latin typeface="Cambria Math" panose="02040503050406030204" pitchFamily="18" charset="0"/>
                          </a:rPr>
                        </m:ctrlPr>
                      </m:dPr>
                      <m:e>
                        <m:r>
                          <a:rPr lang="en-US" sz="1100" b="0" i="1">
                            <a:latin typeface="Cambria Math" panose="02040503050406030204" pitchFamily="18" charset="0"/>
                          </a:rPr>
                          <m:t>𝐴</m:t>
                        </m:r>
                      </m:e>
                    </m:d>
                    <m:r>
                      <a:rPr lang="en-US" sz="1100" b="0" i="1">
                        <a:latin typeface="Cambria Math" panose="02040503050406030204" pitchFamily="18" charset="0"/>
                      </a:rPr>
                      <m:t>+</m:t>
                    </m:r>
                    <m:r>
                      <a:rPr lang="en-US" sz="1100" b="0" i="1">
                        <a:latin typeface="Cambria Math" panose="02040503050406030204" pitchFamily="18" charset="0"/>
                      </a:rPr>
                      <m:t>𝑐</m:t>
                    </m:r>
                    <m:r>
                      <a:rPr lang="en-US" sz="1100" b="0" i="1">
                        <a:latin typeface="Cambria Math" panose="02040503050406030204" pitchFamily="18" charset="0"/>
                      </a:rPr>
                      <m:t>⋅</m:t>
                    </m:r>
                    <m:r>
                      <a:rPr lang="en-US" sz="1100" b="0" i="1">
                        <a:latin typeface="Cambria Math" panose="02040503050406030204" pitchFamily="18" charset="0"/>
                      </a:rPr>
                      <m:t>𝐼</m:t>
                    </m:r>
                  </m:oMath>
                </m:oMathPara>
              </a14:m>
              <a:endParaRPr lang="en-GB" sz="1100"/>
            </a:p>
          </xdr:txBody>
        </xdr:sp>
      </mc:Choice>
      <mc:Fallback xmlns="">
        <xdr:sp macro="" textlink="">
          <xdr:nvSpPr>
            <xdr:cNvPr id="2" name="TextBox 1">
              <a:extLst>
                <a:ext uri="{FF2B5EF4-FFF2-40B4-BE49-F238E27FC236}">
                  <a16:creationId xmlns:a16="http://schemas.microsoft.com/office/drawing/2014/main" id="{0E35899C-4C14-4476-A9FD-B13028500D15}"/>
                </a:ext>
              </a:extLst>
            </xdr:cNvPr>
            <xdr:cNvSpPr txBox="1"/>
          </xdr:nvSpPr>
          <xdr:spPr>
            <a:xfrm>
              <a:off x="6991350" y="214312"/>
              <a:ext cx="1800429"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𝐵=𝑒 −(𝑐−1)⋅𝐸[𝐴]+𝑐⋅𝐼</a:t>
              </a:r>
              <a:endParaRPr lang="en-GB" sz="1100"/>
            </a:p>
          </xdr:txBody>
        </xdr:sp>
      </mc:Fallback>
    </mc:AlternateContent>
    <xdr:clientData/>
  </xdr:oneCellAnchor>
  <xdr:oneCellAnchor>
    <xdr:from>
      <xdr:col>10</xdr:col>
      <xdr:colOff>561975</xdr:colOff>
      <xdr:row>4</xdr:row>
      <xdr:rowOff>14287</xdr:rowOff>
    </xdr:from>
    <xdr:ext cx="1334661"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1100-000003000000}"/>
                </a:ext>
              </a:extLst>
            </xdr:cNvPr>
            <xdr:cNvSpPr txBox="1"/>
          </xdr:nvSpPr>
          <xdr:spPr>
            <a:xfrm>
              <a:off x="8734425" y="785812"/>
              <a:ext cx="1334661"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𝐼</m:t>
                    </m:r>
                    <m:r>
                      <a:rPr lang="en-US" sz="1100" b="0" i="1">
                        <a:latin typeface="Cambria Math" panose="02040503050406030204" pitchFamily="18" charset="0"/>
                      </a:rPr>
                      <m:t>= </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𝜙</m:t>
                            </m:r>
                          </m:e>
                          <m:sub>
                            <m:r>
                              <a:rPr lang="en-US" sz="1100" b="0" i="1">
                                <a:latin typeface="Cambria Math" panose="02040503050406030204" pitchFamily="18" charset="0"/>
                              </a:rPr>
                              <m:t>𝐺</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𝜓</m:t>
                            </m:r>
                          </m:e>
                          <m:sub>
                            <m:r>
                              <a:rPr lang="en-US" sz="1100" b="0" i="1">
                                <a:latin typeface="Cambria Math" panose="02040503050406030204" pitchFamily="18" charset="0"/>
                              </a:rPr>
                              <m:t>𝐻</m:t>
                            </m:r>
                          </m:sub>
                        </m:sSub>
                      </m:e>
                    </m:d>
                    <m:r>
                      <a:rPr lang="en-US" sz="1100" b="0" i="1">
                        <a:latin typeface="Cambria Math" panose="02040503050406030204" pitchFamily="18" charset="0"/>
                      </a:rPr>
                      <m:t>⋅</m:t>
                    </m:r>
                    <m:r>
                      <a:rPr lang="en-US" sz="1100" b="0" i="1">
                        <a:latin typeface="Cambria Math" panose="02040503050406030204" pitchFamily="18" charset="0"/>
                      </a:rPr>
                      <m:t>𝐸</m:t>
                    </m:r>
                    <m:r>
                      <a:rPr lang="en-US" sz="1100" b="0" i="1">
                        <a:latin typeface="Cambria Math" panose="02040503050406030204" pitchFamily="18" charset="0"/>
                      </a:rPr>
                      <m:t>[</m:t>
                    </m:r>
                    <m:r>
                      <a:rPr lang="en-US" sz="1100" b="0" i="1">
                        <a:latin typeface="Cambria Math" panose="02040503050406030204" pitchFamily="18" charset="0"/>
                      </a:rPr>
                      <m:t>𝐴</m:t>
                    </m:r>
                    <m:r>
                      <a:rPr lang="en-US" sz="1100" b="0" i="1">
                        <a:latin typeface="Cambria Math" panose="02040503050406030204" pitchFamily="18" charset="0"/>
                      </a:rPr>
                      <m:t>]</m:t>
                    </m:r>
                  </m:oMath>
                </m:oMathPara>
              </a14:m>
              <a:endParaRPr lang="en-GB" sz="1100"/>
            </a:p>
          </xdr:txBody>
        </xdr:sp>
      </mc:Choice>
      <mc:Fallback xmlns="">
        <xdr:sp macro="" textlink="">
          <xdr:nvSpPr>
            <xdr:cNvPr id="3" name="TextBox 2">
              <a:extLst>
                <a:ext uri="{FF2B5EF4-FFF2-40B4-BE49-F238E27FC236}">
                  <a16:creationId xmlns:a16="http://schemas.microsoft.com/office/drawing/2014/main" id="{89DFDA71-475F-45F2-8C65-A2FD80C04422}"/>
                </a:ext>
              </a:extLst>
            </xdr:cNvPr>
            <xdr:cNvSpPr txBox="1"/>
          </xdr:nvSpPr>
          <xdr:spPr>
            <a:xfrm>
              <a:off x="8734425" y="785812"/>
              <a:ext cx="1334661"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𝐼= (𝜙_𝐺−𝜓_𝐻 )⋅𝐸[𝐴]</a:t>
              </a:r>
              <a:endParaRPr lang="en-GB" sz="1100"/>
            </a:p>
          </xdr:txBody>
        </xdr:sp>
      </mc:Fallback>
    </mc:AlternateContent>
    <xdr:clientData/>
  </xdr:oneCellAnchor>
  <xdr:oneCellAnchor>
    <xdr:from>
      <xdr:col>8</xdr:col>
      <xdr:colOff>19050</xdr:colOff>
      <xdr:row>5</xdr:row>
      <xdr:rowOff>14287</xdr:rowOff>
    </xdr:from>
    <xdr:ext cx="1306320" cy="172227"/>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00000000-0008-0000-1100-000004000000}"/>
                </a:ext>
              </a:extLst>
            </xdr:cNvPr>
            <xdr:cNvSpPr txBox="1"/>
          </xdr:nvSpPr>
          <xdr:spPr>
            <a:xfrm>
              <a:off x="6972300" y="976312"/>
              <a:ext cx="130632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𝜓</m:t>
                    </m:r>
                    <m:d>
                      <m:dPr>
                        <m:ctrlPr>
                          <a:rPr lang="en-US" sz="1100" b="0" i="1">
                            <a:latin typeface="Cambria Math" panose="02040503050406030204" pitchFamily="18" charset="0"/>
                          </a:rPr>
                        </m:ctrlPr>
                      </m:dPr>
                      <m:e>
                        <m:r>
                          <a:rPr lang="en-US" sz="1100" b="0" i="1">
                            <a:latin typeface="Cambria Math" panose="02040503050406030204" pitchFamily="18" charset="0"/>
                          </a:rPr>
                          <m:t>𝑟</m:t>
                        </m:r>
                      </m:e>
                    </m:d>
                    <m:r>
                      <a:rPr lang="en-US" sz="1100" b="0" i="1">
                        <a:latin typeface="Cambria Math" panose="02040503050406030204" pitchFamily="18" charset="0"/>
                      </a:rPr>
                      <m:t>=</m:t>
                    </m:r>
                    <m:r>
                      <a:rPr lang="en-US" sz="1100" b="0" i="1">
                        <a:latin typeface="Cambria Math" panose="02040503050406030204" pitchFamily="18" charset="0"/>
                      </a:rPr>
                      <m:t>𝜙</m:t>
                    </m:r>
                    <m:d>
                      <m:dPr>
                        <m:ctrlPr>
                          <a:rPr lang="en-US" sz="1100" b="0" i="1">
                            <a:latin typeface="Cambria Math" panose="02040503050406030204" pitchFamily="18" charset="0"/>
                          </a:rPr>
                        </m:ctrlPr>
                      </m:dPr>
                      <m:e>
                        <m:r>
                          <a:rPr lang="en-US" sz="1100" b="0" i="1">
                            <a:latin typeface="Cambria Math" panose="02040503050406030204" pitchFamily="18" charset="0"/>
                          </a:rPr>
                          <m:t>𝑟</m:t>
                        </m:r>
                      </m:e>
                    </m:d>
                    <m:r>
                      <a:rPr lang="en-US" sz="1100" b="0" i="1">
                        <a:latin typeface="Cambria Math" panose="02040503050406030204" pitchFamily="18" charset="0"/>
                      </a:rPr>
                      <m:t>+</m:t>
                    </m:r>
                    <m:r>
                      <a:rPr lang="en-US" sz="1100" b="0" i="1">
                        <a:latin typeface="Cambria Math" panose="02040503050406030204" pitchFamily="18" charset="0"/>
                      </a:rPr>
                      <m:t>𝑟</m:t>
                    </m:r>
                    <m:r>
                      <a:rPr lang="en-US" sz="1100" b="0" i="1">
                        <a:latin typeface="Cambria Math" panose="02040503050406030204" pitchFamily="18" charset="0"/>
                      </a:rPr>
                      <m:t> −1</m:t>
                    </m:r>
                  </m:oMath>
                </m:oMathPara>
              </a14:m>
              <a:endParaRPr lang="en-GB" sz="1100"/>
            </a:p>
          </xdr:txBody>
        </xdr:sp>
      </mc:Choice>
      <mc:Fallback xmlns="">
        <xdr:sp macro="" textlink="">
          <xdr:nvSpPr>
            <xdr:cNvPr id="4" name="TextBox 3">
              <a:extLst>
                <a:ext uri="{FF2B5EF4-FFF2-40B4-BE49-F238E27FC236}">
                  <a16:creationId xmlns:a16="http://schemas.microsoft.com/office/drawing/2014/main" id="{B266FAAE-81CC-4FDE-BA70-4712FBEFB70A}"/>
                </a:ext>
              </a:extLst>
            </xdr:cNvPr>
            <xdr:cNvSpPr txBox="1"/>
          </xdr:nvSpPr>
          <xdr:spPr>
            <a:xfrm>
              <a:off x="6972300" y="976312"/>
              <a:ext cx="130632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𝜓(𝑟)=𝜙(𝑟)+𝑟 −1</a:t>
              </a:r>
              <a:endParaRPr lang="en-GB" sz="1100"/>
            </a:p>
          </xdr:txBody>
        </xdr:sp>
      </mc:Fallback>
    </mc:AlternateContent>
    <xdr:clientData/>
  </xdr:oneCellAnchor>
</xdr:wsDr>
</file>

<file path=xl/drawings/drawing17.xml><?xml version="1.0" encoding="utf-8"?>
<xdr:wsDr xmlns:xdr="http://schemas.openxmlformats.org/drawingml/2006/spreadsheetDrawing" xmlns:a="http://schemas.openxmlformats.org/drawingml/2006/main">
  <xdr:twoCellAnchor editAs="oneCell">
    <xdr:from>
      <xdr:col>2</xdr:col>
      <xdr:colOff>0</xdr:colOff>
      <xdr:row>8</xdr:row>
      <xdr:rowOff>3267</xdr:rowOff>
    </xdr:from>
    <xdr:to>
      <xdr:col>4</xdr:col>
      <xdr:colOff>440055</xdr:colOff>
      <xdr:row>18</xdr:row>
      <xdr:rowOff>108547</xdr:rowOff>
    </xdr:to>
    <xdr:pic>
      <xdr:nvPicPr>
        <xdr:cNvPr id="2" name="Picture 1">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stretch>
          <a:fillRect/>
        </a:stretch>
      </xdr:blipFill>
      <xdr:spPr>
        <a:xfrm>
          <a:off x="1950720" y="1504407"/>
          <a:ext cx="2842260" cy="1972180"/>
        </a:xfrm>
        <a:prstGeom prst="rect">
          <a:avLst/>
        </a:prstGeom>
      </xdr:spPr>
    </xdr:pic>
    <xdr:clientData/>
  </xdr:twoCellAnchor>
  <xdr:oneCellAnchor>
    <xdr:from>
      <xdr:col>13</xdr:col>
      <xdr:colOff>276225</xdr:colOff>
      <xdr:row>0</xdr:row>
      <xdr:rowOff>38100</xdr:rowOff>
    </xdr:from>
    <xdr:ext cx="1174296" cy="409086"/>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00000000-0008-0000-1200-000004000000}"/>
                </a:ext>
              </a:extLst>
            </xdr:cNvPr>
            <xdr:cNvSpPr txBox="1"/>
          </xdr:nvSpPr>
          <xdr:spPr>
            <a:xfrm>
              <a:off x="10106025" y="38100"/>
              <a:ext cx="1174296"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GB" sz="1400" i="1">
                            <a:latin typeface="Cambria Math" panose="02040503050406030204" pitchFamily="18" charset="0"/>
                          </a:rPr>
                        </m:ctrlPr>
                      </m:sSubPr>
                      <m:e>
                        <m:r>
                          <a:rPr lang="en-US" sz="1400" b="0" i="1">
                            <a:latin typeface="Cambria Math" panose="02040503050406030204" pitchFamily="18" charset="0"/>
                          </a:rPr>
                          <m:t>𝑒</m:t>
                        </m:r>
                      </m:e>
                      <m:sub>
                        <m:r>
                          <a:rPr lang="en-US" sz="1400" b="0" i="1">
                            <a:latin typeface="Cambria Math" panose="02040503050406030204" pitchFamily="18" charset="0"/>
                          </a:rPr>
                          <m:t>𝑋</m:t>
                        </m:r>
                      </m:sub>
                    </m:sSub>
                    <m:d>
                      <m:dPr>
                        <m:ctrlPr>
                          <a:rPr lang="en-US" sz="1400" b="0" i="1">
                            <a:latin typeface="Cambria Math" panose="02040503050406030204" pitchFamily="18" charset="0"/>
                          </a:rPr>
                        </m:ctrlPr>
                      </m:dPr>
                      <m:e>
                        <m:r>
                          <a:rPr lang="en-US" sz="1400" b="0" i="1">
                            <a:latin typeface="Cambria Math" panose="02040503050406030204" pitchFamily="18" charset="0"/>
                          </a:rPr>
                          <m:t>𝑥</m:t>
                        </m:r>
                      </m:e>
                    </m:d>
                    <m:r>
                      <a:rPr lang="en-US" sz="1400" b="0" i="1">
                        <a:latin typeface="Cambria Math" panose="02040503050406030204" pitchFamily="18" charset="0"/>
                      </a:rPr>
                      <m:t>= </m:t>
                    </m:r>
                    <m:f>
                      <m:fPr>
                        <m:ctrlPr>
                          <a:rPr lang="en-US" sz="1400" b="0" i="1">
                            <a:latin typeface="Cambria Math" panose="02040503050406030204" pitchFamily="18" charset="0"/>
                          </a:rPr>
                        </m:ctrlPr>
                      </m:fPr>
                      <m:num>
                        <m:r>
                          <a:rPr lang="en-US" sz="1400" b="0" i="1">
                            <a:latin typeface="Cambria Math" panose="02040503050406030204" pitchFamily="18" charset="0"/>
                          </a:rPr>
                          <m:t>𝑥</m:t>
                        </m:r>
                        <m:r>
                          <a:rPr lang="en-US" sz="1400" b="0" i="1">
                            <a:latin typeface="Cambria Math" panose="02040503050406030204" pitchFamily="18" charset="0"/>
                          </a:rPr>
                          <m:t>+</m:t>
                        </m:r>
                        <m:r>
                          <a:rPr lang="en-US" sz="1400" b="0" i="1">
                            <a:latin typeface="Cambria Math" panose="02040503050406030204" pitchFamily="18" charset="0"/>
                          </a:rPr>
                          <m:t>𝛽</m:t>
                        </m:r>
                      </m:num>
                      <m:den>
                        <m:r>
                          <a:rPr lang="en-US" sz="1400" b="0" i="1">
                            <a:latin typeface="Cambria Math" panose="02040503050406030204" pitchFamily="18" charset="0"/>
                          </a:rPr>
                          <m:t>𝛼</m:t>
                        </m:r>
                        <m:r>
                          <a:rPr lang="en-US" sz="1400" b="0" i="1">
                            <a:latin typeface="Cambria Math" panose="02040503050406030204" pitchFamily="18" charset="0"/>
                          </a:rPr>
                          <m:t>−1</m:t>
                        </m:r>
                      </m:den>
                    </m:f>
                  </m:oMath>
                </m:oMathPara>
              </a14:m>
              <a:endParaRPr lang="en-GB" sz="1400"/>
            </a:p>
          </xdr:txBody>
        </xdr:sp>
      </mc:Choice>
      <mc:Fallback xmlns="">
        <xdr:sp macro="" textlink="">
          <xdr:nvSpPr>
            <xdr:cNvPr id="4" name="TextBox 3">
              <a:extLst>
                <a:ext uri="{FF2B5EF4-FFF2-40B4-BE49-F238E27FC236}">
                  <a16:creationId xmlns:a16="http://schemas.microsoft.com/office/drawing/2014/main" id="{B3ED729B-F812-4DB6-A74A-749CFB600720}"/>
                </a:ext>
              </a:extLst>
            </xdr:cNvPr>
            <xdr:cNvSpPr txBox="1"/>
          </xdr:nvSpPr>
          <xdr:spPr>
            <a:xfrm>
              <a:off x="10106025" y="38100"/>
              <a:ext cx="1174296"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400" b="0" i="0">
                  <a:latin typeface="Cambria Math" panose="02040503050406030204" pitchFamily="18" charset="0"/>
                </a:rPr>
                <a:t>𝑒</a:t>
              </a:r>
              <a:r>
                <a:rPr lang="en-GB" sz="1400" b="0" i="0">
                  <a:latin typeface="Cambria Math" panose="02040503050406030204" pitchFamily="18" charset="0"/>
                </a:rPr>
                <a:t>_</a:t>
              </a:r>
              <a:r>
                <a:rPr lang="en-US" sz="1400" b="0" i="0">
                  <a:latin typeface="Cambria Math" panose="02040503050406030204" pitchFamily="18" charset="0"/>
                </a:rPr>
                <a:t>𝑋 (𝑥)=  (𝑥+𝛽)/(𝛼−1)</a:t>
              </a:r>
              <a:endParaRPr lang="en-GB" sz="1400"/>
            </a:p>
          </xdr:txBody>
        </xdr:sp>
      </mc:Fallback>
    </mc:AlternateContent>
    <xdr:clientData/>
  </xdr:oneCellAnchor>
  <xdr:oneCellAnchor>
    <xdr:from>
      <xdr:col>12</xdr:col>
      <xdr:colOff>28575</xdr:colOff>
      <xdr:row>23</xdr:row>
      <xdr:rowOff>23812</xdr:rowOff>
    </xdr:from>
    <xdr:ext cx="1023550"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1200-000003000000}"/>
                </a:ext>
              </a:extLst>
            </xdr:cNvPr>
            <xdr:cNvSpPr txBox="1"/>
          </xdr:nvSpPr>
          <xdr:spPr>
            <a:xfrm>
              <a:off x="9315450" y="4481512"/>
              <a:ext cx="102355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𝑅</m:t>
                    </m:r>
                    <m:r>
                      <a:rPr lang="en-US" sz="1100" b="0" i="1">
                        <a:latin typeface="Cambria Math" panose="02040503050406030204" pitchFamily="18" charset="0"/>
                      </a:rPr>
                      <m:t>=</m:t>
                    </m:r>
                    <m:d>
                      <m:dPr>
                        <m:ctrlPr>
                          <a:rPr lang="en-US" sz="1100" b="0" i="1">
                            <a:latin typeface="Cambria Math" panose="02040503050406030204" pitchFamily="18" charset="0"/>
                          </a:rPr>
                        </m:ctrlPr>
                      </m:dPr>
                      <m:e>
                        <m:r>
                          <a:rPr lang="en-US" sz="1100" b="0" i="1">
                            <a:latin typeface="Cambria Math" panose="02040503050406030204" pitchFamily="18" charset="0"/>
                          </a:rPr>
                          <m:t>𝐵</m:t>
                        </m:r>
                        <m:r>
                          <a:rPr lang="en-US" sz="1100" b="0" i="1">
                            <a:latin typeface="Cambria Math" panose="02040503050406030204" pitchFamily="18" charset="0"/>
                          </a:rPr>
                          <m:t>+</m:t>
                        </m:r>
                        <m:r>
                          <a:rPr lang="en-US" sz="1100" b="0" i="1">
                            <a:latin typeface="Cambria Math" panose="02040503050406030204" pitchFamily="18" charset="0"/>
                          </a:rPr>
                          <m:t>𝑐𝐿</m:t>
                        </m:r>
                      </m:e>
                    </m:d>
                    <m:r>
                      <a:rPr lang="en-US" sz="1100" b="0" i="1">
                        <a:latin typeface="Cambria Math" panose="02040503050406030204" pitchFamily="18" charset="0"/>
                      </a:rPr>
                      <m:t>⋅</m:t>
                    </m:r>
                    <m:r>
                      <a:rPr lang="en-US" sz="1100" b="0" i="1">
                        <a:latin typeface="Cambria Math" panose="02040503050406030204" pitchFamily="18" charset="0"/>
                      </a:rPr>
                      <m:t>𝑇</m:t>
                    </m:r>
                  </m:oMath>
                </m:oMathPara>
              </a14:m>
              <a:endParaRPr lang="en-GB" sz="1100"/>
            </a:p>
          </xdr:txBody>
        </xdr:sp>
      </mc:Choice>
      <mc:Fallback xmlns="">
        <xdr:sp macro="" textlink="">
          <xdr:nvSpPr>
            <xdr:cNvPr id="3" name="TextBox 2">
              <a:extLst>
                <a:ext uri="{FF2B5EF4-FFF2-40B4-BE49-F238E27FC236}">
                  <a16:creationId xmlns:a16="http://schemas.microsoft.com/office/drawing/2014/main" id="{C9F8CBC4-1A62-4D2C-9A19-AFE7A6C0B0C1}"/>
                </a:ext>
              </a:extLst>
            </xdr:cNvPr>
            <xdr:cNvSpPr txBox="1"/>
          </xdr:nvSpPr>
          <xdr:spPr>
            <a:xfrm>
              <a:off x="9315450" y="4481512"/>
              <a:ext cx="102355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𝑅=(𝐵+𝑐𝐿)⋅𝑇</a:t>
              </a:r>
              <a:endParaRPr lang="en-GB" sz="1100"/>
            </a:p>
          </xdr:txBody>
        </xdr:sp>
      </mc:Fallback>
    </mc:AlternateContent>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114300</xdr:colOff>
      <xdr:row>0</xdr:row>
      <xdr:rowOff>0</xdr:rowOff>
    </xdr:from>
    <xdr:to>
      <xdr:col>7</xdr:col>
      <xdr:colOff>445347</xdr:colOff>
      <xdr:row>4</xdr:row>
      <xdr:rowOff>32174</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0" y="0"/>
          <a:ext cx="3379047" cy="794174"/>
        </a:xfrm>
        <a:prstGeom prst="rect">
          <a:avLst/>
        </a:prstGeom>
      </xdr:spPr>
    </xdr:pic>
    <xdr:clientData/>
  </xdr:twoCellAnchor>
  <xdr:oneCellAnchor>
    <xdr:from>
      <xdr:col>1</xdr:col>
      <xdr:colOff>142875</xdr:colOff>
      <xdr:row>8</xdr:row>
      <xdr:rowOff>42862</xdr:rowOff>
    </xdr:from>
    <xdr:ext cx="2463623" cy="484043"/>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752475" y="1566862"/>
              <a:ext cx="2463623" cy="4840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400" b="0" i="1">
                        <a:latin typeface="Cambria Math" panose="02040503050406030204" pitchFamily="18" charset="0"/>
                      </a:rPr>
                      <m:t>𝑓</m:t>
                    </m:r>
                    <m:d>
                      <m:dPr>
                        <m:ctrlPr>
                          <a:rPr lang="en-US" sz="1400" b="0" i="1">
                            <a:latin typeface="Cambria Math" panose="02040503050406030204" pitchFamily="18" charset="0"/>
                          </a:rPr>
                        </m:ctrlPr>
                      </m:dPr>
                      <m:e>
                        <m:r>
                          <a:rPr lang="en-US" sz="1400" b="0" i="1">
                            <a:latin typeface="Cambria Math" panose="02040503050406030204" pitchFamily="18" charset="0"/>
                          </a:rPr>
                          <m:t>𝑥</m:t>
                        </m:r>
                      </m:e>
                    </m:d>
                    <m:r>
                      <a:rPr lang="en-US" sz="1400" b="0" i="1">
                        <a:latin typeface="Cambria Math" panose="02040503050406030204" pitchFamily="18" charset="0"/>
                      </a:rPr>
                      <m:t>=</m:t>
                    </m:r>
                    <m:d>
                      <m:dPr>
                        <m:ctrlPr>
                          <a:rPr lang="en-US" sz="1400" b="0" i="1">
                            <a:latin typeface="Cambria Math" panose="02040503050406030204" pitchFamily="18" charset="0"/>
                          </a:rPr>
                        </m:ctrlPr>
                      </m:dPr>
                      <m:e>
                        <m:f>
                          <m:fPr>
                            <m:type m:val="noBar"/>
                            <m:ctrlPr>
                              <a:rPr lang="en-US" sz="1400" b="0" i="1">
                                <a:latin typeface="Cambria Math" panose="02040503050406030204" pitchFamily="18" charset="0"/>
                              </a:rPr>
                            </m:ctrlPr>
                          </m:fPr>
                          <m:num>
                            <m:r>
                              <a:rPr lang="en-US" sz="1400" b="0" i="1">
                                <a:latin typeface="Cambria Math" panose="02040503050406030204" pitchFamily="18" charset="0"/>
                              </a:rPr>
                              <m:t>𝑥</m:t>
                            </m:r>
                            <m:r>
                              <a:rPr lang="en-US" sz="1400" b="0" i="1">
                                <a:latin typeface="Cambria Math" panose="02040503050406030204" pitchFamily="18" charset="0"/>
                              </a:rPr>
                              <m:t>+</m:t>
                            </m:r>
                            <m:r>
                              <a:rPr lang="en-US" sz="1400" b="0" i="1">
                                <a:latin typeface="Cambria Math" panose="02040503050406030204" pitchFamily="18" charset="0"/>
                              </a:rPr>
                              <m:t>𝑟</m:t>
                            </m:r>
                            <m:r>
                              <a:rPr lang="en-US" sz="1400" b="0" i="1">
                                <a:latin typeface="Cambria Math" panose="02040503050406030204" pitchFamily="18" charset="0"/>
                              </a:rPr>
                              <m:t>−1</m:t>
                            </m:r>
                          </m:num>
                          <m:den>
                            <m:r>
                              <a:rPr lang="en-US" sz="1400" b="0" i="1">
                                <a:latin typeface="Cambria Math" panose="02040503050406030204" pitchFamily="18" charset="0"/>
                              </a:rPr>
                              <m:t>𝑥</m:t>
                            </m:r>
                          </m:den>
                        </m:f>
                      </m:e>
                    </m:d>
                    <m:sSup>
                      <m:sSupPr>
                        <m:ctrlPr>
                          <a:rPr lang="en-US" sz="1400" b="0" i="1">
                            <a:latin typeface="Cambria Math" panose="02040503050406030204" pitchFamily="18" charset="0"/>
                          </a:rPr>
                        </m:ctrlPr>
                      </m:sSupPr>
                      <m:e>
                        <m:r>
                          <a:rPr lang="en-US" sz="1400" b="0" i="1">
                            <a:latin typeface="Cambria Math" panose="02040503050406030204" pitchFamily="18" charset="0"/>
                          </a:rPr>
                          <m:t>(1−</m:t>
                        </m:r>
                        <m:r>
                          <a:rPr lang="en-US" sz="1400" b="0" i="1">
                            <a:latin typeface="Cambria Math" panose="02040503050406030204" pitchFamily="18" charset="0"/>
                          </a:rPr>
                          <m:t>𝑝</m:t>
                        </m:r>
                        <m:r>
                          <a:rPr lang="en-US" sz="1400" b="0" i="1">
                            <a:latin typeface="Cambria Math" panose="02040503050406030204" pitchFamily="18" charset="0"/>
                          </a:rPr>
                          <m:t>)</m:t>
                        </m:r>
                      </m:e>
                      <m:sup>
                        <m:r>
                          <a:rPr lang="en-US" sz="1400" b="0" i="1">
                            <a:latin typeface="Cambria Math" panose="02040503050406030204" pitchFamily="18" charset="0"/>
                          </a:rPr>
                          <m:t>𝑟</m:t>
                        </m:r>
                      </m:sup>
                    </m:sSup>
                    <m:sSup>
                      <m:sSupPr>
                        <m:ctrlPr>
                          <a:rPr lang="en-US" sz="1400" b="0" i="1">
                            <a:latin typeface="Cambria Math" panose="02040503050406030204" pitchFamily="18" charset="0"/>
                          </a:rPr>
                        </m:ctrlPr>
                      </m:sSupPr>
                      <m:e>
                        <m:r>
                          <a:rPr lang="en-US" sz="1400" b="0" i="1">
                            <a:latin typeface="Cambria Math" panose="02040503050406030204" pitchFamily="18" charset="0"/>
                          </a:rPr>
                          <m:t>𝑝</m:t>
                        </m:r>
                      </m:e>
                      <m:sup>
                        <m:r>
                          <a:rPr lang="en-US" sz="1400" b="0" i="1">
                            <a:latin typeface="Cambria Math" panose="02040503050406030204" pitchFamily="18" charset="0"/>
                          </a:rPr>
                          <m:t>𝑥</m:t>
                        </m:r>
                      </m:sup>
                    </m:sSup>
                    <m:r>
                      <a:rPr lang="en-US" sz="1400" b="0" i="1">
                        <a:latin typeface="Cambria Math" panose="02040503050406030204" pitchFamily="18" charset="0"/>
                      </a:rPr>
                      <m:t> </m:t>
                    </m:r>
                  </m:oMath>
                </m:oMathPara>
              </a14:m>
              <a:endParaRPr lang="en-GB" sz="1400"/>
            </a:p>
          </xdr:txBody>
        </xdr:sp>
      </mc:Choice>
      <mc:Fallback xmlns="">
        <xdr:sp macro="" textlink="">
          <xdr:nvSpPr>
            <xdr:cNvPr id="3" name="TextBox 2">
              <a:extLst>
                <a:ext uri="{FF2B5EF4-FFF2-40B4-BE49-F238E27FC236}">
                  <a16:creationId xmlns:a16="http://schemas.microsoft.com/office/drawing/2014/main" id="{4033F711-F8C8-4892-8657-A851EC75BE22}"/>
                </a:ext>
              </a:extLst>
            </xdr:cNvPr>
            <xdr:cNvSpPr txBox="1"/>
          </xdr:nvSpPr>
          <xdr:spPr>
            <a:xfrm>
              <a:off x="752475" y="1566862"/>
              <a:ext cx="2463623" cy="4840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400" b="0" i="0">
                  <a:latin typeface="Cambria Math" panose="02040503050406030204" pitchFamily="18" charset="0"/>
                </a:rPr>
                <a:t>𝑓(𝑥)=((𝑥+𝑟−1)¦𝑥) 〖(1−𝑝)〗^𝑟 𝑝^𝑥  </a:t>
              </a:r>
              <a:endParaRPr lang="en-GB" sz="1400"/>
            </a:p>
          </xdr:txBody>
        </xdr:sp>
      </mc:Fallback>
    </mc:AlternateContent>
    <xdr:clientData/>
  </xdr:oneCellAnchor>
  <xdr:oneCellAnchor>
    <xdr:from>
      <xdr:col>1</xdr:col>
      <xdr:colOff>161925</xdr:colOff>
      <xdr:row>11</xdr:row>
      <xdr:rowOff>109537</xdr:rowOff>
    </xdr:from>
    <xdr:ext cx="1094595" cy="405239"/>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771525" y="2205037"/>
              <a:ext cx="1094595" cy="405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400" b="0" i="1">
                        <a:latin typeface="Cambria Math" panose="02040503050406030204" pitchFamily="18" charset="0"/>
                      </a:rPr>
                      <m:t>𝐸</m:t>
                    </m:r>
                    <m:d>
                      <m:dPr>
                        <m:begChr m:val="["/>
                        <m:endChr m:val="]"/>
                        <m:ctrlPr>
                          <a:rPr lang="en-US" sz="1400" b="0" i="1">
                            <a:latin typeface="Cambria Math" panose="02040503050406030204" pitchFamily="18" charset="0"/>
                          </a:rPr>
                        </m:ctrlPr>
                      </m:dPr>
                      <m:e>
                        <m:r>
                          <a:rPr lang="en-US" sz="1400" b="0" i="1">
                            <a:latin typeface="Cambria Math" panose="02040503050406030204" pitchFamily="18" charset="0"/>
                          </a:rPr>
                          <m:t>𝑋</m:t>
                        </m:r>
                      </m:e>
                    </m:d>
                    <m:r>
                      <a:rPr lang="en-US" sz="1400" b="0" i="1">
                        <a:latin typeface="Cambria Math" panose="02040503050406030204" pitchFamily="18" charset="0"/>
                      </a:rPr>
                      <m:t>= </m:t>
                    </m:r>
                    <m:f>
                      <m:fPr>
                        <m:ctrlPr>
                          <a:rPr lang="en-US" sz="1400" b="0" i="1">
                            <a:latin typeface="Cambria Math" panose="02040503050406030204" pitchFamily="18" charset="0"/>
                          </a:rPr>
                        </m:ctrlPr>
                      </m:fPr>
                      <m:num>
                        <m:r>
                          <a:rPr lang="en-US" sz="1400" b="0" i="1">
                            <a:latin typeface="Cambria Math" panose="02040503050406030204" pitchFamily="18" charset="0"/>
                          </a:rPr>
                          <m:t>𝑝𝑟</m:t>
                        </m:r>
                      </m:num>
                      <m:den>
                        <m:r>
                          <a:rPr lang="en-US" sz="1400" b="0" i="1">
                            <a:latin typeface="Cambria Math" panose="02040503050406030204" pitchFamily="18" charset="0"/>
                          </a:rPr>
                          <m:t>1−</m:t>
                        </m:r>
                        <m:r>
                          <a:rPr lang="en-US" sz="1400" b="0" i="1">
                            <a:latin typeface="Cambria Math" panose="02040503050406030204" pitchFamily="18" charset="0"/>
                          </a:rPr>
                          <m:t>𝑝</m:t>
                        </m:r>
                      </m:den>
                    </m:f>
                  </m:oMath>
                </m:oMathPara>
              </a14:m>
              <a:endParaRPr lang="en-GB" sz="1400"/>
            </a:p>
          </xdr:txBody>
        </xdr:sp>
      </mc:Choice>
      <mc:Fallback xmlns="">
        <xdr:sp macro="" textlink="">
          <xdr:nvSpPr>
            <xdr:cNvPr id="4" name="TextBox 3">
              <a:extLst>
                <a:ext uri="{FF2B5EF4-FFF2-40B4-BE49-F238E27FC236}">
                  <a16:creationId xmlns:a16="http://schemas.microsoft.com/office/drawing/2014/main" id="{279B0449-AD32-45A8-9EB6-339C7750423B}"/>
                </a:ext>
              </a:extLst>
            </xdr:cNvPr>
            <xdr:cNvSpPr txBox="1"/>
          </xdr:nvSpPr>
          <xdr:spPr>
            <a:xfrm>
              <a:off x="771525" y="2205037"/>
              <a:ext cx="1094595" cy="405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400" b="0" i="0">
                  <a:latin typeface="Cambria Math" panose="02040503050406030204" pitchFamily="18" charset="0"/>
                </a:rPr>
                <a:t>𝐸[𝑋]=  𝑝𝑟/(1−𝑝)</a:t>
              </a:r>
              <a:endParaRPr lang="en-GB" sz="1400"/>
            </a:p>
          </xdr:txBody>
        </xdr:sp>
      </mc:Fallback>
    </mc:AlternateContent>
    <xdr:clientData/>
  </xdr:oneCellAnchor>
  <xdr:oneCellAnchor>
    <xdr:from>
      <xdr:col>1</xdr:col>
      <xdr:colOff>142875</xdr:colOff>
      <xdr:row>16</xdr:row>
      <xdr:rowOff>61912</xdr:rowOff>
    </xdr:from>
    <xdr:ext cx="1144993" cy="409086"/>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752475" y="3157537"/>
              <a:ext cx="1144993"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400" b="0" i="1">
                        <a:latin typeface="Cambria Math" panose="02040503050406030204" pitchFamily="18" charset="0"/>
                      </a:rPr>
                      <m:t>𝐸</m:t>
                    </m:r>
                    <m:d>
                      <m:dPr>
                        <m:begChr m:val="["/>
                        <m:endChr m:val="]"/>
                        <m:ctrlPr>
                          <a:rPr lang="en-US" sz="1400" b="0" i="1">
                            <a:latin typeface="Cambria Math" panose="02040503050406030204" pitchFamily="18" charset="0"/>
                          </a:rPr>
                        </m:ctrlPr>
                      </m:dPr>
                      <m:e>
                        <m:r>
                          <a:rPr lang="en-US" sz="1400" b="0" i="1">
                            <a:latin typeface="Cambria Math" panose="02040503050406030204" pitchFamily="18" charset="0"/>
                          </a:rPr>
                          <m:t>𝑋</m:t>
                        </m:r>
                      </m:e>
                    </m:d>
                    <m:r>
                      <a:rPr lang="en-US" sz="1400" b="0" i="1">
                        <a:latin typeface="Cambria Math" panose="02040503050406030204" pitchFamily="18" charset="0"/>
                      </a:rPr>
                      <m:t>= </m:t>
                    </m:r>
                    <m:f>
                      <m:fPr>
                        <m:ctrlPr>
                          <a:rPr lang="en-US" sz="1400" b="0" i="1">
                            <a:latin typeface="Cambria Math" panose="02040503050406030204" pitchFamily="18" charset="0"/>
                          </a:rPr>
                        </m:ctrlPr>
                      </m:fPr>
                      <m:num>
                        <m:r>
                          <a:rPr lang="en-US" sz="1400" b="0" i="1">
                            <a:latin typeface="Cambria Math" panose="02040503050406030204" pitchFamily="18" charset="0"/>
                          </a:rPr>
                          <m:t>𝛽</m:t>
                        </m:r>
                      </m:num>
                      <m:den>
                        <m:r>
                          <a:rPr lang="en-US" sz="1400" b="0" i="1">
                            <a:latin typeface="Cambria Math" panose="02040503050406030204" pitchFamily="18" charset="0"/>
                          </a:rPr>
                          <m:t>𝛼</m:t>
                        </m:r>
                        <m:r>
                          <a:rPr lang="en-US" sz="1400" b="0" i="1">
                            <a:latin typeface="Cambria Math" panose="02040503050406030204" pitchFamily="18" charset="0"/>
                          </a:rPr>
                          <m:t>−1 </m:t>
                        </m:r>
                      </m:den>
                    </m:f>
                  </m:oMath>
                </m:oMathPara>
              </a14:m>
              <a:endParaRPr lang="en-GB" sz="1400"/>
            </a:p>
          </xdr:txBody>
        </xdr:sp>
      </mc:Choice>
      <mc:Fallback xmlns="">
        <xdr:sp macro="" textlink="">
          <xdr:nvSpPr>
            <xdr:cNvPr id="5" name="TextBox 4">
              <a:extLst>
                <a:ext uri="{FF2B5EF4-FFF2-40B4-BE49-F238E27FC236}">
                  <a16:creationId xmlns:a16="http://schemas.microsoft.com/office/drawing/2014/main" id="{02B89469-70E3-4689-A94D-DE7E59D827E2}"/>
                </a:ext>
              </a:extLst>
            </xdr:cNvPr>
            <xdr:cNvSpPr txBox="1"/>
          </xdr:nvSpPr>
          <xdr:spPr>
            <a:xfrm>
              <a:off x="752475" y="3157537"/>
              <a:ext cx="1144993"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400" b="0" i="0">
                  <a:latin typeface="Cambria Math" panose="02040503050406030204" pitchFamily="18" charset="0"/>
                </a:rPr>
                <a:t>𝐸[𝑋]=  𝛽/(𝛼−1 )</a:t>
              </a:r>
              <a:endParaRPr lang="en-GB" sz="1400"/>
            </a:p>
          </xdr:txBody>
        </xdr:sp>
      </mc:Fallback>
    </mc:AlternateContent>
    <xdr:clientData/>
  </xdr:oneCellAnchor>
  <xdr:oneCellAnchor>
    <xdr:from>
      <xdr:col>1</xdr:col>
      <xdr:colOff>123825</xdr:colOff>
      <xdr:row>19</xdr:row>
      <xdr:rowOff>4762</xdr:rowOff>
    </xdr:from>
    <xdr:ext cx="2675091" cy="563424"/>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733425" y="3671887"/>
              <a:ext cx="2675091" cy="5634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400" b="0" i="1">
                        <a:latin typeface="Cambria Math" panose="02040503050406030204" pitchFamily="18" charset="0"/>
                      </a:rPr>
                      <m:t>𝐸</m:t>
                    </m:r>
                    <m:d>
                      <m:dPr>
                        <m:begChr m:val="["/>
                        <m:endChr m:val="]"/>
                        <m:ctrlPr>
                          <a:rPr lang="en-US" sz="1400" b="0" i="1">
                            <a:latin typeface="Cambria Math" panose="02040503050406030204" pitchFamily="18" charset="0"/>
                          </a:rPr>
                        </m:ctrlPr>
                      </m:dPr>
                      <m:e>
                        <m:r>
                          <a:rPr lang="en-US" sz="1400" b="0" i="1">
                            <a:latin typeface="Cambria Math" panose="02040503050406030204" pitchFamily="18" charset="0"/>
                          </a:rPr>
                          <m:t>𝑋</m:t>
                        </m:r>
                        <m:r>
                          <a:rPr lang="en-US" sz="1400" b="0" i="1">
                            <a:latin typeface="Cambria Math" panose="02040503050406030204" pitchFamily="18" charset="0"/>
                          </a:rPr>
                          <m:t>;</m:t>
                        </m:r>
                        <m:r>
                          <a:rPr lang="en-US" sz="1400" b="0" i="1">
                            <a:latin typeface="Cambria Math" panose="02040503050406030204" pitchFamily="18" charset="0"/>
                          </a:rPr>
                          <m:t>𝑥</m:t>
                        </m:r>
                      </m:e>
                    </m:d>
                    <m:r>
                      <a:rPr lang="en-US" sz="1400" b="0" i="1">
                        <a:latin typeface="Cambria Math" panose="02040503050406030204" pitchFamily="18" charset="0"/>
                      </a:rPr>
                      <m:t>= </m:t>
                    </m:r>
                    <m:f>
                      <m:fPr>
                        <m:ctrlPr>
                          <a:rPr lang="en-US" sz="1400" b="0" i="1">
                            <a:latin typeface="Cambria Math" panose="02040503050406030204" pitchFamily="18" charset="0"/>
                          </a:rPr>
                        </m:ctrlPr>
                      </m:fPr>
                      <m:num>
                        <m:r>
                          <a:rPr lang="en-US" sz="1400" b="0" i="1">
                            <a:latin typeface="Cambria Math" panose="02040503050406030204" pitchFamily="18" charset="0"/>
                          </a:rPr>
                          <m:t>𝛽</m:t>
                        </m:r>
                      </m:num>
                      <m:den>
                        <m:r>
                          <a:rPr lang="en-US" sz="1400" b="0" i="1">
                            <a:latin typeface="Cambria Math" panose="02040503050406030204" pitchFamily="18" charset="0"/>
                          </a:rPr>
                          <m:t>𝛼</m:t>
                        </m:r>
                        <m:r>
                          <a:rPr lang="en-US" sz="1400" b="0" i="1">
                            <a:latin typeface="Cambria Math" panose="02040503050406030204" pitchFamily="18" charset="0"/>
                          </a:rPr>
                          <m:t>−1</m:t>
                        </m:r>
                      </m:den>
                    </m:f>
                    <m:d>
                      <m:dPr>
                        <m:begChr m:val="["/>
                        <m:endChr m:val="]"/>
                        <m:ctrlPr>
                          <a:rPr lang="en-US" sz="1400" b="0" i="1">
                            <a:latin typeface="Cambria Math" panose="02040503050406030204" pitchFamily="18" charset="0"/>
                          </a:rPr>
                        </m:ctrlPr>
                      </m:dPr>
                      <m:e>
                        <m:r>
                          <a:rPr lang="en-US" sz="1400" b="0" i="1">
                            <a:latin typeface="Cambria Math" panose="02040503050406030204" pitchFamily="18" charset="0"/>
                          </a:rPr>
                          <m:t>1−</m:t>
                        </m:r>
                        <m:sSup>
                          <m:sSupPr>
                            <m:ctrlPr>
                              <a:rPr lang="en-US" sz="1400" b="0" i="1">
                                <a:latin typeface="Cambria Math" panose="02040503050406030204" pitchFamily="18" charset="0"/>
                              </a:rPr>
                            </m:ctrlPr>
                          </m:sSupPr>
                          <m:e>
                            <m:d>
                              <m:dPr>
                                <m:ctrlPr>
                                  <a:rPr lang="en-US" sz="1400" b="0" i="1">
                                    <a:latin typeface="Cambria Math" panose="02040503050406030204" pitchFamily="18" charset="0"/>
                                  </a:rPr>
                                </m:ctrlPr>
                              </m:dPr>
                              <m:e>
                                <m:f>
                                  <m:fPr>
                                    <m:ctrlPr>
                                      <a:rPr lang="en-US" sz="1400" b="0" i="1">
                                        <a:latin typeface="Cambria Math" panose="02040503050406030204" pitchFamily="18" charset="0"/>
                                      </a:rPr>
                                    </m:ctrlPr>
                                  </m:fPr>
                                  <m:num>
                                    <m:r>
                                      <a:rPr lang="en-US" sz="1400" b="0" i="1">
                                        <a:latin typeface="Cambria Math" panose="02040503050406030204" pitchFamily="18" charset="0"/>
                                      </a:rPr>
                                      <m:t>𝛽</m:t>
                                    </m:r>
                                  </m:num>
                                  <m:den>
                                    <m:r>
                                      <a:rPr lang="en-US" sz="1400" b="0" i="1">
                                        <a:latin typeface="Cambria Math" panose="02040503050406030204" pitchFamily="18" charset="0"/>
                                      </a:rPr>
                                      <m:t>𝑥</m:t>
                                    </m:r>
                                    <m:r>
                                      <a:rPr lang="en-US" sz="1400" b="0" i="1">
                                        <a:latin typeface="Cambria Math" panose="02040503050406030204" pitchFamily="18" charset="0"/>
                                      </a:rPr>
                                      <m:t>+</m:t>
                                    </m:r>
                                    <m:r>
                                      <a:rPr lang="en-US" sz="1400" b="0" i="1">
                                        <a:latin typeface="Cambria Math" panose="02040503050406030204" pitchFamily="18" charset="0"/>
                                      </a:rPr>
                                      <m:t>𝛽</m:t>
                                    </m:r>
                                  </m:den>
                                </m:f>
                              </m:e>
                            </m:d>
                          </m:e>
                          <m:sup>
                            <m:r>
                              <a:rPr lang="en-US" sz="1400" b="0" i="1">
                                <a:latin typeface="Cambria Math" panose="02040503050406030204" pitchFamily="18" charset="0"/>
                              </a:rPr>
                              <m:t>𝛼</m:t>
                            </m:r>
                            <m:r>
                              <a:rPr lang="en-US" sz="1400" b="0" i="1">
                                <a:latin typeface="Cambria Math" panose="02040503050406030204" pitchFamily="18" charset="0"/>
                              </a:rPr>
                              <m:t>−1</m:t>
                            </m:r>
                          </m:sup>
                        </m:sSup>
                      </m:e>
                    </m:d>
                  </m:oMath>
                </m:oMathPara>
              </a14:m>
              <a:endParaRPr lang="en-GB" sz="1400"/>
            </a:p>
          </xdr:txBody>
        </xdr:sp>
      </mc:Choice>
      <mc:Fallback xmlns="">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733425" y="3671887"/>
              <a:ext cx="2675091" cy="5634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400" b="0" i="0">
                  <a:latin typeface="Cambria Math" panose="02040503050406030204" pitchFamily="18" charset="0"/>
                </a:rPr>
                <a:t>𝐸[𝑋;𝑥]=  𝛽/(𝛼−1) [1−(𝛽/(𝑥+𝛽))^(𝛼−1) ]</a:t>
              </a:r>
              <a:endParaRPr lang="en-GB" sz="1400"/>
            </a:p>
          </xdr:txBody>
        </xdr:sp>
      </mc:Fallback>
    </mc:AlternateContent>
    <xdr:clientData/>
  </xdr:oneCellAnchor>
  <xdr:oneCellAnchor>
    <xdr:from>
      <xdr:col>1</xdr:col>
      <xdr:colOff>133350</xdr:colOff>
      <xdr:row>22</xdr:row>
      <xdr:rowOff>61912</xdr:rowOff>
    </xdr:from>
    <xdr:ext cx="1174296" cy="409086"/>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00000000-0008-0000-0100-000007000000}"/>
                </a:ext>
              </a:extLst>
            </xdr:cNvPr>
            <xdr:cNvSpPr txBox="1"/>
          </xdr:nvSpPr>
          <xdr:spPr>
            <a:xfrm>
              <a:off x="742950" y="4300537"/>
              <a:ext cx="1174296"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GB" sz="1400" i="1">
                            <a:latin typeface="Cambria Math" panose="02040503050406030204" pitchFamily="18" charset="0"/>
                          </a:rPr>
                        </m:ctrlPr>
                      </m:sSubPr>
                      <m:e>
                        <m:r>
                          <a:rPr lang="en-US" sz="1400" b="0" i="1">
                            <a:latin typeface="Cambria Math" panose="02040503050406030204" pitchFamily="18" charset="0"/>
                          </a:rPr>
                          <m:t>𝑒</m:t>
                        </m:r>
                      </m:e>
                      <m:sub>
                        <m:r>
                          <a:rPr lang="en-US" sz="1400" b="0" i="1">
                            <a:latin typeface="Cambria Math" panose="02040503050406030204" pitchFamily="18" charset="0"/>
                          </a:rPr>
                          <m:t>𝑋</m:t>
                        </m:r>
                      </m:sub>
                    </m:sSub>
                    <m:d>
                      <m:dPr>
                        <m:ctrlPr>
                          <a:rPr lang="en-US" sz="1400" b="0" i="1">
                            <a:latin typeface="Cambria Math" panose="02040503050406030204" pitchFamily="18" charset="0"/>
                          </a:rPr>
                        </m:ctrlPr>
                      </m:dPr>
                      <m:e>
                        <m:r>
                          <a:rPr lang="en-US" sz="1400" b="0" i="1">
                            <a:latin typeface="Cambria Math" panose="02040503050406030204" pitchFamily="18" charset="0"/>
                          </a:rPr>
                          <m:t>𝑥</m:t>
                        </m:r>
                      </m:e>
                    </m:d>
                    <m:r>
                      <a:rPr lang="en-US" sz="1400" b="0" i="1">
                        <a:latin typeface="Cambria Math" panose="02040503050406030204" pitchFamily="18" charset="0"/>
                      </a:rPr>
                      <m:t>= </m:t>
                    </m:r>
                    <m:f>
                      <m:fPr>
                        <m:ctrlPr>
                          <a:rPr lang="en-US" sz="1400" b="0" i="1">
                            <a:latin typeface="Cambria Math" panose="02040503050406030204" pitchFamily="18" charset="0"/>
                          </a:rPr>
                        </m:ctrlPr>
                      </m:fPr>
                      <m:num>
                        <m:r>
                          <a:rPr lang="en-US" sz="1400" b="0" i="1">
                            <a:latin typeface="Cambria Math" panose="02040503050406030204" pitchFamily="18" charset="0"/>
                          </a:rPr>
                          <m:t>𝑥</m:t>
                        </m:r>
                        <m:r>
                          <a:rPr lang="en-US" sz="1400" b="0" i="1">
                            <a:latin typeface="Cambria Math" panose="02040503050406030204" pitchFamily="18" charset="0"/>
                          </a:rPr>
                          <m:t>+</m:t>
                        </m:r>
                        <m:r>
                          <a:rPr lang="en-US" sz="1400" b="0" i="1">
                            <a:latin typeface="Cambria Math" panose="02040503050406030204" pitchFamily="18" charset="0"/>
                          </a:rPr>
                          <m:t>𝛽</m:t>
                        </m:r>
                      </m:num>
                      <m:den>
                        <m:r>
                          <a:rPr lang="en-US" sz="1400" b="0" i="1">
                            <a:latin typeface="Cambria Math" panose="02040503050406030204" pitchFamily="18" charset="0"/>
                          </a:rPr>
                          <m:t>𝛼</m:t>
                        </m:r>
                        <m:r>
                          <a:rPr lang="en-US" sz="1400" b="0" i="1">
                            <a:latin typeface="Cambria Math" panose="02040503050406030204" pitchFamily="18" charset="0"/>
                          </a:rPr>
                          <m:t>−1</m:t>
                        </m:r>
                      </m:den>
                    </m:f>
                  </m:oMath>
                </m:oMathPara>
              </a14:m>
              <a:endParaRPr lang="en-GB" sz="1400"/>
            </a:p>
          </xdr:txBody>
        </xdr:sp>
      </mc:Choice>
      <mc:Fallback xmlns="">
        <xdr:sp macro="" textlink="">
          <xdr:nvSpPr>
            <xdr:cNvPr id="7" name="TextBox 6">
              <a:extLst>
                <a:ext uri="{FF2B5EF4-FFF2-40B4-BE49-F238E27FC236}">
                  <a16:creationId xmlns:a16="http://schemas.microsoft.com/office/drawing/2014/main" id="{9E26E002-A66C-4857-BB09-79DA6FEEEEC0}"/>
                </a:ext>
              </a:extLst>
            </xdr:cNvPr>
            <xdr:cNvSpPr txBox="1"/>
          </xdr:nvSpPr>
          <xdr:spPr>
            <a:xfrm>
              <a:off x="742950" y="4300537"/>
              <a:ext cx="1174296"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400" b="0" i="0">
                  <a:latin typeface="Cambria Math" panose="02040503050406030204" pitchFamily="18" charset="0"/>
                </a:rPr>
                <a:t>𝑒</a:t>
              </a:r>
              <a:r>
                <a:rPr lang="en-GB" sz="1400" b="0" i="0">
                  <a:latin typeface="Cambria Math" panose="02040503050406030204" pitchFamily="18" charset="0"/>
                </a:rPr>
                <a:t>_</a:t>
              </a:r>
              <a:r>
                <a:rPr lang="en-US" sz="1400" b="0" i="0">
                  <a:latin typeface="Cambria Math" panose="02040503050406030204" pitchFamily="18" charset="0"/>
                </a:rPr>
                <a:t>𝑋 (𝑥)=  (𝑥+𝛽)/(𝛼−1)</a:t>
              </a:r>
              <a:endParaRPr lang="en-GB" sz="1400"/>
            </a:p>
          </xdr:txBody>
        </xdr:sp>
      </mc:Fallback>
    </mc:AlternateContent>
    <xdr:clientData/>
  </xdr:oneCellAnchor>
  <xdr:oneCellAnchor>
    <xdr:from>
      <xdr:col>1</xdr:col>
      <xdr:colOff>161925</xdr:colOff>
      <xdr:row>25</xdr:row>
      <xdr:rowOff>14287</xdr:rowOff>
    </xdr:from>
    <xdr:ext cx="1798377" cy="509050"/>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771525" y="4824412"/>
              <a:ext cx="1798377" cy="5090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GB" sz="1400" i="1">
                            <a:latin typeface="Cambria Math" panose="02040503050406030204" pitchFamily="18" charset="0"/>
                          </a:rPr>
                        </m:ctrlPr>
                      </m:sSubPr>
                      <m:e>
                        <m:r>
                          <a:rPr lang="en-US" sz="1400" b="0" i="1">
                            <a:latin typeface="Cambria Math" panose="02040503050406030204" pitchFamily="18" charset="0"/>
                          </a:rPr>
                          <m:t>𝐹</m:t>
                        </m:r>
                      </m:e>
                      <m:sub>
                        <m:r>
                          <a:rPr lang="en-US" sz="1400" b="0" i="1">
                            <a:latin typeface="Cambria Math" panose="02040503050406030204" pitchFamily="18" charset="0"/>
                          </a:rPr>
                          <m:t>𝑋</m:t>
                        </m:r>
                      </m:sub>
                    </m:sSub>
                    <m:d>
                      <m:dPr>
                        <m:ctrlPr>
                          <a:rPr lang="en-US" sz="1400" b="0" i="1">
                            <a:latin typeface="Cambria Math" panose="02040503050406030204" pitchFamily="18" charset="0"/>
                          </a:rPr>
                        </m:ctrlPr>
                      </m:dPr>
                      <m:e>
                        <m:r>
                          <a:rPr lang="en-US" sz="1400" b="0" i="1">
                            <a:latin typeface="Cambria Math" panose="02040503050406030204" pitchFamily="18" charset="0"/>
                          </a:rPr>
                          <m:t>𝑥</m:t>
                        </m:r>
                      </m:e>
                    </m:d>
                    <m:r>
                      <a:rPr lang="en-US" sz="1400" b="0" i="1">
                        <a:latin typeface="Cambria Math" panose="02040503050406030204" pitchFamily="18" charset="0"/>
                      </a:rPr>
                      <m:t>=1− </m:t>
                    </m:r>
                    <m:sSup>
                      <m:sSupPr>
                        <m:ctrlPr>
                          <a:rPr lang="en-US" sz="1400" b="0" i="1">
                            <a:latin typeface="Cambria Math" panose="02040503050406030204" pitchFamily="18" charset="0"/>
                          </a:rPr>
                        </m:ctrlPr>
                      </m:sSupPr>
                      <m:e>
                        <m:d>
                          <m:dPr>
                            <m:ctrlPr>
                              <a:rPr lang="en-US" sz="1400" b="0" i="1">
                                <a:latin typeface="Cambria Math" panose="02040503050406030204" pitchFamily="18" charset="0"/>
                              </a:rPr>
                            </m:ctrlPr>
                          </m:dPr>
                          <m:e>
                            <m:f>
                              <m:fPr>
                                <m:ctrlPr>
                                  <a:rPr lang="en-US" sz="1400" b="0" i="1">
                                    <a:latin typeface="Cambria Math" panose="02040503050406030204" pitchFamily="18" charset="0"/>
                                  </a:rPr>
                                </m:ctrlPr>
                              </m:fPr>
                              <m:num>
                                <m:r>
                                  <a:rPr lang="en-US" sz="1400" b="0" i="1">
                                    <a:latin typeface="Cambria Math" panose="02040503050406030204" pitchFamily="18" charset="0"/>
                                  </a:rPr>
                                  <m:t>𝛽</m:t>
                                </m:r>
                              </m:num>
                              <m:den>
                                <m:r>
                                  <a:rPr lang="en-US" sz="1400" b="0" i="1">
                                    <a:latin typeface="Cambria Math" panose="02040503050406030204" pitchFamily="18" charset="0"/>
                                  </a:rPr>
                                  <m:t>𝑥</m:t>
                                </m:r>
                                <m:r>
                                  <a:rPr lang="en-US" sz="1400" b="0" i="1">
                                    <a:latin typeface="Cambria Math" panose="02040503050406030204" pitchFamily="18" charset="0"/>
                                  </a:rPr>
                                  <m:t>+</m:t>
                                </m:r>
                                <m:r>
                                  <a:rPr lang="en-US" sz="1400" b="0" i="1">
                                    <a:latin typeface="Cambria Math" panose="02040503050406030204" pitchFamily="18" charset="0"/>
                                  </a:rPr>
                                  <m:t>𝛽</m:t>
                                </m:r>
                              </m:den>
                            </m:f>
                          </m:e>
                        </m:d>
                      </m:e>
                      <m:sup>
                        <m:r>
                          <a:rPr lang="en-US" sz="1400" b="0" i="1">
                            <a:latin typeface="Cambria Math" panose="02040503050406030204" pitchFamily="18" charset="0"/>
                          </a:rPr>
                          <m:t>𝛼</m:t>
                        </m:r>
                      </m:sup>
                    </m:sSup>
                  </m:oMath>
                </m:oMathPara>
              </a14:m>
              <a:endParaRPr lang="en-GB" sz="1400"/>
            </a:p>
          </xdr:txBody>
        </xdr:sp>
      </mc:Choice>
      <mc:Fallback xmlns="">
        <xdr:sp macro="" textlink="">
          <xdr:nvSpPr>
            <xdr:cNvPr id="8" name="TextBox 7">
              <a:extLst>
                <a:ext uri="{FF2B5EF4-FFF2-40B4-BE49-F238E27FC236}">
                  <a16:creationId xmlns:a16="http://schemas.microsoft.com/office/drawing/2014/main" id="{BCCE05B5-B85D-4D24-A635-7D1DEBDD3838}"/>
                </a:ext>
              </a:extLst>
            </xdr:cNvPr>
            <xdr:cNvSpPr txBox="1"/>
          </xdr:nvSpPr>
          <xdr:spPr>
            <a:xfrm>
              <a:off x="771525" y="4824412"/>
              <a:ext cx="1798377" cy="5090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400" b="0" i="0">
                  <a:latin typeface="Cambria Math" panose="02040503050406030204" pitchFamily="18" charset="0"/>
                </a:rPr>
                <a:t>𝐹</a:t>
              </a:r>
              <a:r>
                <a:rPr lang="en-GB" sz="1400" b="0" i="0">
                  <a:latin typeface="Cambria Math" panose="02040503050406030204" pitchFamily="18" charset="0"/>
                </a:rPr>
                <a:t>_</a:t>
              </a:r>
              <a:r>
                <a:rPr lang="en-US" sz="1400" b="0" i="0">
                  <a:latin typeface="Cambria Math" panose="02040503050406030204" pitchFamily="18" charset="0"/>
                </a:rPr>
                <a:t>𝑋 (𝑥)=1− (𝛽/(𝑥+𝛽))^𝛼</a:t>
              </a:r>
              <a:endParaRPr lang="en-GB" sz="1400"/>
            </a:p>
          </xdr:txBody>
        </xdr:sp>
      </mc:Fallback>
    </mc:AlternateContent>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51646</xdr:colOff>
      <xdr:row>4</xdr:row>
      <xdr:rowOff>18627</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375660" cy="75014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263313</xdr:colOff>
      <xdr:row>4</xdr:row>
      <xdr:rowOff>18627</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311313" cy="78062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8</xdr:col>
      <xdr:colOff>590550</xdr:colOff>
      <xdr:row>2</xdr:row>
      <xdr:rowOff>14287</xdr:rowOff>
    </xdr:from>
    <xdr:ext cx="3072380" cy="17222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6372225" y="404812"/>
              <a:ext cx="307238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GB" sz="110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𝑍</m:t>
                        </m:r>
                      </m:sub>
                    </m:sSub>
                    <m:r>
                      <a:rPr lang="en-US" sz="1100" b="0" i="1">
                        <a:latin typeface="Cambria Math" panose="02040503050406030204" pitchFamily="18" charset="0"/>
                      </a:rPr>
                      <m:t>+</m:t>
                    </m:r>
                    <m:r>
                      <a:rPr lang="en-US" sz="1100" b="0" i="1">
                        <a:latin typeface="Cambria Math" panose="02040503050406030204" pitchFamily="18" charset="0"/>
                      </a:rPr>
                      <m:t>𝑏</m:t>
                    </m:r>
                    <m:r>
                      <a:rPr lang="en-US" sz="1100" b="0" i="1">
                        <a:latin typeface="Cambria Math" panose="02040503050406030204" pitchFamily="18" charset="0"/>
                      </a:rPr>
                      <m:t>⋅</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𝑆</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𝑍</m:t>
                            </m:r>
                          </m:sub>
                        </m:sSub>
                      </m:e>
                    </m:d>
                    <m:r>
                      <a:rPr lang="en-US" sz="1100" b="0" i="1">
                        <a:latin typeface="Cambria Math" panose="02040503050406030204" pitchFamily="18" charset="0"/>
                      </a:rPr>
                      <m:t>+</m:t>
                    </m:r>
                    <m:r>
                      <a:rPr lang="en-US" sz="1100" b="0" i="1">
                        <a:latin typeface="Cambria Math" panose="02040503050406030204" pitchFamily="18" charset="0"/>
                      </a:rPr>
                      <m:t>𝑐</m:t>
                    </m:r>
                    <m:r>
                      <a:rPr lang="en-US" sz="1100" b="0" i="1">
                        <a:latin typeface="Cambria Math" panose="02040503050406030204" pitchFamily="18" charset="0"/>
                      </a:rPr>
                      <m:t>⋅</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𝑊</m:t>
                            </m:r>
                          </m:e>
                          <m:sub>
                            <m:r>
                              <a:rPr lang="en-US" sz="1100" b="0" i="1">
                                <a:latin typeface="Cambria Math" panose="02040503050406030204" pitchFamily="18" charset="0"/>
                              </a:rPr>
                              <m:t>𝑆</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𝑊</m:t>
                            </m:r>
                          </m:e>
                          <m:sub>
                            <m:r>
                              <a:rPr lang="en-US" sz="1100" b="0" i="1">
                                <a:latin typeface="Cambria Math" panose="02040503050406030204" pitchFamily="18" charset="0"/>
                              </a:rPr>
                              <m:t>𝑍</m:t>
                            </m:r>
                          </m:sub>
                        </m:sSub>
                      </m:e>
                    </m:d>
                    <m:r>
                      <a:rPr lang="en-US" sz="1100" b="0" i="1">
                        <a:latin typeface="Cambria Math" panose="02040503050406030204" pitchFamily="18" charset="0"/>
                      </a:rPr>
                      <m:t>+</m:t>
                    </m:r>
                    <m:r>
                      <a:rPr lang="en-US" sz="1100" b="0" i="1">
                        <a:latin typeface="Cambria Math" panose="02040503050406030204" pitchFamily="18" charset="0"/>
                      </a:rPr>
                      <m:t>𝑑</m:t>
                    </m:r>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𝑋</m:t>
                        </m:r>
                      </m:e>
                      <m:sub>
                        <m:r>
                          <a:rPr lang="en-US" sz="1100" b="0" i="1">
                            <a:latin typeface="Cambria Math" panose="02040503050406030204" pitchFamily="18" charset="0"/>
                          </a:rPr>
                          <m:t>𝑆</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𝑋</m:t>
                        </m:r>
                      </m:e>
                      <m:sub>
                        <m:r>
                          <a:rPr lang="en-US" sz="1100" b="0" i="1">
                            <a:latin typeface="Cambria Math" panose="02040503050406030204" pitchFamily="18" charset="0"/>
                          </a:rPr>
                          <m:t>𝑍</m:t>
                        </m:r>
                      </m:sub>
                    </m:sSub>
                    <m:r>
                      <a:rPr lang="en-US" sz="1100" b="0" i="1">
                        <a:latin typeface="Cambria Math" panose="02040503050406030204" pitchFamily="18" charset="0"/>
                      </a:rPr>
                      <m:t>)</m:t>
                    </m:r>
                  </m:oMath>
                </m:oMathPara>
              </a14:m>
              <a:endParaRPr lang="en-GB" sz="1100"/>
            </a:p>
          </xdr:txBody>
        </xdr:sp>
      </mc:Choice>
      <mc:Fallback xmlns="">
        <xdr:sp macro="" textlink="">
          <xdr:nvSpPr>
            <xdr:cNvPr id="2" name="TextBox 1">
              <a:extLst>
                <a:ext uri="{FF2B5EF4-FFF2-40B4-BE49-F238E27FC236}">
                  <a16:creationId xmlns:a16="http://schemas.microsoft.com/office/drawing/2014/main" id="{79474516-9B6E-4FAD-9C16-E7850A8ECE79}"/>
                </a:ext>
              </a:extLst>
            </xdr:cNvPr>
            <xdr:cNvSpPr txBox="1"/>
          </xdr:nvSpPr>
          <xdr:spPr>
            <a:xfrm>
              <a:off x="6372225" y="404812"/>
              <a:ext cx="307238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𝑉</a:t>
              </a:r>
              <a:r>
                <a:rPr lang="en-GB" sz="1100" b="0" i="0">
                  <a:latin typeface="Cambria Math" panose="02040503050406030204" pitchFamily="18" charset="0"/>
                </a:rPr>
                <a:t>_</a:t>
              </a:r>
              <a:r>
                <a:rPr lang="en-US" sz="1100" b="0" i="0">
                  <a:latin typeface="Cambria Math" panose="02040503050406030204" pitchFamily="18" charset="0"/>
                </a:rPr>
                <a:t>𝑍+𝑏⋅(𝑉_𝑆−𝑉_𝑍 )+𝑐⋅(𝑊_𝑆−𝑊_𝑍 )+𝑑⋅(𝑋_𝑆−𝑋_𝑍)</a:t>
              </a:r>
              <a:endParaRPr lang="en-GB" sz="1100"/>
            </a:p>
          </xdr:txBody>
        </xdr:sp>
      </mc:Fallback>
    </mc:AlternateContent>
    <xdr:clientData/>
  </xdr:oneCellAnchor>
  <xdr:oneCellAnchor>
    <xdr:from>
      <xdr:col>8</xdr:col>
      <xdr:colOff>590550</xdr:colOff>
      <xdr:row>15</xdr:row>
      <xdr:rowOff>23812</xdr:rowOff>
    </xdr:from>
    <xdr:ext cx="1242648"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6372225" y="2890837"/>
              <a:ext cx="124264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𝑍</m:t>
                    </m:r>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𝑆</m:t>
                        </m:r>
                      </m:sub>
                    </m:sSub>
                    <m:r>
                      <a:rPr lang="en-US" sz="1100" b="0" i="1">
                        <a:latin typeface="Cambria Math" panose="02040503050406030204" pitchFamily="18" charset="0"/>
                      </a:rPr>
                      <m:t>+</m:t>
                    </m:r>
                    <m:d>
                      <m:dPr>
                        <m:ctrlPr>
                          <a:rPr lang="en-US" sz="1100" b="0" i="1">
                            <a:latin typeface="Cambria Math" panose="02040503050406030204" pitchFamily="18" charset="0"/>
                          </a:rPr>
                        </m:ctrlPr>
                      </m:dPr>
                      <m:e>
                        <m:r>
                          <a:rPr lang="en-US" sz="1100" b="0" i="1">
                            <a:latin typeface="Cambria Math" panose="02040503050406030204" pitchFamily="18" charset="0"/>
                          </a:rPr>
                          <m:t>1−</m:t>
                        </m:r>
                        <m:r>
                          <a:rPr lang="en-US" sz="1100" b="0" i="1">
                            <a:latin typeface="Cambria Math" panose="02040503050406030204" pitchFamily="18" charset="0"/>
                          </a:rPr>
                          <m:t>𝑍</m:t>
                        </m:r>
                      </m:e>
                    </m:d>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𝑍</m:t>
                        </m:r>
                      </m:sub>
                    </m:sSub>
                  </m:oMath>
                </m:oMathPara>
              </a14:m>
              <a:endParaRPr lang="en-GB" sz="1100"/>
            </a:p>
          </xdr:txBody>
        </xdr:sp>
      </mc:Choice>
      <mc:Fallback xmlns="">
        <xdr:sp macro="" textlink="">
          <xdr:nvSpPr>
            <xdr:cNvPr id="3" name="TextBox 2">
              <a:extLst>
                <a:ext uri="{FF2B5EF4-FFF2-40B4-BE49-F238E27FC236}">
                  <a16:creationId xmlns:a16="http://schemas.microsoft.com/office/drawing/2014/main" id="{4904C193-5033-496C-98AC-E00680855B04}"/>
                </a:ext>
              </a:extLst>
            </xdr:cNvPr>
            <xdr:cNvSpPr txBox="1"/>
          </xdr:nvSpPr>
          <xdr:spPr>
            <a:xfrm>
              <a:off x="6372225" y="2890837"/>
              <a:ext cx="124264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𝑍⋅𝑉_𝑆+(1−𝑍)⋅𝑉_𝑍</a:t>
              </a:r>
              <a:endParaRPr lang="en-GB" sz="1100"/>
            </a:p>
          </xdr:txBody>
        </xdr:sp>
      </mc:Fallback>
    </mc:AlternateContent>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19050</xdr:colOff>
      <xdr:row>11</xdr:row>
      <xdr:rowOff>47626</xdr:rowOff>
    </xdr:from>
    <xdr:to>
      <xdr:col>5</xdr:col>
      <xdr:colOff>443495</xdr:colOff>
      <xdr:row>23</xdr:row>
      <xdr:rowOff>66676</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628650" y="2543176"/>
          <a:ext cx="3720095" cy="2305050"/>
        </a:xfrm>
        <a:prstGeom prst="rect">
          <a:avLst/>
        </a:prstGeom>
      </xdr:spPr>
    </xdr:pic>
    <xdr:clientData/>
  </xdr:twoCellAnchor>
  <xdr:twoCellAnchor editAs="oneCell">
    <xdr:from>
      <xdr:col>5</xdr:col>
      <xdr:colOff>533400</xdr:colOff>
      <xdr:row>11</xdr:row>
      <xdr:rowOff>19050</xdr:rowOff>
    </xdr:from>
    <xdr:to>
      <xdr:col>11</xdr:col>
      <xdr:colOff>405111</xdr:colOff>
      <xdr:row>23</xdr:row>
      <xdr:rowOff>37338</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a:stretch>
          <a:fillRect/>
        </a:stretch>
      </xdr:blipFill>
      <xdr:spPr>
        <a:xfrm>
          <a:off x="4333875" y="2514600"/>
          <a:ext cx="3681711" cy="2304288"/>
        </a:xfrm>
        <a:prstGeom prst="rect">
          <a:avLst/>
        </a:prstGeom>
      </xdr:spPr>
    </xdr:pic>
    <xdr:clientData/>
  </xdr:twoCellAnchor>
  <xdr:twoCellAnchor editAs="oneCell">
    <xdr:from>
      <xdr:col>1</xdr:col>
      <xdr:colOff>28576</xdr:colOff>
      <xdr:row>23</xdr:row>
      <xdr:rowOff>47625</xdr:rowOff>
    </xdr:from>
    <xdr:to>
      <xdr:col>6</xdr:col>
      <xdr:colOff>340397</xdr:colOff>
      <xdr:row>35</xdr:row>
      <xdr:rowOff>65913</xdr:rowOff>
    </xdr:to>
    <xdr:pic>
      <xdr:nvPicPr>
        <xdr:cNvPr id="4" name="Pictur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3"/>
        <a:stretch>
          <a:fillRect/>
        </a:stretch>
      </xdr:blipFill>
      <xdr:spPr>
        <a:xfrm>
          <a:off x="638176" y="4829175"/>
          <a:ext cx="4217071" cy="2304288"/>
        </a:xfrm>
        <a:prstGeom prst="rect">
          <a:avLst/>
        </a:prstGeom>
      </xdr:spPr>
    </xdr:pic>
    <xdr:clientData/>
  </xdr:twoCellAnchor>
  <xdr:twoCellAnchor>
    <xdr:from>
      <xdr:col>12</xdr:col>
      <xdr:colOff>76199</xdr:colOff>
      <xdr:row>12</xdr:row>
      <xdr:rowOff>33337</xdr:rowOff>
    </xdr:from>
    <xdr:to>
      <xdr:col>17</xdr:col>
      <xdr:colOff>276224</xdr:colOff>
      <xdr:row>23</xdr:row>
      <xdr:rowOff>47625</xdr:rowOff>
    </xdr:to>
    <xdr:graphicFrame macro="">
      <xdr:nvGraphicFramePr>
        <xdr:cNvPr id="5" name="Chart 4">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oneCellAnchor>
    <xdr:from>
      <xdr:col>9</xdr:col>
      <xdr:colOff>400050</xdr:colOff>
      <xdr:row>0</xdr:row>
      <xdr:rowOff>104775</xdr:rowOff>
    </xdr:from>
    <xdr:ext cx="1094595" cy="405239"/>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600-000003000000}"/>
                </a:ext>
              </a:extLst>
            </xdr:cNvPr>
            <xdr:cNvSpPr txBox="1"/>
          </xdr:nvSpPr>
          <xdr:spPr>
            <a:xfrm>
              <a:off x="6553200" y="104775"/>
              <a:ext cx="1094595" cy="405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400" b="0" i="1">
                        <a:latin typeface="Cambria Math" panose="02040503050406030204" pitchFamily="18" charset="0"/>
                      </a:rPr>
                      <m:t>𝐸</m:t>
                    </m:r>
                    <m:d>
                      <m:dPr>
                        <m:begChr m:val="["/>
                        <m:endChr m:val="]"/>
                        <m:ctrlPr>
                          <a:rPr lang="en-US" sz="1400" b="0" i="1">
                            <a:latin typeface="Cambria Math" panose="02040503050406030204" pitchFamily="18" charset="0"/>
                          </a:rPr>
                        </m:ctrlPr>
                      </m:dPr>
                      <m:e>
                        <m:r>
                          <a:rPr lang="en-US" sz="1400" b="0" i="1">
                            <a:latin typeface="Cambria Math" panose="02040503050406030204" pitchFamily="18" charset="0"/>
                          </a:rPr>
                          <m:t>𝑋</m:t>
                        </m:r>
                      </m:e>
                    </m:d>
                    <m:r>
                      <a:rPr lang="en-US" sz="1400" b="0" i="1">
                        <a:latin typeface="Cambria Math" panose="02040503050406030204" pitchFamily="18" charset="0"/>
                      </a:rPr>
                      <m:t>= </m:t>
                    </m:r>
                    <m:f>
                      <m:fPr>
                        <m:ctrlPr>
                          <a:rPr lang="en-US" sz="1400" b="0" i="1">
                            <a:latin typeface="Cambria Math" panose="02040503050406030204" pitchFamily="18" charset="0"/>
                          </a:rPr>
                        </m:ctrlPr>
                      </m:fPr>
                      <m:num>
                        <m:r>
                          <a:rPr lang="en-US" sz="1400" b="0" i="1">
                            <a:latin typeface="Cambria Math" panose="02040503050406030204" pitchFamily="18" charset="0"/>
                          </a:rPr>
                          <m:t>𝑝𝑟</m:t>
                        </m:r>
                      </m:num>
                      <m:den>
                        <m:r>
                          <a:rPr lang="en-US" sz="1400" b="0" i="1">
                            <a:latin typeface="Cambria Math" panose="02040503050406030204" pitchFamily="18" charset="0"/>
                          </a:rPr>
                          <m:t>1−</m:t>
                        </m:r>
                        <m:r>
                          <a:rPr lang="en-US" sz="1400" b="0" i="1">
                            <a:latin typeface="Cambria Math" panose="02040503050406030204" pitchFamily="18" charset="0"/>
                          </a:rPr>
                          <m:t>𝑝</m:t>
                        </m:r>
                      </m:den>
                    </m:f>
                  </m:oMath>
                </m:oMathPara>
              </a14:m>
              <a:endParaRPr lang="en-GB" sz="1400"/>
            </a:p>
          </xdr:txBody>
        </xdr:sp>
      </mc:Choice>
      <mc:Fallback xmlns="">
        <xdr:sp macro="" textlink="">
          <xdr:nvSpPr>
            <xdr:cNvPr id="3" name="TextBox 2">
              <a:extLst>
                <a:ext uri="{FF2B5EF4-FFF2-40B4-BE49-F238E27FC236}">
                  <a16:creationId xmlns:a16="http://schemas.microsoft.com/office/drawing/2014/main" id="{179D1B91-B33D-4C30-BA86-441508FFEDAF}"/>
                </a:ext>
              </a:extLst>
            </xdr:cNvPr>
            <xdr:cNvSpPr txBox="1"/>
          </xdr:nvSpPr>
          <xdr:spPr>
            <a:xfrm>
              <a:off x="6553200" y="104775"/>
              <a:ext cx="1094595" cy="405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400" b="0" i="0">
                  <a:latin typeface="Cambria Math" panose="02040503050406030204" pitchFamily="18" charset="0"/>
                </a:rPr>
                <a:t>𝐸[𝑋]=  𝑝𝑟/(1−𝑝)</a:t>
              </a:r>
              <a:endParaRPr lang="en-GB" sz="1400"/>
            </a:p>
          </xdr:txBody>
        </xdr:sp>
      </mc:Fallback>
    </mc:AlternateContent>
    <xdr:clientData/>
  </xdr:oneCellAnchor>
  <xdr:oneCellAnchor>
    <xdr:from>
      <xdr:col>9</xdr:col>
      <xdr:colOff>28575</xdr:colOff>
      <xdr:row>9</xdr:row>
      <xdr:rowOff>185737</xdr:rowOff>
    </xdr:from>
    <xdr:ext cx="3065198" cy="380361"/>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6181725" y="1909762"/>
              <a:ext cx="3065198"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unc>
                      <m:funcPr>
                        <m:ctrlPr>
                          <a:rPr lang="en-US" sz="1100" b="0" i="1">
                            <a:latin typeface="Cambria Math" panose="02040503050406030204" pitchFamily="18" charset="0"/>
                          </a:rPr>
                        </m:ctrlPr>
                      </m:funcPr>
                      <m:fName>
                        <m:r>
                          <m:rPr>
                            <m:sty m:val="p"/>
                          </m:rPr>
                          <a:rPr lang="en-US" sz="1100" b="0" i="0">
                            <a:latin typeface="Cambria Math" panose="02040503050406030204" pitchFamily="18" charset="0"/>
                          </a:rPr>
                          <m:t>Pr</m:t>
                        </m:r>
                      </m:fName>
                      <m:e>
                        <m:d>
                          <m:dPr>
                            <m:ctrlPr>
                              <a:rPr lang="en-US" sz="1100" b="0" i="1">
                                <a:latin typeface="Cambria Math" panose="02040503050406030204" pitchFamily="18" charset="0"/>
                              </a:rPr>
                            </m:ctrlPr>
                          </m:dPr>
                          <m:e>
                            <m:r>
                              <a:rPr lang="en-US" sz="1100" b="0" i="1">
                                <a:latin typeface="Cambria Math" panose="02040503050406030204" pitchFamily="18" charset="0"/>
                              </a:rPr>
                              <m:t>𝑁</m:t>
                            </m:r>
                            <m:r>
                              <a:rPr lang="en-US" sz="1100" b="0" i="1">
                                <a:latin typeface="Cambria Math" panose="02040503050406030204" pitchFamily="18" charset="0"/>
                              </a:rPr>
                              <m:t>=0</m:t>
                            </m:r>
                          </m:e>
                        </m:d>
                      </m:e>
                    </m:func>
                    <m:r>
                      <a:rPr lang="en-US" sz="1100" b="0" i="1">
                        <a:latin typeface="Cambria Math" panose="02040503050406030204" pitchFamily="18" charset="0"/>
                      </a:rPr>
                      <m:t>= </m:t>
                    </m:r>
                    <m:d>
                      <m:dPr>
                        <m:ctrlPr>
                          <a:rPr lang="en-US" sz="1100" b="0" i="1">
                            <a:latin typeface="Cambria Math" panose="02040503050406030204" pitchFamily="18" charset="0"/>
                          </a:rPr>
                        </m:ctrlPr>
                      </m:dPr>
                      <m:e>
                        <m:f>
                          <m:fPr>
                            <m:type m:val="noBar"/>
                            <m:ctrlPr>
                              <a:rPr lang="en-US" sz="1100" b="0" i="1">
                                <a:latin typeface="Cambria Math" panose="02040503050406030204" pitchFamily="18" charset="0"/>
                              </a:rPr>
                            </m:ctrlPr>
                          </m:fPr>
                          <m:num>
                            <m:r>
                              <a:rPr lang="en-US" sz="1100" b="0" i="1">
                                <a:latin typeface="Cambria Math" panose="02040503050406030204" pitchFamily="18" charset="0"/>
                              </a:rPr>
                              <m:t>9</m:t>
                            </m:r>
                          </m:num>
                          <m:den>
                            <m:r>
                              <a:rPr lang="en-US" sz="1100" b="0" i="1">
                                <a:latin typeface="Cambria Math" panose="02040503050406030204" pitchFamily="18" charset="0"/>
                              </a:rPr>
                              <m:t>0</m:t>
                            </m:r>
                          </m:den>
                        </m:f>
                      </m:e>
                    </m:d>
                    <m:sSup>
                      <m:sSupPr>
                        <m:ctrlPr>
                          <a:rPr lang="en-US" sz="1100" b="0" i="1">
                            <a:latin typeface="Cambria Math" panose="02040503050406030204" pitchFamily="18" charset="0"/>
                          </a:rPr>
                        </m:ctrlPr>
                      </m:sSupPr>
                      <m:e>
                        <m:d>
                          <m:dPr>
                            <m:ctrlPr>
                              <a:rPr lang="en-US" sz="1100" b="0" i="1">
                                <a:latin typeface="Cambria Math" panose="02040503050406030204" pitchFamily="18" charset="0"/>
                              </a:rPr>
                            </m:ctrlPr>
                          </m:dPr>
                          <m:e>
                            <m:r>
                              <a:rPr lang="en-US" sz="1100" b="0" i="1">
                                <a:latin typeface="Cambria Math" panose="02040503050406030204" pitchFamily="18" charset="0"/>
                              </a:rPr>
                              <m:t>1 −0.01</m:t>
                            </m:r>
                          </m:e>
                        </m:d>
                      </m:e>
                      <m:sup>
                        <m:r>
                          <a:rPr lang="en-US" sz="1100" b="0" i="1">
                            <a:latin typeface="Cambria Math" panose="02040503050406030204" pitchFamily="18" charset="0"/>
                          </a:rPr>
                          <m:t>10</m:t>
                        </m:r>
                      </m:sup>
                    </m:sSup>
                    <m:r>
                      <a:rPr lang="en-US" sz="1100" b="0" i="1">
                        <a:latin typeface="Cambria Math" panose="02040503050406030204" pitchFamily="18" charset="0"/>
                      </a:rPr>
                      <m:t>⋅</m:t>
                    </m:r>
                    <m:sSup>
                      <m:sSupPr>
                        <m:ctrlPr>
                          <a:rPr lang="en-US" sz="1100" b="0" i="1">
                            <a:latin typeface="Cambria Math" panose="02040503050406030204" pitchFamily="18" charset="0"/>
                          </a:rPr>
                        </m:ctrlPr>
                      </m:sSupPr>
                      <m:e>
                        <m:d>
                          <m:dPr>
                            <m:ctrlPr>
                              <a:rPr lang="en-US" sz="1100" b="0" i="1">
                                <a:latin typeface="Cambria Math" panose="02040503050406030204" pitchFamily="18" charset="0"/>
                              </a:rPr>
                            </m:ctrlPr>
                          </m:dPr>
                          <m:e>
                            <m:r>
                              <a:rPr lang="en-US" sz="1100" b="0" i="1">
                                <a:latin typeface="Cambria Math" panose="02040503050406030204" pitchFamily="18" charset="0"/>
                              </a:rPr>
                              <m:t>0.01</m:t>
                            </m:r>
                          </m:e>
                        </m:d>
                      </m:e>
                      <m:sup>
                        <m:r>
                          <a:rPr lang="en-US" sz="1100" b="0" i="1">
                            <a:latin typeface="Cambria Math" panose="02040503050406030204" pitchFamily="18" charset="0"/>
                          </a:rPr>
                          <m:t>0</m:t>
                        </m:r>
                      </m:sup>
                    </m:sSup>
                    <m:r>
                      <a:rPr lang="en-US" sz="1100" b="0" i="1">
                        <a:latin typeface="Cambria Math" panose="02040503050406030204" pitchFamily="18" charset="0"/>
                      </a:rPr>
                      <m:t>=0.9044</m:t>
                    </m:r>
                  </m:oMath>
                </m:oMathPara>
              </a14:m>
              <a:endParaRPr lang="en-GB" sz="1100"/>
            </a:p>
          </xdr:txBody>
        </xdr:sp>
      </mc:Choice>
      <mc:Fallback xmlns="">
        <xdr:sp macro="" textlink="">
          <xdr:nvSpPr>
            <xdr:cNvPr id="2" name="TextBox 1">
              <a:extLst>
                <a:ext uri="{FF2B5EF4-FFF2-40B4-BE49-F238E27FC236}">
                  <a16:creationId xmlns:a16="http://schemas.microsoft.com/office/drawing/2014/main" id="{EBB7050E-1C95-4EB2-BF6B-40163370902D}"/>
                </a:ext>
              </a:extLst>
            </xdr:cNvPr>
            <xdr:cNvSpPr txBox="1"/>
          </xdr:nvSpPr>
          <xdr:spPr>
            <a:xfrm>
              <a:off x="6181725" y="1909762"/>
              <a:ext cx="3065198"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Pr⁡(𝑁=0)= (9¦0) (1 −0.01)^10⋅(0.01)^0=0.9044</a:t>
              </a:r>
              <a:endParaRPr lang="en-GB" sz="1100"/>
            </a:p>
          </xdr:txBody>
        </xdr:sp>
      </mc:Fallback>
    </mc:AlternateContent>
    <xdr:clientData/>
  </xdr:oneCellAnchor>
  <xdr:oneCellAnchor>
    <xdr:from>
      <xdr:col>9</xdr:col>
      <xdr:colOff>66675</xdr:colOff>
      <xdr:row>6</xdr:row>
      <xdr:rowOff>28575</xdr:rowOff>
    </xdr:from>
    <xdr:ext cx="2463623" cy="484043"/>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00000000-0008-0000-0600-000005000000}"/>
                </a:ext>
              </a:extLst>
            </xdr:cNvPr>
            <xdr:cNvSpPr txBox="1"/>
          </xdr:nvSpPr>
          <xdr:spPr>
            <a:xfrm>
              <a:off x="6219825" y="1181100"/>
              <a:ext cx="2463623" cy="4840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400" b="0" i="1">
                        <a:latin typeface="Cambria Math" panose="02040503050406030204" pitchFamily="18" charset="0"/>
                      </a:rPr>
                      <m:t>𝑓</m:t>
                    </m:r>
                    <m:d>
                      <m:dPr>
                        <m:ctrlPr>
                          <a:rPr lang="en-US" sz="1400" b="0" i="1">
                            <a:latin typeface="Cambria Math" panose="02040503050406030204" pitchFamily="18" charset="0"/>
                          </a:rPr>
                        </m:ctrlPr>
                      </m:dPr>
                      <m:e>
                        <m:r>
                          <a:rPr lang="en-US" sz="1400" b="0" i="1">
                            <a:latin typeface="Cambria Math" panose="02040503050406030204" pitchFamily="18" charset="0"/>
                          </a:rPr>
                          <m:t>𝑥</m:t>
                        </m:r>
                      </m:e>
                    </m:d>
                    <m:r>
                      <a:rPr lang="en-US" sz="1400" b="0" i="1">
                        <a:latin typeface="Cambria Math" panose="02040503050406030204" pitchFamily="18" charset="0"/>
                      </a:rPr>
                      <m:t>=</m:t>
                    </m:r>
                    <m:d>
                      <m:dPr>
                        <m:ctrlPr>
                          <a:rPr lang="en-US" sz="1400" b="0" i="1">
                            <a:latin typeface="Cambria Math" panose="02040503050406030204" pitchFamily="18" charset="0"/>
                          </a:rPr>
                        </m:ctrlPr>
                      </m:dPr>
                      <m:e>
                        <m:f>
                          <m:fPr>
                            <m:type m:val="noBar"/>
                            <m:ctrlPr>
                              <a:rPr lang="en-US" sz="1400" b="0" i="1">
                                <a:latin typeface="Cambria Math" panose="02040503050406030204" pitchFamily="18" charset="0"/>
                              </a:rPr>
                            </m:ctrlPr>
                          </m:fPr>
                          <m:num>
                            <m:r>
                              <a:rPr lang="en-US" sz="1400" b="0" i="1">
                                <a:latin typeface="Cambria Math" panose="02040503050406030204" pitchFamily="18" charset="0"/>
                              </a:rPr>
                              <m:t>𝑥</m:t>
                            </m:r>
                            <m:r>
                              <a:rPr lang="en-US" sz="1400" b="0" i="1">
                                <a:latin typeface="Cambria Math" panose="02040503050406030204" pitchFamily="18" charset="0"/>
                              </a:rPr>
                              <m:t>+</m:t>
                            </m:r>
                            <m:r>
                              <a:rPr lang="en-US" sz="1400" b="0" i="1">
                                <a:latin typeface="Cambria Math" panose="02040503050406030204" pitchFamily="18" charset="0"/>
                              </a:rPr>
                              <m:t>𝑟</m:t>
                            </m:r>
                            <m:r>
                              <a:rPr lang="en-US" sz="1400" b="0" i="1">
                                <a:latin typeface="Cambria Math" panose="02040503050406030204" pitchFamily="18" charset="0"/>
                              </a:rPr>
                              <m:t>−1</m:t>
                            </m:r>
                          </m:num>
                          <m:den>
                            <m:r>
                              <a:rPr lang="en-US" sz="1400" b="0" i="1">
                                <a:latin typeface="Cambria Math" panose="02040503050406030204" pitchFamily="18" charset="0"/>
                              </a:rPr>
                              <m:t>𝑥</m:t>
                            </m:r>
                          </m:den>
                        </m:f>
                      </m:e>
                    </m:d>
                    <m:sSup>
                      <m:sSupPr>
                        <m:ctrlPr>
                          <a:rPr lang="en-US" sz="1400" b="0" i="1">
                            <a:latin typeface="Cambria Math" panose="02040503050406030204" pitchFamily="18" charset="0"/>
                          </a:rPr>
                        </m:ctrlPr>
                      </m:sSupPr>
                      <m:e>
                        <m:r>
                          <a:rPr lang="en-US" sz="1400" b="0" i="1">
                            <a:latin typeface="Cambria Math" panose="02040503050406030204" pitchFamily="18" charset="0"/>
                          </a:rPr>
                          <m:t>(1−</m:t>
                        </m:r>
                        <m:r>
                          <a:rPr lang="en-US" sz="1400" b="0" i="1">
                            <a:latin typeface="Cambria Math" panose="02040503050406030204" pitchFamily="18" charset="0"/>
                          </a:rPr>
                          <m:t>𝑝</m:t>
                        </m:r>
                        <m:r>
                          <a:rPr lang="en-US" sz="1400" b="0" i="1">
                            <a:latin typeface="Cambria Math" panose="02040503050406030204" pitchFamily="18" charset="0"/>
                          </a:rPr>
                          <m:t>)</m:t>
                        </m:r>
                      </m:e>
                      <m:sup>
                        <m:r>
                          <a:rPr lang="en-US" sz="1400" b="0" i="1">
                            <a:latin typeface="Cambria Math" panose="02040503050406030204" pitchFamily="18" charset="0"/>
                          </a:rPr>
                          <m:t>𝑟</m:t>
                        </m:r>
                      </m:sup>
                    </m:sSup>
                    <m:sSup>
                      <m:sSupPr>
                        <m:ctrlPr>
                          <a:rPr lang="en-US" sz="1400" b="0" i="1">
                            <a:latin typeface="Cambria Math" panose="02040503050406030204" pitchFamily="18" charset="0"/>
                          </a:rPr>
                        </m:ctrlPr>
                      </m:sSupPr>
                      <m:e>
                        <m:r>
                          <a:rPr lang="en-US" sz="1400" b="0" i="1">
                            <a:latin typeface="Cambria Math" panose="02040503050406030204" pitchFamily="18" charset="0"/>
                          </a:rPr>
                          <m:t>𝑝</m:t>
                        </m:r>
                      </m:e>
                      <m:sup>
                        <m:r>
                          <a:rPr lang="en-US" sz="1400" b="0" i="1">
                            <a:latin typeface="Cambria Math" panose="02040503050406030204" pitchFamily="18" charset="0"/>
                          </a:rPr>
                          <m:t>𝑥</m:t>
                        </m:r>
                      </m:sup>
                    </m:sSup>
                    <m:r>
                      <a:rPr lang="en-US" sz="1400" b="0" i="1">
                        <a:latin typeface="Cambria Math" panose="02040503050406030204" pitchFamily="18" charset="0"/>
                      </a:rPr>
                      <m:t> </m:t>
                    </m:r>
                  </m:oMath>
                </m:oMathPara>
              </a14:m>
              <a:endParaRPr lang="en-GB" sz="1400"/>
            </a:p>
          </xdr:txBody>
        </xdr:sp>
      </mc:Choice>
      <mc:Fallback xmlns="">
        <xdr:sp macro="" textlink="">
          <xdr:nvSpPr>
            <xdr:cNvPr id="5" name="TextBox 4">
              <a:extLst>
                <a:ext uri="{FF2B5EF4-FFF2-40B4-BE49-F238E27FC236}">
                  <a16:creationId xmlns:a16="http://schemas.microsoft.com/office/drawing/2014/main" id="{BEC8B16C-D6B9-46B5-B3B0-C7E9C14DF8ED}"/>
                </a:ext>
              </a:extLst>
            </xdr:cNvPr>
            <xdr:cNvSpPr txBox="1"/>
          </xdr:nvSpPr>
          <xdr:spPr>
            <a:xfrm>
              <a:off x="6219825" y="1181100"/>
              <a:ext cx="2463623" cy="4840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400" b="0" i="0">
                  <a:latin typeface="Cambria Math" panose="02040503050406030204" pitchFamily="18" charset="0"/>
                </a:rPr>
                <a:t>𝑓(𝑥)=((𝑥+𝑟−1)¦𝑥) 〖(1−𝑝)〗^𝑟 𝑝^𝑥  </a:t>
              </a:r>
              <a:endParaRPr lang="en-GB" sz="1400"/>
            </a:p>
          </xdr:txBody>
        </xdr:sp>
      </mc:Fallback>
    </mc:AlternateContent>
    <xdr:clientData/>
  </xdr:oneCellAnchor>
  <xdr:oneCellAnchor>
    <xdr:from>
      <xdr:col>9</xdr:col>
      <xdr:colOff>371475</xdr:colOff>
      <xdr:row>12</xdr:row>
      <xdr:rowOff>176212</xdr:rowOff>
    </xdr:from>
    <xdr:ext cx="1628523" cy="285591"/>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6524625" y="2471737"/>
              <a:ext cx="1628523" cy="2855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14:m>
                <m:oMath xmlns:m="http://schemas.openxmlformats.org/officeDocument/2006/math">
                  <m:r>
                    <a:rPr lang="en-US" sz="1200" b="0" i="1">
                      <a:latin typeface="Cambria Math" panose="02040503050406030204" pitchFamily="18" charset="0"/>
                    </a:rPr>
                    <m:t>𝑅</m:t>
                  </m:r>
                  <m:r>
                    <a:rPr lang="en-US" sz="1200" b="0" i="1">
                      <a:latin typeface="Cambria Math" panose="02040503050406030204" pitchFamily="18" charset="0"/>
                    </a:rPr>
                    <m:t>= </m:t>
                  </m:r>
                  <m:f>
                    <m:fPr>
                      <m:ctrlPr>
                        <a:rPr lang="en-US" sz="1200" b="0" i="1">
                          <a:latin typeface="Cambria Math" panose="02040503050406030204" pitchFamily="18" charset="0"/>
                        </a:rPr>
                      </m:ctrlPr>
                    </m:fPr>
                    <m:num>
                      <m:r>
                        <a:rPr lang="en-US" sz="1200" b="0" i="1">
                          <a:latin typeface="Cambria Math" panose="02040503050406030204" pitchFamily="18" charset="0"/>
                        </a:rPr>
                        <m:t>1</m:t>
                      </m:r>
                    </m:num>
                    <m:den>
                      <m:r>
                        <a:rPr lang="en-US" sz="1200" b="0" i="1">
                          <a:latin typeface="Cambria Math" panose="02040503050406030204" pitchFamily="18" charset="0"/>
                        </a:rPr>
                        <m:t>1−</m:t>
                      </m:r>
                      <m:r>
                        <m:rPr>
                          <m:sty m:val="p"/>
                        </m:rPr>
                        <a:rPr lang="en-US" sz="1200" b="0" i="0">
                          <a:latin typeface="Cambria Math" panose="02040503050406030204" pitchFamily="18" charset="0"/>
                        </a:rPr>
                        <m:t>Pr</m:t>
                      </m:r>
                      <m:r>
                        <a:rPr lang="en-US" sz="1200" b="0" i="1">
                          <a:latin typeface="Cambria Math" panose="02040503050406030204" pitchFamily="18" charset="0"/>
                        </a:rPr>
                        <m:t>⁡(</m:t>
                      </m:r>
                      <m:r>
                        <a:rPr lang="en-US" sz="1200" b="0" i="1">
                          <a:latin typeface="Cambria Math" panose="02040503050406030204" pitchFamily="18" charset="0"/>
                        </a:rPr>
                        <m:t>𝑁</m:t>
                      </m:r>
                      <m:r>
                        <a:rPr lang="en-US" sz="1200" b="0" i="1">
                          <a:latin typeface="Cambria Math" panose="02040503050406030204" pitchFamily="18" charset="0"/>
                        </a:rPr>
                        <m:t>=0)</m:t>
                      </m:r>
                    </m:den>
                  </m:f>
                  <m:r>
                    <a:rPr lang="en-US" sz="1200" b="0" i="1">
                      <a:latin typeface="Cambria Math" panose="02040503050406030204" pitchFamily="18" charset="0"/>
                    </a:rPr>
                    <m:t>=10.458</m:t>
                  </m:r>
                </m:oMath>
              </a14:m>
              <a:r>
                <a:rPr lang="en-GB" sz="1200"/>
                <a:t> </a:t>
              </a:r>
            </a:p>
          </xdr:txBody>
        </xdr:sp>
      </mc:Choice>
      <mc:Fallback xmlns="">
        <xdr:sp macro="" textlink="">
          <xdr:nvSpPr>
            <xdr:cNvPr id="4" name="TextBox 3">
              <a:extLst>
                <a:ext uri="{FF2B5EF4-FFF2-40B4-BE49-F238E27FC236}">
                  <a16:creationId xmlns:a16="http://schemas.microsoft.com/office/drawing/2014/main" id="{5DF4E259-5D83-457A-B09D-51B24938BA1D}"/>
                </a:ext>
              </a:extLst>
            </xdr:cNvPr>
            <xdr:cNvSpPr txBox="1"/>
          </xdr:nvSpPr>
          <xdr:spPr>
            <a:xfrm>
              <a:off x="6524625" y="2471737"/>
              <a:ext cx="1628523" cy="2855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200" b="0" i="0">
                  <a:latin typeface="Cambria Math" panose="02040503050406030204" pitchFamily="18" charset="0"/>
                </a:rPr>
                <a:t>𝑅=  1/(1−Pr⁡(𝑁=0))=10.458</a:t>
              </a:r>
              <a:r>
                <a:rPr lang="en-GB" sz="1200"/>
                <a:t> </a:t>
              </a:r>
            </a:p>
          </xdr:txBody>
        </xdr:sp>
      </mc:Fallback>
    </mc:AlternateContent>
    <xdr:clientData/>
  </xdr:oneCellAnchor>
  <xdr:oneCellAnchor>
    <xdr:from>
      <xdr:col>9</xdr:col>
      <xdr:colOff>333375</xdr:colOff>
      <xdr:row>15</xdr:row>
      <xdr:rowOff>23812</xdr:rowOff>
    </xdr:from>
    <xdr:ext cx="1579663" cy="172227"/>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00000000-0008-0000-0600-000006000000}"/>
                </a:ext>
              </a:extLst>
            </xdr:cNvPr>
            <xdr:cNvSpPr txBox="1"/>
          </xdr:nvSpPr>
          <xdr:spPr>
            <a:xfrm>
              <a:off x="6486525" y="2909887"/>
              <a:ext cx="1579663"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m:rPr>
                        <m:nor/>
                      </m:rPr>
                      <a:rPr lang="en-US" sz="1100" b="0" i="0">
                        <a:latin typeface="Cambria Math" panose="02040503050406030204" pitchFamily="18" charset="0"/>
                      </a:rPr>
                      <m:t>Mod</m:t>
                    </m:r>
                    <m:r>
                      <a:rPr lang="en-US" sz="1100" b="0" i="1">
                        <a:latin typeface="Cambria Math" panose="02040503050406030204" pitchFamily="18" charset="0"/>
                      </a:rPr>
                      <m:t>=</m:t>
                    </m:r>
                    <m:r>
                      <a:rPr lang="en-US" sz="1100" b="0" i="1">
                        <a:latin typeface="Cambria Math" panose="02040503050406030204" pitchFamily="18" charset="0"/>
                      </a:rPr>
                      <m:t>𝑍</m:t>
                    </m:r>
                    <m:r>
                      <a:rPr lang="en-US" sz="1100" b="0" i="1">
                        <a:latin typeface="Cambria Math" panose="02040503050406030204" pitchFamily="18" charset="0"/>
                      </a:rPr>
                      <m:t>⋅</m:t>
                    </m:r>
                    <m:r>
                      <a:rPr lang="en-US" sz="1100" b="0" i="1">
                        <a:latin typeface="Cambria Math" panose="02040503050406030204" pitchFamily="18" charset="0"/>
                      </a:rPr>
                      <m:t>𝑅</m:t>
                    </m:r>
                    <m:r>
                      <a:rPr lang="en-US" sz="1100" b="0" i="1">
                        <a:latin typeface="Cambria Math" panose="02040503050406030204" pitchFamily="18" charset="0"/>
                      </a:rPr>
                      <m:t>+</m:t>
                    </m:r>
                    <m:d>
                      <m:dPr>
                        <m:ctrlPr>
                          <a:rPr lang="en-US" sz="1100" b="0" i="1">
                            <a:latin typeface="Cambria Math" panose="02040503050406030204" pitchFamily="18" charset="0"/>
                          </a:rPr>
                        </m:ctrlPr>
                      </m:dPr>
                      <m:e>
                        <m:r>
                          <a:rPr lang="en-US" sz="1100" b="0" i="1">
                            <a:latin typeface="Cambria Math" panose="02040503050406030204" pitchFamily="18" charset="0"/>
                          </a:rPr>
                          <m:t>1−</m:t>
                        </m:r>
                        <m:r>
                          <a:rPr lang="en-US" sz="1100" b="0" i="1">
                            <a:latin typeface="Cambria Math" panose="02040503050406030204" pitchFamily="18" charset="0"/>
                          </a:rPr>
                          <m:t>𝑍</m:t>
                        </m:r>
                      </m:e>
                    </m:d>
                    <m:r>
                      <a:rPr lang="en-US" sz="1100" b="0" i="1">
                        <a:latin typeface="Cambria Math" panose="02040503050406030204" pitchFamily="18" charset="0"/>
                      </a:rPr>
                      <m:t>⋅1</m:t>
                    </m:r>
                  </m:oMath>
                </m:oMathPara>
              </a14:m>
              <a:endParaRPr lang="en-GB" sz="1100"/>
            </a:p>
          </xdr:txBody>
        </xdr:sp>
      </mc:Choice>
      <mc:Fallback xmlns="">
        <xdr:sp macro="" textlink="">
          <xdr:nvSpPr>
            <xdr:cNvPr id="6" name="TextBox 5">
              <a:extLst>
                <a:ext uri="{FF2B5EF4-FFF2-40B4-BE49-F238E27FC236}">
                  <a16:creationId xmlns:a16="http://schemas.microsoft.com/office/drawing/2014/main" id="{438105FB-F12C-4D06-84E4-AEB6A17C9FB2}"/>
                </a:ext>
              </a:extLst>
            </xdr:cNvPr>
            <xdr:cNvSpPr txBox="1"/>
          </xdr:nvSpPr>
          <xdr:spPr>
            <a:xfrm>
              <a:off x="6486525" y="2909887"/>
              <a:ext cx="1579663"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"Mod"=𝑍⋅𝑅+(1−𝑍)⋅1</a:t>
              </a:r>
              <a:endParaRPr lang="en-GB" sz="1100"/>
            </a:p>
          </xdr:txBody>
        </xdr:sp>
      </mc:Fallback>
    </mc:AlternateContent>
    <xdr:clientData/>
  </xdr:oneCellAnchor>
</xdr:wsDr>
</file>

<file path=xl/drawings/drawing8.xml><?xml version="1.0" encoding="utf-8"?>
<xdr:wsDr xmlns:xdr="http://schemas.openxmlformats.org/drawingml/2006/spreadsheetDrawing" xmlns:a="http://schemas.openxmlformats.org/drawingml/2006/main">
  <xdr:oneCellAnchor>
    <xdr:from>
      <xdr:col>8</xdr:col>
      <xdr:colOff>85725</xdr:colOff>
      <xdr:row>1</xdr:row>
      <xdr:rowOff>23812</xdr:rowOff>
    </xdr:from>
    <xdr:ext cx="1227003" cy="357085"/>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6086475" y="223837"/>
              <a:ext cx="1227003" cy="357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𝑉𝑎𝑟</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𝜇</m:t>
                            </m:r>
                          </m:e>
                          <m:sub>
                            <m:r>
                              <a:rPr lang="en-US" sz="1100" b="0" i="1">
                                <a:latin typeface="Cambria Math" panose="02040503050406030204" pitchFamily="18" charset="0"/>
                              </a:rPr>
                              <m:t>𝑖</m:t>
                            </m:r>
                          </m:sub>
                        </m:sSub>
                      </m:e>
                    </m:d>
                    <m:r>
                      <a:rPr lang="en-US" sz="1100" b="0" i="1">
                        <a:latin typeface="Cambria Math" panose="02040503050406030204" pitchFamily="18" charset="0"/>
                      </a:rPr>
                      <m:t>=</m:t>
                    </m:r>
                    <m:r>
                      <a:rPr lang="en-US" sz="1100" b="0" i="1">
                        <a:latin typeface="Cambria Math" panose="02040503050406030204" pitchFamily="18" charset="0"/>
                      </a:rPr>
                      <m:t>𝜙</m:t>
                    </m:r>
                    <m:r>
                      <a:rPr lang="en-US" sz="1100" b="0" i="1">
                        <a:latin typeface="Cambria Math" panose="02040503050406030204" pitchFamily="18" charset="0"/>
                      </a:rPr>
                      <m:t>⋅</m:t>
                    </m:r>
                    <m:f>
                      <m:fPr>
                        <m:ctrlPr>
                          <a:rPr lang="en-US" sz="1100" b="0" i="1">
                            <a:latin typeface="Cambria Math" panose="02040503050406030204" pitchFamily="18" charset="0"/>
                          </a:rPr>
                        </m:ctrlPr>
                      </m:fPr>
                      <m:num>
                        <m:r>
                          <a:rPr lang="en-US" sz="1100" b="0" i="1">
                            <a:latin typeface="Cambria Math" panose="02040503050406030204" pitchFamily="18" charset="0"/>
                          </a:rPr>
                          <m:t>𝑉</m:t>
                        </m:r>
                        <m:d>
                          <m:dPr>
                            <m:ctrlPr>
                              <a:rPr lang="en-US" sz="1100" b="0" i="1">
                                <a:latin typeface="Cambria Math" panose="02040503050406030204" pitchFamily="18" charset="0"/>
                              </a:rPr>
                            </m:ctrlPr>
                          </m:dPr>
                          <m:e>
                            <m:sSub>
                              <m:sSubPr>
                                <m:ctrlPr>
                                  <a:rPr lang="en-US" sz="1100" b="0" i="1">
                                    <a:latin typeface="Cambria Math" panose="02040503050406030204" pitchFamily="18" charset="0"/>
                                  </a:rPr>
                                </m:ctrlPr>
                              </m:sSubPr>
                              <m:e>
                                <m:r>
                                  <a:rPr lang="en-US" sz="1100" b="0" i="1">
                                    <a:latin typeface="Cambria Math" panose="02040503050406030204" pitchFamily="18" charset="0"/>
                                  </a:rPr>
                                  <m:t>𝜇</m:t>
                                </m:r>
                              </m:e>
                              <m:sub>
                                <m:r>
                                  <a:rPr lang="en-US" sz="1100" b="0" i="1">
                                    <a:latin typeface="Cambria Math" panose="02040503050406030204" pitchFamily="18" charset="0"/>
                                  </a:rPr>
                                  <m:t>𝑖</m:t>
                                </m:r>
                              </m:sub>
                            </m:sSub>
                          </m:e>
                        </m:d>
                      </m:num>
                      <m:den>
                        <m:sSub>
                          <m:sSubPr>
                            <m:ctrlPr>
                              <a:rPr lang="en-US" sz="1100" b="0" i="1">
                                <a:latin typeface="Cambria Math" panose="02040503050406030204" pitchFamily="18" charset="0"/>
                              </a:rPr>
                            </m:ctrlPr>
                          </m:sSubPr>
                          <m:e>
                            <m:r>
                              <a:rPr lang="en-US" sz="1100" b="0" i="1">
                                <a:latin typeface="Cambria Math" panose="02040503050406030204" pitchFamily="18" charset="0"/>
                              </a:rPr>
                              <m:t>𝑤</m:t>
                            </m:r>
                          </m:e>
                          <m:sub>
                            <m:r>
                              <a:rPr lang="en-US" sz="1100" b="0" i="1">
                                <a:latin typeface="Cambria Math" panose="02040503050406030204" pitchFamily="18" charset="0"/>
                              </a:rPr>
                              <m:t>𝑖</m:t>
                            </m:r>
                          </m:sub>
                        </m:sSub>
                      </m:den>
                    </m:f>
                  </m:oMath>
                </m:oMathPara>
              </a14:m>
              <a:endParaRPr lang="en-GB" sz="1100"/>
            </a:p>
          </xdr:txBody>
        </xdr:sp>
      </mc:Choice>
      <mc:Fallback xmlns="">
        <xdr:sp macro="" textlink="">
          <xdr:nvSpPr>
            <xdr:cNvPr id="2" name="TextBox 1">
              <a:extLst>
                <a:ext uri="{FF2B5EF4-FFF2-40B4-BE49-F238E27FC236}">
                  <a16:creationId xmlns:a16="http://schemas.microsoft.com/office/drawing/2014/main" id="{14A56014-565F-899F-4AC9-996B0155FE03}"/>
                </a:ext>
              </a:extLst>
            </xdr:cNvPr>
            <xdr:cNvSpPr txBox="1"/>
          </xdr:nvSpPr>
          <xdr:spPr>
            <a:xfrm>
              <a:off x="6086475" y="223837"/>
              <a:ext cx="1227003" cy="357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𝑉𝑎𝑟(𝜇_𝑖 )=𝜙⋅𝑉(𝜇_𝑖 )/𝑤_𝑖 </a:t>
              </a:r>
              <a:endParaRPr lang="en-GB" sz="1100"/>
            </a:p>
          </xdr:txBody>
        </xdr:sp>
      </mc:Fallback>
    </mc:AlternateContent>
    <xdr:clientData/>
  </xdr:oneCellAnchor>
</xdr:wsDr>
</file>

<file path=xl/drawings/drawing9.xml><?xml version="1.0" encoding="utf-8"?>
<xdr:wsDr xmlns:xdr="http://schemas.openxmlformats.org/drawingml/2006/spreadsheetDrawing" xmlns:a="http://schemas.openxmlformats.org/drawingml/2006/main">
  <xdr:oneCellAnchor>
    <xdr:from>
      <xdr:col>11</xdr:col>
      <xdr:colOff>495300</xdr:colOff>
      <xdr:row>0</xdr:row>
      <xdr:rowOff>109537</xdr:rowOff>
    </xdr:from>
    <xdr:ext cx="661591" cy="380361"/>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8620125" y="109537"/>
              <a:ext cx="661591"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m:rPr>
                        <m:sty m:val="p"/>
                      </m:rPr>
                      <a:rPr lang="en-US" sz="1100" b="0" i="1">
                        <a:latin typeface="Cambria Math" panose="02040503050406030204" pitchFamily="18" charset="0"/>
                      </a:rPr>
                      <m:t>ln</m:t>
                    </m:r>
                    <m:d>
                      <m:dPr>
                        <m:ctrlPr>
                          <a:rPr lang="en-US" sz="1100" b="0" i="1">
                            <a:latin typeface="Cambria Math" panose="02040503050406030204" pitchFamily="18" charset="0"/>
                          </a:rPr>
                        </m:ctrlPr>
                      </m:dPr>
                      <m:e>
                        <m:f>
                          <m:fPr>
                            <m:ctrlPr>
                              <a:rPr lang="en-US" sz="1100" b="0" i="1">
                                <a:latin typeface="Cambria Math" panose="02040503050406030204" pitchFamily="18" charset="0"/>
                              </a:rPr>
                            </m:ctrlPr>
                          </m:fPr>
                          <m:num>
                            <m:r>
                              <a:rPr lang="en-US" sz="1100" b="0" i="1">
                                <a:latin typeface="Cambria Math" panose="02040503050406030204" pitchFamily="18" charset="0"/>
                              </a:rPr>
                              <m:t>𝜇</m:t>
                            </m:r>
                          </m:num>
                          <m:den>
                            <m:r>
                              <a:rPr lang="en-US" sz="1100" b="0" i="1">
                                <a:latin typeface="Cambria Math" panose="02040503050406030204" pitchFamily="18" charset="0"/>
                              </a:rPr>
                              <m:t>1−</m:t>
                            </m:r>
                            <m:r>
                              <a:rPr lang="en-US" sz="1100" b="0" i="1">
                                <a:latin typeface="Cambria Math" panose="02040503050406030204" pitchFamily="18" charset="0"/>
                              </a:rPr>
                              <m:t>𝜇</m:t>
                            </m:r>
                          </m:den>
                        </m:f>
                      </m:e>
                    </m:d>
                  </m:oMath>
                </m:oMathPara>
              </a14:m>
              <a:endParaRPr lang="en-GB" sz="1100"/>
            </a:p>
          </xdr:txBody>
        </xdr:sp>
      </mc:Choice>
      <mc:Fallback xmlns="">
        <xdr:sp macro="" textlink="">
          <xdr:nvSpPr>
            <xdr:cNvPr id="2" name="TextBox 1">
              <a:extLst>
                <a:ext uri="{FF2B5EF4-FFF2-40B4-BE49-F238E27FC236}">
                  <a16:creationId xmlns:a16="http://schemas.microsoft.com/office/drawing/2014/main" id="{9E8ED39C-C5CC-4A22-87D6-2337F292FB6D}"/>
                </a:ext>
              </a:extLst>
            </xdr:cNvPr>
            <xdr:cNvSpPr txBox="1"/>
          </xdr:nvSpPr>
          <xdr:spPr>
            <a:xfrm>
              <a:off x="8620125" y="109537"/>
              <a:ext cx="661591"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ln(𝜇/(1−𝜇))</a:t>
              </a:r>
              <a:endParaRPr lang="en-GB" sz="1100"/>
            </a:p>
          </xdr:txBody>
        </xdr:sp>
      </mc:Fallback>
    </mc:AlternateContent>
    <xdr:clientData/>
  </xdr:oneCellAnchor>
  <xdr:oneCellAnchor>
    <xdr:from>
      <xdr:col>13</xdr:col>
      <xdr:colOff>457200</xdr:colOff>
      <xdr:row>1</xdr:row>
      <xdr:rowOff>33337</xdr:rowOff>
    </xdr:from>
    <xdr:ext cx="637226"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800-000003000000}"/>
                </a:ext>
              </a:extLst>
            </xdr:cNvPr>
            <xdr:cNvSpPr txBox="1"/>
          </xdr:nvSpPr>
          <xdr:spPr>
            <a:xfrm>
              <a:off x="9801225" y="233362"/>
              <a:ext cx="63722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0≤</m:t>
                    </m:r>
                    <m:r>
                      <a:rPr lang="en-US" sz="1100" b="0" i="1">
                        <a:latin typeface="Cambria Math" panose="02040503050406030204" pitchFamily="18" charset="0"/>
                      </a:rPr>
                      <m:t>𝜇</m:t>
                    </m:r>
                    <m:r>
                      <a:rPr lang="en-US" sz="1100" b="0" i="1">
                        <a:latin typeface="Cambria Math" panose="02040503050406030204" pitchFamily="18" charset="0"/>
                      </a:rPr>
                      <m:t>≤1</m:t>
                    </m:r>
                  </m:oMath>
                </m:oMathPara>
              </a14:m>
              <a:endParaRPr lang="en-GB" sz="1100"/>
            </a:p>
          </xdr:txBody>
        </xdr:sp>
      </mc:Choice>
      <mc:Fallback xmlns="">
        <xdr:sp macro="" textlink="">
          <xdr:nvSpPr>
            <xdr:cNvPr id="3" name="TextBox 2">
              <a:extLst>
                <a:ext uri="{FF2B5EF4-FFF2-40B4-BE49-F238E27FC236}">
                  <a16:creationId xmlns:a16="http://schemas.microsoft.com/office/drawing/2014/main" id="{93E86298-1633-491F-B342-620AE3707B2D}"/>
                </a:ext>
              </a:extLst>
            </xdr:cNvPr>
            <xdr:cNvSpPr txBox="1"/>
          </xdr:nvSpPr>
          <xdr:spPr>
            <a:xfrm>
              <a:off x="9801225" y="233362"/>
              <a:ext cx="63722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0≤𝜇≤1</a:t>
              </a:r>
              <a:endParaRPr lang="en-GB" sz="1100"/>
            </a:p>
          </xdr:txBody>
        </xdr:sp>
      </mc:Fallback>
    </mc:AlternateContent>
    <xdr:clientData/>
  </xdr:oneCellAnchor>
  <xdr:oneCellAnchor>
    <xdr:from>
      <xdr:col>8</xdr:col>
      <xdr:colOff>47625</xdr:colOff>
      <xdr:row>4</xdr:row>
      <xdr:rowOff>33337</xdr:rowOff>
    </xdr:from>
    <xdr:ext cx="992901" cy="320793"/>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00000000-0008-0000-0800-000004000000}"/>
                </a:ext>
              </a:extLst>
            </xdr:cNvPr>
            <xdr:cNvSpPr txBox="1"/>
          </xdr:nvSpPr>
          <xdr:spPr>
            <a:xfrm>
              <a:off x="6343650" y="804862"/>
              <a:ext cx="992901" cy="320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𝑓</m:t>
                    </m:r>
                    <m:d>
                      <m:dPr>
                        <m:ctrlPr>
                          <a:rPr lang="en-US" sz="1100" b="0" i="1">
                            <a:latin typeface="Cambria Math" panose="02040503050406030204" pitchFamily="18" charset="0"/>
                          </a:rPr>
                        </m:ctrlPr>
                      </m:dPr>
                      <m:e>
                        <m:r>
                          <a:rPr lang="en-US" sz="1100" b="0" i="1">
                            <a:latin typeface="Cambria Math" panose="02040503050406030204" pitchFamily="18" charset="0"/>
                          </a:rPr>
                          <m:t>𝑥</m:t>
                        </m:r>
                      </m:e>
                    </m:d>
                    <m:r>
                      <a:rPr lang="en-US" sz="1100" b="0" i="1">
                        <a:latin typeface="Cambria Math" panose="02040503050406030204" pitchFamily="18" charset="0"/>
                      </a:rPr>
                      <m:t>= </m:t>
                    </m:r>
                    <m:f>
                      <m:fPr>
                        <m:ctrlPr>
                          <a:rPr lang="en-US" sz="1100" b="0" i="1">
                            <a:latin typeface="Cambria Math" panose="02040503050406030204" pitchFamily="18" charset="0"/>
                          </a:rPr>
                        </m:ctrlPr>
                      </m:fPr>
                      <m:num>
                        <m:r>
                          <a:rPr lang="en-US" sz="1100" b="0" i="1">
                            <a:latin typeface="Cambria Math" panose="02040503050406030204" pitchFamily="18" charset="0"/>
                          </a:rPr>
                          <m:t>1</m:t>
                        </m:r>
                      </m:num>
                      <m:den>
                        <m:r>
                          <a:rPr lang="en-US" sz="1100" b="0" i="1">
                            <a:latin typeface="Cambria Math" panose="02040503050406030204" pitchFamily="18" charset="0"/>
                          </a:rPr>
                          <m:t>1+</m:t>
                        </m:r>
                        <m:sSup>
                          <m:sSupPr>
                            <m:ctrlPr>
                              <a:rPr lang="en-US" sz="1100" b="0" i="1">
                                <a:latin typeface="Cambria Math" panose="02040503050406030204" pitchFamily="18" charset="0"/>
                              </a:rPr>
                            </m:ctrlPr>
                          </m:sSupPr>
                          <m:e>
                            <m:r>
                              <a:rPr lang="en-US" sz="1100" b="0" i="1">
                                <a:latin typeface="Cambria Math" panose="02040503050406030204" pitchFamily="18" charset="0"/>
                              </a:rPr>
                              <m:t>𝑒</m:t>
                            </m:r>
                          </m:e>
                          <m:sup>
                            <m:r>
                              <a:rPr lang="en-US" sz="1100" b="0" i="1">
                                <a:latin typeface="Cambria Math" panose="02040503050406030204" pitchFamily="18" charset="0"/>
                              </a:rPr>
                              <m:t>−</m:t>
                            </m:r>
                            <m:r>
                              <a:rPr lang="en-US" sz="1100" b="0" i="1">
                                <a:latin typeface="Cambria Math" panose="02040503050406030204" pitchFamily="18" charset="0"/>
                              </a:rPr>
                              <m:t>𝑥</m:t>
                            </m:r>
                          </m:sup>
                        </m:sSup>
                      </m:den>
                    </m:f>
                  </m:oMath>
                </m:oMathPara>
              </a14:m>
              <a:endParaRPr lang="en-GB" sz="1100"/>
            </a:p>
          </xdr:txBody>
        </xdr:sp>
      </mc:Choice>
      <mc:Fallback xmlns="">
        <xdr:sp macro="" textlink="">
          <xdr:nvSpPr>
            <xdr:cNvPr id="4" name="TextBox 3">
              <a:extLst>
                <a:ext uri="{FF2B5EF4-FFF2-40B4-BE49-F238E27FC236}">
                  <a16:creationId xmlns:a16="http://schemas.microsoft.com/office/drawing/2014/main" id="{869351B3-0FDA-4153-9845-E73917BF49D3}"/>
                </a:ext>
              </a:extLst>
            </xdr:cNvPr>
            <xdr:cNvSpPr txBox="1"/>
          </xdr:nvSpPr>
          <xdr:spPr>
            <a:xfrm>
              <a:off x="6343650" y="804862"/>
              <a:ext cx="992901" cy="320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𝑓(𝑥)=  1/(1+𝑒^(−𝑥) )</a:t>
              </a:r>
              <a:endParaRPr lang="en-GB" sz="1100"/>
            </a:p>
          </xdr:txBody>
        </xdr:sp>
      </mc:Fallback>
    </mc:AlternateContent>
    <xdr:clientData/>
  </xdr:oneCellAnchor>
  <xdr:twoCellAnchor>
    <xdr:from>
      <xdr:col>8</xdr:col>
      <xdr:colOff>28575</xdr:colOff>
      <xdr:row>17</xdr:row>
      <xdr:rowOff>23812</xdr:rowOff>
    </xdr:from>
    <xdr:to>
      <xdr:col>15</xdr:col>
      <xdr:colOff>276225</xdr:colOff>
      <xdr:row>31</xdr:row>
      <xdr:rowOff>61912</xdr:rowOff>
    </xdr:to>
    <xdr:graphicFrame macro="">
      <xdr:nvGraphicFramePr>
        <xdr:cNvPr id="5" name="Chart 4">
          <a:extLst>
            <a:ext uri="{FF2B5EF4-FFF2-40B4-BE49-F238E27FC236}">
              <a16:creationId xmlns:a16="http://schemas.microsoft.com/office/drawing/2014/main" id="{00000000-0008-0000-08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161925</xdr:colOff>
      <xdr:row>27</xdr:row>
      <xdr:rowOff>114300</xdr:rowOff>
    </xdr:from>
    <xdr:to>
      <xdr:col>10</xdr:col>
      <xdr:colOff>57150</xdr:colOff>
      <xdr:row>28</xdr:row>
      <xdr:rowOff>142875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6457950" y="5334000"/>
          <a:ext cx="11715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a:t>100% Threshold</a:t>
          </a:r>
        </a:p>
      </xdr:txBody>
    </xdr:sp>
    <xdr:clientData/>
  </xdr:twoCellAnchor>
  <xdr:twoCellAnchor>
    <xdr:from>
      <xdr:col>14</xdr:col>
      <xdr:colOff>142875</xdr:colOff>
      <xdr:row>17</xdr:row>
      <xdr:rowOff>104775</xdr:rowOff>
    </xdr:from>
    <xdr:to>
      <xdr:col>15</xdr:col>
      <xdr:colOff>704850</xdr:colOff>
      <xdr:row>18</xdr:row>
      <xdr:rowOff>142875</xdr:rowOff>
    </xdr:to>
    <xdr:sp macro="" textlink="">
      <xdr:nvSpPr>
        <xdr:cNvPr id="8" name="TextBox 7">
          <a:extLst>
            <a:ext uri="{FF2B5EF4-FFF2-40B4-BE49-F238E27FC236}">
              <a16:creationId xmlns:a16="http://schemas.microsoft.com/office/drawing/2014/main" id="{00000000-0008-0000-0800-000008000000}"/>
            </a:ext>
          </a:extLst>
        </xdr:cNvPr>
        <xdr:cNvSpPr txBox="1"/>
      </xdr:nvSpPr>
      <xdr:spPr>
        <a:xfrm>
          <a:off x="10153650" y="3390900"/>
          <a:ext cx="11715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a:t>0% Threshold</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BD9DB-C068-4322-AF54-257C50C10B4B}">
  <sheetPr codeName="Sheet1"/>
  <dimension ref="A6:M32"/>
  <sheetViews>
    <sheetView tabSelected="1" workbookViewId="0"/>
  </sheetViews>
  <sheetFormatPr defaultRowHeight="15" x14ac:dyDescent="0.25"/>
  <cols>
    <col min="12" max="12" width="7" customWidth="1"/>
    <col min="13" max="13" width="12.42578125" customWidth="1"/>
  </cols>
  <sheetData>
    <row r="6" spans="1:13" ht="21" x14ac:dyDescent="0.35">
      <c r="A6" s="67" t="s">
        <v>298</v>
      </c>
      <c r="B6" s="67"/>
      <c r="C6" s="67"/>
      <c r="D6" s="67"/>
      <c r="E6" s="67"/>
      <c r="F6" s="67"/>
      <c r="G6" s="67"/>
      <c r="H6" s="67"/>
      <c r="I6" s="67"/>
      <c r="J6" s="67"/>
      <c r="K6" s="67"/>
      <c r="L6" s="67"/>
      <c r="M6" s="67"/>
    </row>
    <row r="8" spans="1:13" x14ac:dyDescent="0.25">
      <c r="A8" t="s">
        <v>299</v>
      </c>
    </row>
    <row r="10" spans="1:13" x14ac:dyDescent="0.25">
      <c r="A10" t="s">
        <v>576</v>
      </c>
    </row>
    <row r="12" spans="1:13" x14ac:dyDescent="0.25">
      <c r="A12" t="s">
        <v>300</v>
      </c>
    </row>
    <row r="14" spans="1:13" x14ac:dyDescent="0.25">
      <c r="A14" t="s">
        <v>301</v>
      </c>
    </row>
    <row r="15" spans="1:13" x14ac:dyDescent="0.25">
      <c r="A15" t="s">
        <v>302</v>
      </c>
    </row>
    <row r="17" spans="1:13" x14ac:dyDescent="0.25">
      <c r="A17" t="s">
        <v>303</v>
      </c>
    </row>
    <row r="18" spans="1:13" x14ac:dyDescent="0.25">
      <c r="A18" t="s">
        <v>307</v>
      </c>
    </row>
    <row r="19" spans="1:13" x14ac:dyDescent="0.25">
      <c r="A19" t="s">
        <v>308</v>
      </c>
    </row>
    <row r="20" spans="1:13" ht="15.75" thickBot="1" x14ac:dyDescent="0.3"/>
    <row r="21" spans="1:13" ht="15.75" thickBot="1" x14ac:dyDescent="0.3">
      <c r="A21" t="s">
        <v>306</v>
      </c>
      <c r="M21" s="5"/>
    </row>
    <row r="23" spans="1:13" x14ac:dyDescent="0.25">
      <c r="A23" t="s">
        <v>577</v>
      </c>
    </row>
    <row r="25" spans="1:13" x14ac:dyDescent="0.25">
      <c r="A25" t="s">
        <v>304</v>
      </c>
    </row>
    <row r="26" spans="1:13" x14ac:dyDescent="0.25">
      <c r="A26" t="s">
        <v>305</v>
      </c>
    </row>
    <row r="28" spans="1:13" x14ac:dyDescent="0.25">
      <c r="A28" t="s">
        <v>578</v>
      </c>
    </row>
    <row r="29" spans="1:13" x14ac:dyDescent="0.25">
      <c r="A29" t="s">
        <v>579</v>
      </c>
      <c r="B29" s="63"/>
      <c r="C29" s="63"/>
      <c r="D29" s="63"/>
      <c r="E29" s="63"/>
      <c r="F29" s="63"/>
      <c r="G29" s="63"/>
      <c r="H29" s="63"/>
      <c r="I29" s="63"/>
      <c r="J29" s="63"/>
      <c r="K29" s="63"/>
      <c r="L29" s="63"/>
      <c r="M29" s="63"/>
    </row>
    <row r="31" spans="1:13" x14ac:dyDescent="0.25">
      <c r="A31" t="s">
        <v>580</v>
      </c>
    </row>
    <row r="32" spans="1:13" ht="15.75" x14ac:dyDescent="0.25">
      <c r="A32" s="68" t="s">
        <v>309</v>
      </c>
      <c r="B32" s="63"/>
      <c r="C32" s="63"/>
      <c r="D32" s="63"/>
      <c r="E32" s="63"/>
      <c r="F32" s="63"/>
      <c r="G32" s="63"/>
      <c r="H32" s="63"/>
      <c r="I32" s="63"/>
      <c r="J32" s="63"/>
      <c r="K32" s="63"/>
      <c r="L32" s="63"/>
      <c r="M32" s="63"/>
    </row>
  </sheetData>
  <sheetProtection formatCells="0" formatColumns="0" formatRows="0"/>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1A661-1F7B-448D-9B62-7F6B56FD0E2C}">
  <sheetPr codeName="Sheet8"/>
  <dimension ref="A1:I33"/>
  <sheetViews>
    <sheetView zoomScaleNormal="100" workbookViewId="0"/>
  </sheetViews>
  <sheetFormatPr defaultColWidth="9.140625" defaultRowHeight="15" x14ac:dyDescent="0.25"/>
  <cols>
    <col min="1" max="1" width="6.5703125" style="4" bestFit="1" customWidth="1"/>
    <col min="2" max="2" width="16" style="4" bestFit="1" customWidth="1"/>
    <col min="3" max="3" width="12.42578125" style="4" bestFit="1" customWidth="1"/>
    <col min="4" max="5" width="14.28515625" style="4" customWidth="1"/>
    <col min="6" max="6" width="9.140625" style="4"/>
    <col min="7" max="7" width="15.7109375" style="4" customWidth="1"/>
    <col min="8" max="8" width="3.7109375" style="72" customWidth="1"/>
    <col min="9" max="9" width="10.5703125" style="4" bestFit="1" customWidth="1"/>
    <col min="10" max="16384" width="9.140625" style="4"/>
  </cols>
  <sheetData>
    <row r="1" spans="1:9" ht="15.75" x14ac:dyDescent="0.25">
      <c r="A1" s="16">
        <v>6</v>
      </c>
      <c r="B1" s="15" t="s">
        <v>362</v>
      </c>
      <c r="C1" s="139" t="s">
        <v>600</v>
      </c>
      <c r="D1" s="138" t="s">
        <v>603</v>
      </c>
      <c r="E1" s="17"/>
      <c r="F1" s="17"/>
      <c r="G1" s="133" t="s">
        <v>596</v>
      </c>
      <c r="H1" s="114"/>
      <c r="I1" s="130" t="s">
        <v>310</v>
      </c>
    </row>
    <row r="2" spans="1:9" x14ac:dyDescent="0.25">
      <c r="A2" s="18"/>
      <c r="B2" s="6"/>
      <c r="C2" s="6"/>
      <c r="D2" s="6"/>
      <c r="E2" s="6"/>
      <c r="F2" s="6"/>
      <c r="G2" s="19"/>
      <c r="H2" s="72" t="s">
        <v>2</v>
      </c>
      <c r="I2" s="4" t="s">
        <v>385</v>
      </c>
    </row>
    <row r="3" spans="1:9" x14ac:dyDescent="0.25">
      <c r="A3" s="20" t="s">
        <v>14</v>
      </c>
      <c r="B3" s="6" t="s">
        <v>84</v>
      </c>
      <c r="C3" s="6"/>
      <c r="D3" s="6"/>
      <c r="E3" s="6"/>
      <c r="F3" s="6"/>
      <c r="G3" s="19"/>
      <c r="I3" s="4" t="str">
        <f>"= exp("&amp;E14&amp;" + "&amp; E15&amp;" + "&amp;E18&amp;" + "&amp;E19&amp;" * ln(200,000) + "&amp;E20&amp;" * ln(200,000))"</f>
        <v>= exp(-8.4607 + 0.2714 + 0.7228 + 0.4311 * ln(200,000) + -0.096 * ln(200,000))</v>
      </c>
    </row>
    <row r="4" spans="1:9" x14ac:dyDescent="0.25">
      <c r="A4" s="21">
        <f>INDEX('Point Grid'!B:B,MATCH('6'!A1,'Point Grid'!A:A,0))</f>
        <v>2</v>
      </c>
      <c r="B4" s="6" t="s">
        <v>85</v>
      </c>
      <c r="C4" s="6"/>
      <c r="D4" s="6"/>
      <c r="E4" s="6"/>
      <c r="F4" s="6"/>
      <c r="G4" s="19"/>
      <c r="I4" s="80">
        <f>EXP(E14+E15+E18+E19*LN(200000)+E20*LN(200000))</f>
        <v>3.4175541332503639E-2</v>
      </c>
    </row>
    <row r="5" spans="1:9" x14ac:dyDescent="0.25">
      <c r="A5" s="18"/>
      <c r="B5" s="6" t="s">
        <v>86</v>
      </c>
      <c r="C5" s="6"/>
      <c r="D5" s="6"/>
      <c r="E5" s="6"/>
      <c r="F5" s="6"/>
      <c r="G5" s="19"/>
    </row>
    <row r="6" spans="1:9" x14ac:dyDescent="0.25">
      <c r="A6" s="18"/>
      <c r="B6" s="6" t="s">
        <v>87</v>
      </c>
      <c r="C6" s="6"/>
      <c r="D6" s="6"/>
      <c r="E6" s="6"/>
      <c r="F6" s="6"/>
      <c r="G6" s="19"/>
      <c r="I6" s="4" t="s">
        <v>386</v>
      </c>
    </row>
    <row r="7" spans="1:9" x14ac:dyDescent="0.25">
      <c r="A7" s="18"/>
      <c r="B7" s="6" t="s">
        <v>88</v>
      </c>
      <c r="C7" s="6"/>
      <c r="D7" s="6"/>
      <c r="E7" s="6"/>
      <c r="F7" s="6"/>
      <c r="G7" s="19"/>
      <c r="I7" s="4" t="str">
        <f>"= exp("&amp;E14&amp;" + "&amp; E15&amp;" + "&amp;E19&amp;" * ln(200,000))"</f>
        <v>= exp(-8.4607 + 0.2714 + 0.4311 * ln(200,000))</v>
      </c>
    </row>
    <row r="8" spans="1:9" x14ac:dyDescent="0.25">
      <c r="A8" s="18"/>
      <c r="B8" s="6" t="s">
        <v>89</v>
      </c>
      <c r="C8" s="6"/>
      <c r="D8" s="6"/>
      <c r="E8" s="6"/>
      <c r="F8" s="6"/>
      <c r="G8" s="19"/>
      <c r="I8" s="80">
        <f>EXP(E14+E15+E19*LN(200000))</f>
        <v>5.3543435149753148E-2</v>
      </c>
    </row>
    <row r="9" spans="1:9" x14ac:dyDescent="0.25">
      <c r="A9" s="18"/>
      <c r="B9" s="6" t="s">
        <v>90</v>
      </c>
      <c r="C9" s="6"/>
      <c r="D9" s="6"/>
      <c r="E9" s="6"/>
      <c r="F9" s="6"/>
      <c r="G9" s="19"/>
    </row>
    <row r="10" spans="1:9" x14ac:dyDescent="0.25">
      <c r="A10" s="18"/>
      <c r="B10" s="6" t="s">
        <v>91</v>
      </c>
      <c r="C10" s="6"/>
      <c r="D10" s="6"/>
      <c r="E10" s="6"/>
      <c r="F10" s="6"/>
      <c r="G10" s="19"/>
      <c r="I10" s="4" t="str">
        <f>"Ratio = "&amp;TEXT(I4,"0.000000") &amp; " / "&amp;TEXT(I8,"0.000000")</f>
        <v>Ratio = 0.034176 / 0.053543</v>
      </c>
    </row>
    <row r="11" spans="1:9" x14ac:dyDescent="0.25">
      <c r="A11" s="18"/>
      <c r="B11" s="6" t="s">
        <v>92</v>
      </c>
      <c r="C11" s="6"/>
      <c r="D11" s="6"/>
      <c r="E11" s="6"/>
      <c r="F11" s="6"/>
      <c r="G11" s="19"/>
      <c r="I11" s="162">
        <f>I4/I8</f>
        <v>0.63827696592345362</v>
      </c>
    </row>
    <row r="12" spans="1:9" x14ac:dyDescent="0.25">
      <c r="A12" s="18"/>
      <c r="B12" s="6" t="s">
        <v>93</v>
      </c>
      <c r="C12" s="6"/>
      <c r="D12" s="6"/>
      <c r="E12" s="6"/>
      <c r="F12" s="6"/>
      <c r="G12" s="19"/>
    </row>
    <row r="13" spans="1:9" x14ac:dyDescent="0.25">
      <c r="A13" s="18"/>
      <c r="B13" s="6"/>
      <c r="C13" s="31" t="s">
        <v>94</v>
      </c>
      <c r="D13" s="32"/>
      <c r="E13" s="116" t="s">
        <v>29</v>
      </c>
      <c r="F13" s="6"/>
      <c r="G13" s="19"/>
      <c r="H13" s="72" t="s">
        <v>3</v>
      </c>
      <c r="I13" s="4" t="s">
        <v>387</v>
      </c>
    </row>
    <row r="14" spans="1:9" x14ac:dyDescent="0.25">
      <c r="A14" s="18"/>
      <c r="B14" s="6"/>
      <c r="C14" s="30" t="s">
        <v>32</v>
      </c>
      <c r="D14" s="29"/>
      <c r="E14" s="49">
        <v>-8.4606999999999992</v>
      </c>
      <c r="F14" s="6"/>
      <c r="G14" s="19"/>
      <c r="I14" s="4" t="s">
        <v>388</v>
      </c>
    </row>
    <row r="15" spans="1:9" x14ac:dyDescent="0.25">
      <c r="A15" s="18"/>
      <c r="B15" s="6"/>
      <c r="C15" s="30" t="s">
        <v>95</v>
      </c>
      <c r="D15" s="29"/>
      <c r="E15" s="49">
        <v>0.27139999999999997</v>
      </c>
      <c r="F15" s="6"/>
      <c r="G15" s="19"/>
      <c r="I15" s="4" t="s">
        <v>389</v>
      </c>
    </row>
    <row r="16" spans="1:9" x14ac:dyDescent="0.25">
      <c r="A16" s="18"/>
      <c r="B16" s="6"/>
      <c r="C16" s="30" t="s">
        <v>96</v>
      </c>
      <c r="D16" s="29"/>
      <c r="E16" s="49">
        <v>0.36199999999999999</v>
      </c>
      <c r="F16" s="6"/>
      <c r="G16" s="19"/>
      <c r="I16" s="4" t="s">
        <v>390</v>
      </c>
    </row>
    <row r="17" spans="1:9" x14ac:dyDescent="0.25">
      <c r="A17" s="18"/>
      <c r="B17" s="6"/>
      <c r="C17" s="30" t="s">
        <v>97</v>
      </c>
      <c r="D17" s="29"/>
      <c r="E17" s="49">
        <v>3.95E-2</v>
      </c>
      <c r="F17" s="6"/>
      <c r="G17" s="19"/>
      <c r="I17" s="4" t="s">
        <v>391</v>
      </c>
    </row>
    <row r="18" spans="1:9" x14ac:dyDescent="0.25">
      <c r="A18" s="18"/>
      <c r="B18" s="6"/>
      <c r="C18" s="30" t="s">
        <v>98</v>
      </c>
      <c r="D18" s="29"/>
      <c r="E18" s="49">
        <v>0.7228</v>
      </c>
      <c r="F18" s="6"/>
      <c r="G18" s="19"/>
      <c r="I18" s="4" t="s">
        <v>392</v>
      </c>
    </row>
    <row r="19" spans="1:9" x14ac:dyDescent="0.25">
      <c r="A19" s="18"/>
      <c r="B19" s="6"/>
      <c r="C19" s="30" t="s">
        <v>99</v>
      </c>
      <c r="D19" s="29"/>
      <c r="E19" s="49">
        <v>0.43109999999999998</v>
      </c>
      <c r="F19" s="6"/>
      <c r="G19" s="19"/>
      <c r="I19" s="4" t="s">
        <v>393</v>
      </c>
    </row>
    <row r="20" spans="1:9" x14ac:dyDescent="0.25">
      <c r="A20" s="18"/>
      <c r="B20" s="6"/>
      <c r="C20" s="30" t="s">
        <v>100</v>
      </c>
      <c r="D20" s="29"/>
      <c r="E20" s="49">
        <v>-9.6000000000000002E-2</v>
      </c>
      <c r="F20" s="6"/>
      <c r="G20" s="19"/>
      <c r="I20" s="4" t="str">
        <f>E14&amp;" + "&amp;E15&amp;" + "&amp;E19&amp;" * ln(200,000) = b + "&amp;E15</f>
        <v>-8.4607 + 0.2714 + 0.4311 * ln(200,000) = b + 0.2714</v>
      </c>
    </row>
    <row r="21" spans="1:9" x14ac:dyDescent="0.25">
      <c r="A21" s="18"/>
      <c r="B21" s="6"/>
      <c r="C21" s="6"/>
      <c r="D21" s="6"/>
      <c r="E21" s="6"/>
      <c r="F21" s="6"/>
      <c r="G21" s="19"/>
      <c r="I21" s="4" t="s">
        <v>394</v>
      </c>
    </row>
    <row r="22" spans="1:9" x14ac:dyDescent="0.25">
      <c r="A22" s="22" t="s">
        <v>2</v>
      </c>
      <c r="B22" s="6" t="s">
        <v>101</v>
      </c>
      <c r="C22" s="6"/>
      <c r="D22" s="6"/>
      <c r="E22" s="6"/>
      <c r="F22" s="6"/>
      <c r="G22" s="19"/>
      <c r="I22" s="4" t="s">
        <v>395</v>
      </c>
    </row>
    <row r="23" spans="1:9" ht="15.75" thickBot="1" x14ac:dyDescent="0.3">
      <c r="A23" s="21">
        <f>INDEX('Point Grid'!$C$8:$I$26,MATCH($A$1,'Point Grid'!$A$8:$A$26,0),MATCH(A22,'Point Grid'!$C$7:$I$7,0))</f>
        <v>0.75</v>
      </c>
      <c r="B23" s="6" t="s">
        <v>102</v>
      </c>
      <c r="C23" s="6"/>
      <c r="D23" s="6"/>
      <c r="E23" s="6"/>
      <c r="F23" s="6"/>
      <c r="G23" s="19"/>
      <c r="I23" s="4" t="s">
        <v>396</v>
      </c>
    </row>
    <row r="24" spans="1:9" ht="15.75" thickBot="1" x14ac:dyDescent="0.3">
      <c r="A24" s="5">
        <v>0.75</v>
      </c>
      <c r="B24" s="6"/>
      <c r="C24" s="6"/>
      <c r="D24" s="6"/>
      <c r="E24" s="6"/>
      <c r="F24" s="6"/>
      <c r="G24" s="19"/>
      <c r="I24" s="163">
        <f>E14+E19*LN(200000)</f>
        <v>-3.1986620825119418</v>
      </c>
    </row>
    <row r="25" spans="1:9" x14ac:dyDescent="0.25">
      <c r="A25" s="18"/>
      <c r="B25" s="6"/>
      <c r="C25" s="6"/>
      <c r="D25" s="6"/>
      <c r="E25" s="6"/>
      <c r="F25" s="6"/>
      <c r="G25" s="19"/>
    </row>
    <row r="26" spans="1:9" x14ac:dyDescent="0.25">
      <c r="A26" s="22" t="s">
        <v>3</v>
      </c>
      <c r="B26" s="6" t="s">
        <v>103</v>
      </c>
      <c r="C26" s="6"/>
      <c r="D26" s="6"/>
      <c r="E26" s="6"/>
      <c r="F26" s="6"/>
      <c r="G26" s="19"/>
      <c r="H26" s="72" t="s">
        <v>4</v>
      </c>
      <c r="I26" s="71" t="s">
        <v>397</v>
      </c>
    </row>
    <row r="27" spans="1:9" ht="15.75" thickBot="1" x14ac:dyDescent="0.3">
      <c r="A27" s="21">
        <f>INDEX('Point Grid'!$C$8:$I$26,MATCH($A$1,'Point Grid'!$A$8:$A$26,0),MATCH(A26,'Point Grid'!$C$7:$I$7,0))</f>
        <v>0.75</v>
      </c>
      <c r="B27" s="6"/>
      <c r="C27" s="6"/>
      <c r="D27" s="6"/>
      <c r="E27" s="6"/>
      <c r="F27" s="6"/>
      <c r="G27" s="19"/>
      <c r="I27" s="4" t="s">
        <v>398</v>
      </c>
    </row>
    <row r="28" spans="1:9" ht="15.75" thickBot="1" x14ac:dyDescent="0.3">
      <c r="A28" s="5">
        <v>0.75</v>
      </c>
      <c r="B28" s="18"/>
      <c r="C28" s="6"/>
      <c r="D28" s="6"/>
      <c r="E28" s="6"/>
      <c r="F28" s="6"/>
      <c r="G28" s="19"/>
      <c r="I28" s="4" t="s">
        <v>399</v>
      </c>
    </row>
    <row r="29" spans="1:9" x14ac:dyDescent="0.25">
      <c r="A29" s="18"/>
      <c r="B29" s="6"/>
      <c r="C29" s="6"/>
      <c r="D29" s="6"/>
      <c r="E29" s="6"/>
      <c r="F29" s="6"/>
      <c r="G29" s="19"/>
    </row>
    <row r="30" spans="1:9" x14ac:dyDescent="0.25">
      <c r="A30" s="22" t="s">
        <v>4</v>
      </c>
      <c r="B30" s="6" t="s">
        <v>104</v>
      </c>
      <c r="C30" s="6"/>
      <c r="D30" s="6"/>
      <c r="E30" s="6"/>
      <c r="F30" s="6"/>
      <c r="G30" s="19"/>
      <c r="I30" s="71" t="s">
        <v>400</v>
      </c>
    </row>
    <row r="31" spans="1:9" ht="15.75" thickBot="1" x14ac:dyDescent="0.3">
      <c r="A31" s="21">
        <f>INDEX('Point Grid'!$C$8:$I$26,MATCH($A$1,'Point Grid'!$A$8:$A$26,0),MATCH(A30,'Point Grid'!$C$7:$I$7,0))</f>
        <v>0.5</v>
      </c>
      <c r="B31" s="6"/>
      <c r="C31" s="6"/>
      <c r="D31" s="6"/>
      <c r="E31" s="6"/>
      <c r="F31" s="6"/>
      <c r="G31" s="19"/>
      <c r="I31" s="4" t="s">
        <v>401</v>
      </c>
    </row>
    <row r="32" spans="1:9" ht="15.75" thickBot="1" x14ac:dyDescent="0.3">
      <c r="A32" s="5">
        <v>0.5</v>
      </c>
      <c r="B32" s="24"/>
      <c r="C32" s="24"/>
      <c r="D32" s="24"/>
      <c r="E32" s="24"/>
      <c r="F32" s="24"/>
      <c r="G32" s="25"/>
      <c r="I32" s="4" t="s">
        <v>402</v>
      </c>
    </row>
    <row r="33" spans="9:9" x14ac:dyDescent="0.25">
      <c r="I33" s="4" t="s">
        <v>403</v>
      </c>
    </row>
  </sheetData>
  <sheetProtection formatCells="0" formatColumns="0" formatRows="0"/>
  <conditionalFormatting sqref="B1">
    <cfRule type="cellIs" dxfId="51" priority="1" operator="equal">
      <formula>"Incomplete"</formula>
    </cfRule>
    <cfRule type="cellIs" dxfId="50" priority="2" operator="equal">
      <formula>"Flag for Review"</formula>
    </cfRule>
    <cfRule type="cellIs" dxfId="49" priority="3" operator="equal">
      <formula>"Finished"</formula>
    </cfRule>
  </conditionalFormatting>
  <dataValidations count="2">
    <dataValidation type="list" allowBlank="1" showInputMessage="1" showErrorMessage="1" sqref="B1" xr:uid="{DF09FE35-F9D5-4691-857C-3143E64ECF98}">
      <formula1>"Finished, Flag for Review, Incomplete"</formula1>
    </dataValidation>
    <dataValidation type="decimal" allowBlank="1" showInputMessage="1" showErrorMessage="1" sqref="A24 A28 A32" xr:uid="{1C3E0054-4080-4C34-9B54-61EC0D5F1230}">
      <formula1>0</formula1>
      <formula2>A23</formula2>
    </dataValidation>
  </dataValidations>
  <hyperlinks>
    <hyperlink ref="G1" location="Navigator!A1" display="Navigator" xr:uid="{565621A4-B758-4B60-8842-19F02D16DB65}"/>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A30FF-1244-41B9-972B-56024645645D}">
  <sheetPr codeName="Sheet9"/>
  <dimension ref="A1:R84"/>
  <sheetViews>
    <sheetView workbookViewId="0"/>
  </sheetViews>
  <sheetFormatPr defaultColWidth="9.140625" defaultRowHeight="15" x14ac:dyDescent="0.25"/>
  <cols>
    <col min="1" max="1" width="6.5703125" style="4" bestFit="1" customWidth="1"/>
    <col min="2" max="2" width="16" style="4" bestFit="1" customWidth="1"/>
    <col min="3" max="3" width="19.5703125" style="4" customWidth="1"/>
    <col min="4" max="4" width="9.28515625" style="4" customWidth="1"/>
    <col min="5" max="5" width="10.28515625" style="4" customWidth="1"/>
    <col min="6" max="6" width="10.7109375" style="4" customWidth="1"/>
    <col min="7" max="7" width="9.7109375" style="4" customWidth="1"/>
    <col min="8" max="11" width="8.7109375" style="4" customWidth="1"/>
    <col min="12" max="12" width="2.7109375" style="4" customWidth="1"/>
    <col min="13" max="13" width="3.7109375" style="72" customWidth="1"/>
    <col min="14" max="14" width="13.5703125" style="4" bestFit="1" customWidth="1"/>
    <col min="15" max="15" width="11.85546875" style="4" bestFit="1" customWidth="1"/>
    <col min="16" max="16" width="9.28515625" style="4" customWidth="1"/>
    <col min="17" max="17" width="11" style="4" customWidth="1"/>
    <col min="18" max="18" width="10.140625" style="4" bestFit="1" customWidth="1"/>
    <col min="19" max="16384" width="9.140625" style="4"/>
  </cols>
  <sheetData>
    <row r="1" spans="1:18" ht="15.75" x14ac:dyDescent="0.25">
      <c r="A1" s="16">
        <v>7</v>
      </c>
      <c r="B1" s="15" t="s">
        <v>362</v>
      </c>
      <c r="C1" s="139" t="s">
        <v>600</v>
      </c>
      <c r="D1" s="138" t="s">
        <v>604</v>
      </c>
      <c r="E1" s="17"/>
      <c r="F1" s="249" t="s">
        <v>597</v>
      </c>
      <c r="G1" s="249"/>
      <c r="H1" s="17"/>
      <c r="I1" s="17"/>
      <c r="J1" s="17"/>
      <c r="K1" s="247" t="s">
        <v>596</v>
      </c>
      <c r="L1" s="248"/>
      <c r="M1" s="114"/>
      <c r="N1" s="130" t="s">
        <v>310</v>
      </c>
    </row>
    <row r="2" spans="1:18" x14ac:dyDescent="0.25">
      <c r="A2" s="18"/>
      <c r="B2" s="6"/>
      <c r="C2" s="6"/>
      <c r="D2" s="6"/>
      <c r="E2" s="6"/>
      <c r="F2" s="6"/>
      <c r="G2" s="6"/>
      <c r="H2" s="6"/>
      <c r="I2" s="6"/>
      <c r="J2" s="6"/>
      <c r="K2" s="6"/>
      <c r="L2" s="19"/>
      <c r="M2" s="72" t="s">
        <v>2</v>
      </c>
      <c r="N2" s="4" t="s">
        <v>404</v>
      </c>
    </row>
    <row r="3" spans="1:18" x14ac:dyDescent="0.25">
      <c r="A3" s="20" t="s">
        <v>14</v>
      </c>
      <c r="B3" s="6" t="s">
        <v>105</v>
      </c>
      <c r="C3" s="6"/>
      <c r="D3" s="6"/>
      <c r="E3" s="6"/>
      <c r="F3" s="6"/>
      <c r="G3" s="6"/>
      <c r="H3" s="6"/>
      <c r="I3" s="6"/>
      <c r="J3" s="6"/>
      <c r="K3" s="6"/>
      <c r="L3" s="19"/>
      <c r="N3" s="4" t="s">
        <v>405</v>
      </c>
    </row>
    <row r="4" spans="1:18" x14ac:dyDescent="0.25">
      <c r="A4" s="21">
        <f>INDEX('Point Grid'!B:B,MATCH('7'!A1,'Point Grid'!A:A,0))</f>
        <v>7.5</v>
      </c>
      <c r="B4" s="6"/>
      <c r="C4" s="36" t="s">
        <v>106</v>
      </c>
      <c r="D4" s="37"/>
      <c r="E4" s="37"/>
      <c r="F4" s="42"/>
      <c r="G4" s="44">
        <v>43831</v>
      </c>
      <c r="H4" s="39"/>
      <c r="I4" s="6"/>
      <c r="J4" s="34"/>
      <c r="K4" s="6"/>
      <c r="L4" s="19"/>
    </row>
    <row r="5" spans="1:18" x14ac:dyDescent="0.25">
      <c r="A5" s="18"/>
      <c r="B5" s="6"/>
      <c r="C5" s="36" t="s">
        <v>107</v>
      </c>
      <c r="D5" s="37"/>
      <c r="E5" s="37"/>
      <c r="F5" s="42"/>
      <c r="G5" s="40" t="s">
        <v>108</v>
      </c>
      <c r="H5" s="39"/>
      <c r="I5" s="6"/>
      <c r="J5" s="11"/>
      <c r="K5" s="6"/>
      <c r="L5" s="19"/>
      <c r="N5" s="4" t="s">
        <v>406</v>
      </c>
      <c r="P5" s="82" t="s">
        <v>317</v>
      </c>
      <c r="Q5" s="83">
        <f>1-(22800/122800)^0.3</f>
        <v>0.39657827218165509</v>
      </c>
    </row>
    <row r="6" spans="1:18" x14ac:dyDescent="0.25">
      <c r="A6" s="18"/>
      <c r="B6" s="6"/>
      <c r="C6" s="36" t="s">
        <v>109</v>
      </c>
      <c r="D6" s="37"/>
      <c r="E6" s="37"/>
      <c r="F6" s="42"/>
      <c r="G6" s="256">
        <v>4.4999999999999998E-2</v>
      </c>
      <c r="H6" s="257"/>
      <c r="I6" s="6"/>
      <c r="J6" s="45"/>
      <c r="K6" s="6"/>
      <c r="L6" s="19"/>
    </row>
    <row r="7" spans="1:18" x14ac:dyDescent="0.25">
      <c r="A7" s="18"/>
      <c r="B7" s="6"/>
      <c r="C7" s="36" t="s">
        <v>110</v>
      </c>
      <c r="D7" s="37"/>
      <c r="E7" s="37"/>
      <c r="F7" s="42"/>
      <c r="G7" s="253">
        <v>100000</v>
      </c>
      <c r="H7" s="254"/>
      <c r="I7" s="6"/>
      <c r="J7" s="46"/>
      <c r="K7" s="6"/>
      <c r="L7" s="19"/>
      <c r="N7" s="4" t="s">
        <v>407</v>
      </c>
    </row>
    <row r="8" spans="1:18" x14ac:dyDescent="0.25">
      <c r="A8" s="18"/>
      <c r="B8" s="6"/>
      <c r="C8" s="36" t="s">
        <v>111</v>
      </c>
      <c r="D8" s="37"/>
      <c r="E8" s="37"/>
      <c r="F8" s="42"/>
      <c r="G8" s="250">
        <v>0.4</v>
      </c>
      <c r="H8" s="251"/>
      <c r="I8" s="6"/>
      <c r="J8" s="11"/>
      <c r="K8" s="6"/>
      <c r="L8" s="19"/>
      <c r="N8" s="4" t="s">
        <v>408</v>
      </c>
      <c r="O8" s="4" t="str">
        <f>G9&amp;" * "&amp;TEXT(Q5,"0.0000")&amp; " = "&amp;TEXT(G9*Q5,"0,000.00")</f>
        <v>1064000 * 0.3966 = 421,959.28</v>
      </c>
      <c r="P8" s="70"/>
    </row>
    <row r="9" spans="1:18" x14ac:dyDescent="0.25">
      <c r="A9" s="18"/>
      <c r="B9" s="6"/>
      <c r="C9" s="36" t="s">
        <v>112</v>
      </c>
      <c r="D9" s="37"/>
      <c r="E9" s="37"/>
      <c r="F9" s="42"/>
      <c r="G9" s="253">
        <v>1064000</v>
      </c>
      <c r="H9" s="254"/>
      <c r="I9" s="6"/>
      <c r="J9" s="46"/>
      <c r="K9" s="6"/>
      <c r="L9" s="19"/>
    </row>
    <row r="10" spans="1:18" x14ac:dyDescent="0.25">
      <c r="A10" s="18"/>
      <c r="B10" s="6"/>
      <c r="C10" s="6"/>
      <c r="D10" s="6"/>
      <c r="E10" s="6"/>
      <c r="F10" s="6"/>
      <c r="G10" s="6"/>
      <c r="H10" s="6"/>
      <c r="I10" s="6"/>
      <c r="J10" s="6"/>
      <c r="K10" s="6"/>
      <c r="L10" s="19"/>
      <c r="N10" s="4" t="s">
        <v>409</v>
      </c>
    </row>
    <row r="11" spans="1:18" x14ac:dyDescent="0.25">
      <c r="A11" s="18"/>
      <c r="B11" s="6" t="s">
        <v>113</v>
      </c>
      <c r="C11" s="6"/>
      <c r="D11" s="6"/>
      <c r="E11" s="6"/>
      <c r="F11" s="6"/>
      <c r="G11" s="6"/>
      <c r="H11" s="6"/>
      <c r="I11" s="6"/>
      <c r="J11" s="6"/>
      <c r="K11" s="6"/>
      <c r="L11" s="19"/>
      <c r="N11" s="4" t="s">
        <v>410</v>
      </c>
    </row>
    <row r="12" spans="1:18" x14ac:dyDescent="0.25">
      <c r="A12" s="18"/>
      <c r="B12" s="6"/>
      <c r="C12" s="116" t="s">
        <v>114</v>
      </c>
      <c r="D12" s="117" t="s">
        <v>115</v>
      </c>
      <c r="E12" s="118"/>
      <c r="F12" s="118" t="s">
        <v>116</v>
      </c>
      <c r="G12" s="119"/>
      <c r="H12" s="120"/>
      <c r="I12" s="6"/>
      <c r="J12" s="38"/>
      <c r="K12" s="6"/>
      <c r="L12" s="19"/>
      <c r="N12" s="4" t="s">
        <v>411</v>
      </c>
    </row>
    <row r="13" spans="1:18" x14ac:dyDescent="0.25">
      <c r="A13" s="18"/>
      <c r="B13" s="6"/>
      <c r="C13" s="13">
        <v>2016</v>
      </c>
      <c r="D13" s="253">
        <v>392457</v>
      </c>
      <c r="E13" s="254"/>
      <c r="F13" s="47">
        <v>128305</v>
      </c>
      <c r="G13" s="47"/>
      <c r="H13" s="47"/>
      <c r="I13" s="6"/>
      <c r="J13" s="8"/>
      <c r="K13" s="6"/>
      <c r="L13" s="19"/>
      <c r="N13" s="4" t="s">
        <v>412</v>
      </c>
    </row>
    <row r="14" spans="1:18" x14ac:dyDescent="0.25">
      <c r="A14" s="18"/>
      <c r="B14" s="6"/>
      <c r="C14" s="13">
        <v>2017</v>
      </c>
      <c r="D14" s="253">
        <v>1013863</v>
      </c>
      <c r="E14" s="254"/>
      <c r="F14" s="47">
        <v>525626</v>
      </c>
      <c r="G14" s="47">
        <v>152860</v>
      </c>
      <c r="H14" s="47"/>
      <c r="I14" s="6"/>
      <c r="J14" s="48"/>
      <c r="K14" s="6"/>
      <c r="L14" s="19"/>
    </row>
    <row r="15" spans="1:18" x14ac:dyDescent="0.25">
      <c r="A15" s="18"/>
      <c r="B15" s="6"/>
      <c r="C15" s="13">
        <v>2018</v>
      </c>
      <c r="D15" s="253">
        <v>459798</v>
      </c>
      <c r="E15" s="254"/>
      <c r="F15" s="47">
        <v>275865</v>
      </c>
      <c r="G15" s="47"/>
      <c r="H15" s="47"/>
      <c r="I15" s="6"/>
      <c r="J15" s="8"/>
      <c r="K15" s="6"/>
      <c r="L15" s="19"/>
      <c r="O15" s="87" t="s">
        <v>415</v>
      </c>
      <c r="P15" s="87"/>
      <c r="Q15" s="87"/>
      <c r="R15" s="87" t="s">
        <v>415</v>
      </c>
    </row>
    <row r="16" spans="1:18" x14ac:dyDescent="0.25">
      <c r="A16" s="18"/>
      <c r="B16" s="6"/>
      <c r="C16" s="13">
        <v>2019</v>
      </c>
      <c r="D16" s="253">
        <v>181325</v>
      </c>
      <c r="E16" s="254"/>
      <c r="F16" s="13" t="s">
        <v>117</v>
      </c>
      <c r="G16" s="13"/>
      <c r="H16" s="13"/>
      <c r="I16" s="6"/>
      <c r="J16" s="8"/>
      <c r="K16" s="6"/>
      <c r="L16" s="19"/>
      <c r="N16" s="86" t="s">
        <v>413</v>
      </c>
      <c r="O16" s="88" t="s">
        <v>414</v>
      </c>
      <c r="P16" s="88" t="s">
        <v>416</v>
      </c>
      <c r="Q16" s="88" t="s">
        <v>417</v>
      </c>
      <c r="R16" s="88" t="s">
        <v>418</v>
      </c>
    </row>
    <row r="17" spans="1:18" x14ac:dyDescent="0.25">
      <c r="A17" s="18"/>
      <c r="B17" s="6"/>
      <c r="C17" s="6"/>
      <c r="D17" s="6"/>
      <c r="E17" s="6"/>
      <c r="F17" s="6"/>
      <c r="G17" s="6"/>
      <c r="H17" s="6"/>
      <c r="I17" s="6"/>
      <c r="J17" s="6"/>
      <c r="K17" s="6"/>
      <c r="L17" s="19"/>
      <c r="N17" s="73">
        <v>2018</v>
      </c>
      <c r="O17" s="84">
        <f>$G$9*$Q$5</f>
        <v>421959.28160128102</v>
      </c>
      <c r="P17" s="73">
        <f>(1+$G$6)^-2</f>
        <v>0.91572995123738021</v>
      </c>
      <c r="Q17" s="73">
        <f>1/D22</f>
        <v>0.77760497667185069</v>
      </c>
      <c r="R17" s="85">
        <f>PRODUCT(O17:Q17)</f>
        <v>300467.14802869444</v>
      </c>
    </row>
    <row r="18" spans="1:18" x14ac:dyDescent="0.25">
      <c r="A18" s="18"/>
      <c r="B18" s="6" t="s">
        <v>118</v>
      </c>
      <c r="C18" s="6"/>
      <c r="D18" s="6"/>
      <c r="E18" s="6"/>
      <c r="F18" s="6"/>
      <c r="G18" s="6"/>
      <c r="H18" s="6"/>
      <c r="I18" s="6"/>
      <c r="J18" s="6"/>
      <c r="K18" s="6"/>
      <c r="L18" s="19"/>
      <c r="N18" s="73">
        <v>2017</v>
      </c>
      <c r="O18" s="84">
        <f t="shared" ref="O18:O19" si="0">$G$9*$Q$5</f>
        <v>421959.28160128102</v>
      </c>
      <c r="P18" s="73">
        <f>(1+$G$6)^-3</f>
        <v>0.87629660405490928</v>
      </c>
      <c r="Q18" s="73">
        <f>1/D21</f>
        <v>0.91407678244972568</v>
      </c>
      <c r="R18" s="85">
        <f t="shared" ref="R18:R19" si="1">PRODUCT(O18:Q18)</f>
        <v>337990.38895489182</v>
      </c>
    </row>
    <row r="19" spans="1:18" x14ac:dyDescent="0.25">
      <c r="A19" s="18"/>
      <c r="B19" s="6"/>
      <c r="C19" s="13" t="s">
        <v>119</v>
      </c>
      <c r="D19" s="40" t="s">
        <v>120</v>
      </c>
      <c r="E19" s="39"/>
      <c r="F19" s="6"/>
      <c r="G19" s="6"/>
      <c r="H19" s="6"/>
      <c r="I19" s="6"/>
      <c r="J19" s="6"/>
      <c r="K19" s="6"/>
      <c r="L19" s="19"/>
      <c r="N19" s="73">
        <v>2016</v>
      </c>
      <c r="O19" s="84">
        <f t="shared" si="0"/>
        <v>421959.28160128102</v>
      </c>
      <c r="P19" s="73">
        <f>(1+$G$6)^-4</f>
        <v>0.83856134359321488</v>
      </c>
      <c r="Q19" s="73">
        <f>1/D20</f>
        <v>0.9505703422053231</v>
      </c>
      <c r="R19" s="85">
        <f t="shared" si="1"/>
        <v>336348.6141836482</v>
      </c>
    </row>
    <row r="20" spans="1:18" x14ac:dyDescent="0.25">
      <c r="A20" s="18"/>
      <c r="B20" s="6"/>
      <c r="C20" s="13" t="s">
        <v>121</v>
      </c>
      <c r="D20" s="250">
        <v>1.052</v>
      </c>
      <c r="E20" s="251"/>
      <c r="F20" s="6"/>
      <c r="G20" s="6"/>
      <c r="H20" s="6"/>
      <c r="I20" s="6"/>
      <c r="J20" s="6"/>
      <c r="K20" s="6"/>
      <c r="L20" s="19"/>
      <c r="R20" s="164">
        <f>SUM(R17:R19)</f>
        <v>974806.15116723441</v>
      </c>
    </row>
    <row r="21" spans="1:18" x14ac:dyDescent="0.25">
      <c r="A21" s="18"/>
      <c r="B21" s="6"/>
      <c r="C21" s="13" t="s">
        <v>122</v>
      </c>
      <c r="D21" s="250">
        <v>1.0940000000000001</v>
      </c>
      <c r="E21" s="251"/>
      <c r="F21" s="6"/>
      <c r="G21" s="6"/>
      <c r="H21" s="6"/>
      <c r="I21" s="6"/>
      <c r="J21" s="6"/>
      <c r="K21" s="6"/>
      <c r="L21" s="19"/>
    </row>
    <row r="22" spans="1:18" x14ac:dyDescent="0.25">
      <c r="A22" s="18"/>
      <c r="B22" s="6"/>
      <c r="C22" s="13" t="s">
        <v>123</v>
      </c>
      <c r="D22" s="250">
        <v>1.286</v>
      </c>
      <c r="E22" s="251"/>
      <c r="F22" s="6"/>
      <c r="G22" s="6"/>
      <c r="H22" s="6"/>
      <c r="I22" s="6"/>
      <c r="J22" s="6"/>
      <c r="K22" s="6"/>
      <c r="L22" s="19"/>
      <c r="N22" s="4" t="s">
        <v>419</v>
      </c>
    </row>
    <row r="23" spans="1:18" x14ac:dyDescent="0.25">
      <c r="A23" s="18"/>
      <c r="B23" s="6"/>
      <c r="C23" s="6"/>
      <c r="D23" s="6"/>
      <c r="E23" s="6"/>
      <c r="F23" s="6"/>
      <c r="G23" s="6"/>
      <c r="H23" s="6"/>
      <c r="I23" s="6"/>
      <c r="J23" s="6"/>
      <c r="K23" s="6"/>
      <c r="L23" s="19"/>
      <c r="N23" s="4" t="s">
        <v>420</v>
      </c>
    </row>
    <row r="24" spans="1:18" x14ac:dyDescent="0.25">
      <c r="A24" s="18"/>
      <c r="B24" s="6" t="s">
        <v>124</v>
      </c>
      <c r="C24" s="6"/>
      <c r="D24" s="6"/>
      <c r="E24" s="6"/>
      <c r="F24" s="6"/>
      <c r="G24" s="6"/>
      <c r="H24" s="6"/>
      <c r="I24" s="6"/>
      <c r="J24" s="6"/>
      <c r="K24" s="6"/>
      <c r="L24" s="19"/>
    </row>
    <row r="25" spans="1:18" x14ac:dyDescent="0.25">
      <c r="A25" s="18"/>
      <c r="B25" s="6" t="s">
        <v>125</v>
      </c>
      <c r="C25" s="6"/>
      <c r="D25" s="6"/>
      <c r="E25" s="6"/>
      <c r="F25" s="6"/>
      <c r="G25" s="6"/>
      <c r="H25" s="6"/>
      <c r="I25" s="6"/>
      <c r="J25" s="6"/>
      <c r="K25" s="6"/>
      <c r="L25" s="19"/>
      <c r="M25" s="72" t="s">
        <v>3</v>
      </c>
      <c r="N25" s="4" t="s">
        <v>421</v>
      </c>
    </row>
    <row r="26" spans="1:18" x14ac:dyDescent="0.25">
      <c r="A26" s="18"/>
      <c r="B26" s="41"/>
      <c r="C26" s="6"/>
      <c r="D26" s="6"/>
      <c r="E26" s="6"/>
      <c r="F26" s="6"/>
      <c r="G26" s="6"/>
      <c r="H26" s="6"/>
      <c r="I26" s="6"/>
      <c r="J26" s="6"/>
      <c r="K26" s="6"/>
      <c r="L26" s="19"/>
      <c r="P26" s="255" t="s">
        <v>422</v>
      </c>
      <c r="Q26" s="255" t="s">
        <v>423</v>
      </c>
    </row>
    <row r="27" spans="1:18" x14ac:dyDescent="0.25">
      <c r="A27" s="18"/>
      <c r="B27" s="6" t="s">
        <v>126</v>
      </c>
      <c r="C27" s="6"/>
      <c r="D27" s="6"/>
      <c r="E27" s="6"/>
      <c r="F27" s="6"/>
      <c r="G27" s="6"/>
      <c r="H27" s="6"/>
      <c r="I27" s="6"/>
      <c r="J27" s="6"/>
      <c r="K27" s="6"/>
      <c r="L27" s="19"/>
      <c r="N27" s="4" t="s">
        <v>413</v>
      </c>
      <c r="O27" s="4" t="s">
        <v>10</v>
      </c>
      <c r="P27" s="255"/>
      <c r="Q27" s="255"/>
    </row>
    <row r="28" spans="1:18" x14ac:dyDescent="0.25">
      <c r="A28" s="18"/>
      <c r="B28" s="43"/>
      <c r="C28" s="36" t="s">
        <v>127</v>
      </c>
      <c r="D28" s="42"/>
      <c r="E28" s="36" t="s">
        <v>128</v>
      </c>
      <c r="F28" s="42"/>
      <c r="G28" s="6"/>
      <c r="H28" s="6"/>
      <c r="I28" s="6"/>
      <c r="J28" s="6"/>
      <c r="K28" s="6"/>
      <c r="L28" s="19"/>
      <c r="N28" s="4">
        <v>2018</v>
      </c>
      <c r="O28" s="89">
        <f>D15</f>
        <v>459798</v>
      </c>
      <c r="P28" s="89">
        <f>F15-100000</f>
        <v>175865</v>
      </c>
      <c r="Q28" s="89">
        <f>O28-P28</f>
        <v>283933</v>
      </c>
    </row>
    <row r="29" spans="1:18" x14ac:dyDescent="0.25">
      <c r="A29" s="18"/>
      <c r="B29" s="6"/>
      <c r="C29" s="36" t="s">
        <v>129</v>
      </c>
      <c r="D29" s="42"/>
      <c r="E29" s="36" t="s">
        <v>130</v>
      </c>
      <c r="F29" s="42"/>
      <c r="G29" s="6"/>
      <c r="H29" s="6"/>
      <c r="I29" s="6"/>
      <c r="J29" s="6"/>
      <c r="K29" s="6"/>
      <c r="L29" s="19"/>
      <c r="N29" s="4">
        <v>2017</v>
      </c>
      <c r="O29" s="89">
        <f>D14</f>
        <v>1013863</v>
      </c>
      <c r="P29" s="89">
        <f>(F14-100000)+(G14-100000)</f>
        <v>478486</v>
      </c>
      <c r="Q29" s="89">
        <f t="shared" ref="Q29:Q30" si="2">O29-P29</f>
        <v>535377</v>
      </c>
    </row>
    <row r="30" spans="1:18" x14ac:dyDescent="0.25">
      <c r="A30" s="18"/>
      <c r="B30" s="6"/>
      <c r="C30" s="36" t="s">
        <v>131</v>
      </c>
      <c r="D30" s="42"/>
      <c r="E30" s="36" t="s">
        <v>132</v>
      </c>
      <c r="F30" s="42"/>
      <c r="G30" s="6"/>
      <c r="H30" s="6"/>
      <c r="I30" s="6"/>
      <c r="J30" s="6"/>
      <c r="K30" s="6"/>
      <c r="L30" s="19"/>
      <c r="N30" s="4">
        <v>2016</v>
      </c>
      <c r="O30" s="89">
        <f>D13</f>
        <v>392457</v>
      </c>
      <c r="P30" s="89">
        <f>F13-100000</f>
        <v>28305</v>
      </c>
      <c r="Q30" s="89">
        <f t="shared" si="2"/>
        <v>364152</v>
      </c>
    </row>
    <row r="31" spans="1:18" ht="15.75" thickBot="1" x14ac:dyDescent="0.3">
      <c r="A31" s="18"/>
      <c r="B31" s="6"/>
      <c r="C31" s="36" t="s">
        <v>133</v>
      </c>
      <c r="D31" s="42"/>
      <c r="E31" s="36" t="s">
        <v>134</v>
      </c>
      <c r="F31" s="42"/>
      <c r="G31" s="6"/>
      <c r="H31" s="6"/>
      <c r="I31" s="6"/>
      <c r="J31" s="6"/>
      <c r="K31" s="6"/>
      <c r="L31" s="19"/>
      <c r="Q31" s="90">
        <f>SUM(Q28:Q30)</f>
        <v>1183462</v>
      </c>
      <c r="R31" s="4" t="s">
        <v>10</v>
      </c>
    </row>
    <row r="32" spans="1:18" x14ac:dyDescent="0.25">
      <c r="A32" s="18"/>
      <c r="B32" s="6"/>
      <c r="C32" s="6"/>
      <c r="D32" s="6"/>
      <c r="E32" s="6"/>
      <c r="F32" s="6"/>
      <c r="G32" s="6"/>
      <c r="H32" s="6"/>
      <c r="I32" s="6"/>
      <c r="J32" s="6"/>
      <c r="K32" s="6"/>
      <c r="L32" s="19"/>
    </row>
    <row r="33" spans="1:14" x14ac:dyDescent="0.25">
      <c r="A33" s="18"/>
      <c r="B33" s="6" t="s">
        <v>141</v>
      </c>
      <c r="C33" s="6"/>
      <c r="D33" s="6"/>
      <c r="E33" s="6"/>
      <c r="F33" s="6"/>
      <c r="G33" s="6"/>
      <c r="H33" s="6"/>
      <c r="I33" s="6"/>
      <c r="J33" s="6"/>
      <c r="K33" s="6"/>
      <c r="L33" s="19"/>
      <c r="N33" s="4" t="s">
        <v>424</v>
      </c>
    </row>
    <row r="34" spans="1:14" x14ac:dyDescent="0.25">
      <c r="A34" s="18"/>
      <c r="B34" s="6" t="s">
        <v>142</v>
      </c>
      <c r="C34" s="6"/>
      <c r="D34" s="6"/>
      <c r="E34" s="6"/>
      <c r="F34" s="6"/>
      <c r="G34" s="6"/>
      <c r="H34" s="6"/>
      <c r="I34" s="6"/>
      <c r="J34" s="6"/>
      <c r="K34" s="6"/>
      <c r="L34" s="19"/>
      <c r="N34" s="4" t="str">
        <f>"("&amp;Q31&amp;" / "&amp;R20&amp;") * "&amp;G8&amp;" + (1 - "&amp;G8&amp;") * 1"</f>
        <v>(1183462 / 974806.151167234) * 0.4 + (1 - 0.4) * 1</v>
      </c>
    </row>
    <row r="35" spans="1:14" x14ac:dyDescent="0.25">
      <c r="A35" s="18"/>
      <c r="B35" s="6" t="s">
        <v>143</v>
      </c>
      <c r="C35" s="6"/>
      <c r="D35" s="6"/>
      <c r="E35" s="6"/>
      <c r="F35" s="6"/>
      <c r="G35" s="6"/>
      <c r="H35" s="6"/>
      <c r="I35" s="6"/>
      <c r="J35" s="6"/>
      <c r="K35" s="6"/>
      <c r="L35" s="19"/>
      <c r="N35" s="81">
        <f>Q31/R20*G8+(1-G8)*1</f>
        <v>1.0856194223160864</v>
      </c>
    </row>
    <row r="36" spans="1:14" x14ac:dyDescent="0.25">
      <c r="A36" s="18"/>
      <c r="B36" s="6"/>
      <c r="C36" s="6"/>
      <c r="D36" s="6"/>
      <c r="E36" s="6"/>
      <c r="F36" s="6"/>
      <c r="G36" s="6"/>
      <c r="H36" s="6"/>
      <c r="I36" s="6"/>
      <c r="J36" s="6"/>
      <c r="K36" s="6"/>
      <c r="L36" s="19"/>
      <c r="N36" s="91"/>
    </row>
    <row r="37" spans="1:14" x14ac:dyDescent="0.25">
      <c r="A37" s="18"/>
      <c r="B37" s="6" t="s">
        <v>144</v>
      </c>
      <c r="C37" s="6"/>
      <c r="D37" s="6"/>
      <c r="E37" s="6"/>
      <c r="F37" s="6"/>
      <c r="G37" s="6"/>
      <c r="H37" s="6"/>
      <c r="I37" s="6"/>
      <c r="J37" s="6"/>
      <c r="K37" s="6"/>
      <c r="L37" s="19"/>
      <c r="N37" s="4" t="s">
        <v>425</v>
      </c>
    </row>
    <row r="38" spans="1:14" x14ac:dyDescent="0.25">
      <c r="A38" s="18"/>
      <c r="B38" s="6" t="s">
        <v>145</v>
      </c>
      <c r="C38" s="6"/>
      <c r="D38" s="6"/>
      <c r="E38" s="6"/>
      <c r="F38" s="6"/>
      <c r="G38" s="6"/>
      <c r="H38" s="6"/>
      <c r="I38" s="6"/>
      <c r="J38" s="6"/>
      <c r="K38" s="6"/>
      <c r="L38" s="19"/>
      <c r="N38" s="4" t="s">
        <v>426</v>
      </c>
    </row>
    <row r="39" spans="1:14" x14ac:dyDescent="0.25">
      <c r="A39" s="18"/>
      <c r="B39" s="6"/>
      <c r="C39" s="6"/>
      <c r="D39" s="6"/>
      <c r="E39" s="6"/>
      <c r="F39" s="6"/>
      <c r="G39" s="6"/>
      <c r="H39" s="6"/>
      <c r="I39" s="6"/>
      <c r="J39" s="6"/>
      <c r="K39" s="6"/>
      <c r="L39" s="19"/>
      <c r="N39" s="165">
        <f>N35*G9</f>
        <v>1155099.065344316</v>
      </c>
    </row>
    <row r="40" spans="1:14" x14ac:dyDescent="0.25">
      <c r="A40" s="18"/>
      <c r="B40" s="116" t="s">
        <v>146</v>
      </c>
      <c r="C40" s="116" t="s">
        <v>147</v>
      </c>
      <c r="D40" s="6"/>
      <c r="E40" s="35"/>
      <c r="F40" s="36"/>
      <c r="G40" s="37"/>
      <c r="H40" s="252" t="s">
        <v>146</v>
      </c>
      <c r="I40" s="252"/>
      <c r="J40" s="37"/>
      <c r="K40" s="42"/>
      <c r="L40" s="121"/>
    </row>
    <row r="41" spans="1:14" x14ac:dyDescent="0.25">
      <c r="A41" s="18"/>
      <c r="B41" s="13">
        <v>31</v>
      </c>
      <c r="C41" s="13" t="s">
        <v>150</v>
      </c>
      <c r="D41" s="6"/>
      <c r="E41" s="33" t="s">
        <v>148</v>
      </c>
      <c r="F41" s="116">
        <v>31</v>
      </c>
      <c r="G41" s="116">
        <v>30</v>
      </c>
      <c r="H41" s="116">
        <v>29</v>
      </c>
      <c r="I41" s="116">
        <v>28</v>
      </c>
      <c r="J41" s="116">
        <v>27</v>
      </c>
      <c r="K41" s="116">
        <v>26</v>
      </c>
      <c r="L41" s="122"/>
      <c r="M41" s="72" t="s">
        <v>4</v>
      </c>
      <c r="N41" s="4" t="s">
        <v>427</v>
      </c>
    </row>
    <row r="42" spans="1:14" x14ac:dyDescent="0.25">
      <c r="A42" s="18"/>
      <c r="B42" s="13">
        <v>30</v>
      </c>
      <c r="C42" s="13" t="s">
        <v>149</v>
      </c>
      <c r="D42" s="6"/>
      <c r="E42" s="124">
        <v>1.5</v>
      </c>
      <c r="F42" s="49">
        <v>0.18759999999999999</v>
      </c>
      <c r="G42" s="49">
        <v>0.1764</v>
      </c>
      <c r="H42" s="49">
        <v>0.16489999999999999</v>
      </c>
      <c r="I42" s="49">
        <v>0.15290000000000001</v>
      </c>
      <c r="J42" s="49">
        <v>0.14419999999999999</v>
      </c>
      <c r="K42" s="49">
        <v>0.1343</v>
      </c>
      <c r="L42" s="123"/>
      <c r="N42" s="4" t="s">
        <v>428</v>
      </c>
    </row>
    <row r="43" spans="1:14" x14ac:dyDescent="0.25">
      <c r="A43" s="18"/>
      <c r="B43" s="13">
        <v>29</v>
      </c>
      <c r="C43" s="13" t="s">
        <v>151</v>
      </c>
      <c r="D43" s="6"/>
      <c r="E43" s="124">
        <v>1.75</v>
      </c>
      <c r="F43" s="49">
        <v>0.14899999999999999</v>
      </c>
      <c r="G43" s="49">
        <v>0.1376</v>
      </c>
      <c r="H43" s="49">
        <v>0.12570000000000001</v>
      </c>
      <c r="I43" s="49">
        <v>0.11310000000000001</v>
      </c>
      <c r="J43" s="49">
        <v>0.1048</v>
      </c>
      <c r="K43" s="49">
        <v>9.6299999999999997E-2</v>
      </c>
      <c r="L43" s="123"/>
      <c r="N43" s="4" t="s">
        <v>429</v>
      </c>
    </row>
    <row r="44" spans="1:14" x14ac:dyDescent="0.25">
      <c r="A44" s="18"/>
      <c r="B44" s="13">
        <v>28</v>
      </c>
      <c r="C44" s="13" t="s">
        <v>152</v>
      </c>
      <c r="D44" s="6"/>
      <c r="E44" s="124">
        <v>2</v>
      </c>
      <c r="F44" s="49">
        <v>0.1195</v>
      </c>
      <c r="G44" s="49">
        <v>0.10829999999999999</v>
      </c>
      <c r="H44" s="49">
        <v>9.64E-2</v>
      </c>
      <c r="I44" s="49">
        <v>8.3799999999999999E-2</v>
      </c>
      <c r="J44" s="49">
        <v>7.6200000000000004E-2</v>
      </c>
      <c r="K44" s="49">
        <v>6.9199999999999998E-2</v>
      </c>
      <c r="L44" s="123"/>
    </row>
    <row r="45" spans="1:14" x14ac:dyDescent="0.25">
      <c r="A45" s="18"/>
      <c r="B45" s="13">
        <v>27</v>
      </c>
      <c r="C45" s="13" t="s">
        <v>153</v>
      </c>
      <c r="D45" s="6"/>
      <c r="E45" s="124">
        <v>2.25</v>
      </c>
      <c r="F45" s="49">
        <v>9.6799999999999997E-2</v>
      </c>
      <c r="G45" s="49">
        <v>8.5900000000000004E-2</v>
      </c>
      <c r="H45" s="49">
        <v>7.4499999999999997E-2</v>
      </c>
      <c r="I45" s="49">
        <v>6.2300000000000001E-2</v>
      </c>
      <c r="J45" s="49">
        <v>5.5500000000000001E-2</v>
      </c>
      <c r="K45" s="49">
        <v>4.9700000000000001E-2</v>
      </c>
      <c r="L45" s="123"/>
      <c r="M45" s="72" t="s">
        <v>5</v>
      </c>
    </row>
    <row r="46" spans="1:14" x14ac:dyDescent="0.25">
      <c r="A46" s="18"/>
      <c r="B46" s="13">
        <v>26</v>
      </c>
      <c r="C46" s="13" t="s">
        <v>154</v>
      </c>
      <c r="D46" s="6"/>
      <c r="E46" s="124">
        <v>2.5</v>
      </c>
      <c r="F46" s="49">
        <v>7.9100000000000004E-2</v>
      </c>
      <c r="G46" s="49">
        <v>6.8699999999999997E-2</v>
      </c>
      <c r="H46" s="49">
        <v>5.79E-2</v>
      </c>
      <c r="I46" s="49">
        <v>4.65E-2</v>
      </c>
      <c r="J46" s="49">
        <v>4.0399999999999998E-2</v>
      </c>
      <c r="K46" s="49">
        <v>3.5700000000000003E-2</v>
      </c>
      <c r="L46" s="123"/>
    </row>
    <row r="47" spans="1:14" x14ac:dyDescent="0.25">
      <c r="A47" s="18"/>
      <c r="B47" s="6"/>
      <c r="C47" s="6"/>
      <c r="D47" s="6"/>
      <c r="E47" s="124">
        <v>2.75</v>
      </c>
      <c r="F47" s="49">
        <v>6.5199999999999994E-2</v>
      </c>
      <c r="G47" s="49">
        <v>5.5399999999999998E-2</v>
      </c>
      <c r="H47" s="49">
        <v>4.53E-2</v>
      </c>
      <c r="I47" s="49">
        <v>3.4700000000000002E-2</v>
      </c>
      <c r="J47" s="49">
        <v>2.9499999999999998E-2</v>
      </c>
      <c r="K47" s="49">
        <v>2.5700000000000001E-2</v>
      </c>
      <c r="L47" s="123"/>
      <c r="N47" s="4" t="str">
        <f>"= [ "&amp;TEXT(G9,"0,000") &amp;" * "&amp;TEXT(N35,"0.000")&amp;" * (1 + 7.5%) ] / ( 1 - 3.5% - 17% )"</f>
        <v>= [ 1,064,000 * 1.086 * (1 + 7.5%) ] / ( 1 - 3.5% - 17% )</v>
      </c>
    </row>
    <row r="48" spans="1:14" x14ac:dyDescent="0.25">
      <c r="A48" s="18"/>
      <c r="B48" s="6"/>
      <c r="C48" s="6"/>
      <c r="D48" s="6"/>
      <c r="E48" s="124">
        <v>3</v>
      </c>
      <c r="F48" s="49">
        <v>5.4100000000000002E-2</v>
      </c>
      <c r="G48" s="49">
        <v>4.4999999999999998E-2</v>
      </c>
      <c r="H48" s="49">
        <v>3.56E-2</v>
      </c>
      <c r="I48" s="49">
        <v>2.5999999999999999E-2</v>
      </c>
      <c r="J48" s="49">
        <v>2.1499999999999998E-2</v>
      </c>
      <c r="K48" s="49">
        <v>1.8499999999999999E-2</v>
      </c>
      <c r="L48" s="123"/>
      <c r="N48" s="165">
        <f>(G9*N35*(1+7.5%))/(1-3.5%-17%)</f>
        <v>1561926.4091133832</v>
      </c>
    </row>
    <row r="49" spans="1:15" x14ac:dyDescent="0.25">
      <c r="A49" s="18"/>
      <c r="B49" s="6"/>
      <c r="C49" s="6"/>
      <c r="D49" s="6"/>
      <c r="E49" s="124">
        <v>3.25</v>
      </c>
      <c r="F49" s="49">
        <v>4.5199999999999997E-2</v>
      </c>
      <c r="G49" s="49">
        <v>3.6700000000000003E-2</v>
      </c>
      <c r="H49" s="49">
        <v>2.8199999999999999E-2</v>
      </c>
      <c r="I49" s="49">
        <v>1.9599999999999999E-2</v>
      </c>
      <c r="J49" s="49">
        <v>1.5699999999999999E-2</v>
      </c>
      <c r="K49" s="49">
        <v>1.3299999999999999E-2</v>
      </c>
      <c r="L49" s="123"/>
    </row>
    <row r="50" spans="1:15" x14ac:dyDescent="0.25">
      <c r="A50" s="18"/>
      <c r="B50" s="6"/>
      <c r="C50" s="6"/>
      <c r="D50" s="6"/>
      <c r="E50" s="124">
        <v>3.5</v>
      </c>
      <c r="F50" s="49">
        <v>3.7999999999999999E-2</v>
      </c>
      <c r="G50" s="49">
        <v>3.0200000000000001E-2</v>
      </c>
      <c r="H50" s="49">
        <v>2.24E-2</v>
      </c>
      <c r="I50" s="49">
        <v>1.4800000000000001E-2</v>
      </c>
      <c r="J50" s="49">
        <v>1.15E-2</v>
      </c>
      <c r="K50" s="49">
        <v>9.5999999999999992E-3</v>
      </c>
      <c r="L50" s="123"/>
      <c r="M50" s="72" t="s">
        <v>6</v>
      </c>
      <c r="N50" s="4" t="s">
        <v>430</v>
      </c>
    </row>
    <row r="51" spans="1:15" x14ac:dyDescent="0.25">
      <c r="A51" s="18"/>
      <c r="B51" s="6"/>
      <c r="C51" s="6"/>
      <c r="D51" s="6"/>
      <c r="E51" s="124">
        <v>3.75</v>
      </c>
      <c r="F51" s="49">
        <v>3.2099999999999997E-2</v>
      </c>
      <c r="G51" s="49">
        <v>2.5000000000000001E-2</v>
      </c>
      <c r="H51" s="49">
        <v>1.7899999999999999E-2</v>
      </c>
      <c r="I51" s="49">
        <v>1.11E-2</v>
      </c>
      <c r="J51" s="49">
        <v>8.3999999999999995E-3</v>
      </c>
      <c r="K51" s="49">
        <v>6.8999999999999999E-3</v>
      </c>
      <c r="L51" s="123"/>
      <c r="N51" s="4" t="str">
        <f>"loss is "&amp;TEXT(N39,"#,###.00")</f>
        <v>loss is 1,155,099.07</v>
      </c>
    </row>
    <row r="52" spans="1:15" x14ac:dyDescent="0.25">
      <c r="A52" s="18"/>
      <c r="B52" s="6"/>
      <c r="C52" s="6"/>
      <c r="D52" s="6"/>
      <c r="E52" s="124">
        <v>4</v>
      </c>
      <c r="F52" s="49">
        <v>2.7300000000000001E-2</v>
      </c>
      <c r="G52" s="49">
        <v>2.07E-2</v>
      </c>
      <c r="H52" s="49">
        <v>1.44E-2</v>
      </c>
      <c r="I52" s="49">
        <v>8.3999999999999995E-3</v>
      </c>
      <c r="J52" s="49">
        <v>6.1999999999999998E-3</v>
      </c>
      <c r="K52" s="49">
        <v>5.0000000000000001E-3</v>
      </c>
      <c r="L52" s="123"/>
      <c r="N52" s="4" t="s">
        <v>431</v>
      </c>
    </row>
    <row r="53" spans="1:15" x14ac:dyDescent="0.25">
      <c r="A53" s="18"/>
      <c r="B53" s="6"/>
      <c r="C53" s="6"/>
      <c r="D53" s="6"/>
      <c r="E53" s="6"/>
      <c r="F53" s="6"/>
      <c r="G53" s="6"/>
      <c r="H53" s="6"/>
      <c r="I53" s="6"/>
      <c r="J53" s="6"/>
      <c r="K53" s="6"/>
      <c r="L53" s="19"/>
    </row>
    <row r="54" spans="1:15" x14ac:dyDescent="0.25">
      <c r="A54" s="22" t="s">
        <v>2</v>
      </c>
      <c r="B54" s="6" t="s">
        <v>574</v>
      </c>
      <c r="C54" s="6"/>
      <c r="D54" s="6"/>
      <c r="E54" s="6"/>
      <c r="F54" s="6"/>
      <c r="G54" s="6"/>
      <c r="H54" s="6"/>
      <c r="I54" s="6"/>
      <c r="J54" s="6"/>
      <c r="K54" s="6"/>
      <c r="L54" s="19"/>
      <c r="N54" s="4" t="s">
        <v>432</v>
      </c>
    </row>
    <row r="55" spans="1:15" ht="15.75" thickBot="1" x14ac:dyDescent="0.3">
      <c r="A55" s="21">
        <f>INDEX('Point Grid'!$C$8:$I$26,MATCH($A$1,'Point Grid'!$A$8:$A$26,0),MATCH(A54,'Point Grid'!$C$7:$I$7,0))</f>
        <v>2.25</v>
      </c>
      <c r="B55" s="6" t="s">
        <v>135</v>
      </c>
      <c r="C55" s="6"/>
      <c r="D55" s="6"/>
      <c r="E55" s="6"/>
      <c r="F55" s="6"/>
      <c r="G55" s="6"/>
      <c r="H55" s="6"/>
      <c r="I55" s="6"/>
      <c r="J55" s="6"/>
      <c r="K55" s="6"/>
      <c r="L55" s="19"/>
      <c r="N55" s="4" t="s">
        <v>436</v>
      </c>
    </row>
    <row r="56" spans="1:15" ht="15.75" thickBot="1" x14ac:dyDescent="0.3">
      <c r="A56" s="5">
        <v>2.25</v>
      </c>
      <c r="B56" s="6"/>
      <c r="C56" s="6"/>
      <c r="D56" s="6"/>
      <c r="E56" s="6"/>
      <c r="F56" s="6"/>
      <c r="G56" s="6"/>
      <c r="H56" s="6"/>
      <c r="I56" s="6"/>
      <c r="J56" s="6"/>
      <c r="K56" s="6"/>
      <c r="L56" s="19"/>
      <c r="N56" s="4" t="s">
        <v>437</v>
      </c>
    </row>
    <row r="57" spans="1:15" x14ac:dyDescent="0.25">
      <c r="A57" s="18"/>
      <c r="B57" s="6"/>
      <c r="C57" s="6"/>
      <c r="D57" s="6"/>
      <c r="E57" s="6"/>
      <c r="F57" s="6"/>
      <c r="G57" s="6"/>
      <c r="H57" s="6"/>
      <c r="I57" s="6"/>
      <c r="J57" s="6"/>
      <c r="K57" s="6"/>
      <c r="L57" s="19"/>
      <c r="N57" s="4" t="s">
        <v>433</v>
      </c>
    </row>
    <row r="58" spans="1:15" x14ac:dyDescent="0.25">
      <c r="A58" s="22" t="s">
        <v>3</v>
      </c>
      <c r="B58" s="6" t="s">
        <v>136</v>
      </c>
      <c r="C58" s="6"/>
      <c r="D58" s="6"/>
      <c r="E58" s="6"/>
      <c r="F58" s="6"/>
      <c r="G58" s="6"/>
      <c r="H58" s="6"/>
      <c r="I58" s="6"/>
      <c r="J58" s="6"/>
      <c r="K58" s="6"/>
      <c r="L58" s="19"/>
      <c r="N58" s="92">
        <f>ROUND(2*10^6/N39,2)</f>
        <v>1.73</v>
      </c>
      <c r="O58" s="4" t="s">
        <v>438</v>
      </c>
    </row>
    <row r="59" spans="1:15" ht="15.75" thickBot="1" x14ac:dyDescent="0.3">
      <c r="A59" s="21">
        <f>INDEX('Point Grid'!$C$8:$I$26,MATCH($A$1,'Point Grid'!$A$8:$A$26,0),MATCH(A58,'Point Grid'!$C$7:$I$7,0))</f>
        <v>1.5</v>
      </c>
      <c r="B59" s="6"/>
      <c r="C59" s="6"/>
      <c r="D59" s="6"/>
      <c r="E59" s="6"/>
      <c r="F59" s="6"/>
      <c r="G59" s="6"/>
      <c r="H59" s="6"/>
      <c r="I59" s="6"/>
      <c r="J59" s="6"/>
      <c r="K59" s="6"/>
      <c r="L59" s="19"/>
      <c r="N59" s="4" t="s">
        <v>435</v>
      </c>
    </row>
    <row r="60" spans="1:15" ht="15.75" thickBot="1" x14ac:dyDescent="0.3">
      <c r="A60" s="5">
        <v>1.5</v>
      </c>
      <c r="B60" s="6"/>
      <c r="C60" s="6"/>
      <c r="D60" s="6"/>
      <c r="E60" s="6"/>
      <c r="F60" s="6"/>
      <c r="G60" s="6"/>
      <c r="H60" s="6"/>
      <c r="I60" s="6"/>
      <c r="J60" s="6"/>
      <c r="K60" s="6"/>
      <c r="L60" s="19"/>
      <c r="N60" s="93">
        <f>ROUND(4*10^6/N39,2)</f>
        <v>3.46</v>
      </c>
      <c r="O60" s="4" t="s">
        <v>439</v>
      </c>
    </row>
    <row r="61" spans="1:15" x14ac:dyDescent="0.25">
      <c r="A61" s="18"/>
      <c r="B61" s="6"/>
      <c r="C61" s="6"/>
      <c r="D61" s="6"/>
      <c r="E61" s="6"/>
      <c r="F61" s="6"/>
      <c r="G61" s="6"/>
      <c r="H61" s="6"/>
      <c r="I61" s="6"/>
      <c r="J61" s="6"/>
      <c r="K61" s="6"/>
      <c r="L61" s="19"/>
      <c r="N61" s="4" t="s">
        <v>440</v>
      </c>
    </row>
    <row r="62" spans="1:15" x14ac:dyDescent="0.25">
      <c r="A62" s="22" t="s">
        <v>4</v>
      </c>
      <c r="B62" s="6" t="s">
        <v>137</v>
      </c>
      <c r="C62" s="6"/>
      <c r="D62" s="6"/>
      <c r="E62" s="6"/>
      <c r="F62" s="6"/>
      <c r="G62" s="6"/>
      <c r="H62" s="6"/>
      <c r="I62" s="6"/>
      <c r="J62" s="6"/>
      <c r="K62" s="6"/>
      <c r="L62" s="19"/>
      <c r="N62" s="94" t="s">
        <v>441</v>
      </c>
    </row>
    <row r="63" spans="1:15" ht="15.75" thickBot="1" x14ac:dyDescent="0.3">
      <c r="A63" s="21">
        <f>INDEX('Point Grid'!$C$8:$I$26,MATCH($A$1,'Point Grid'!$A$8:$A$26,0),MATCH(A62,'Point Grid'!$C$7:$I$7,0))</f>
        <v>0.25</v>
      </c>
      <c r="B63" s="6" t="s">
        <v>138</v>
      </c>
      <c r="C63" s="6"/>
      <c r="D63" s="6"/>
      <c r="E63" s="6"/>
      <c r="F63" s="6"/>
      <c r="G63" s="6"/>
      <c r="H63" s="6"/>
      <c r="I63" s="6"/>
      <c r="J63" s="6"/>
      <c r="K63" s="6"/>
      <c r="L63" s="19"/>
      <c r="N63" s="94" t="s">
        <v>442</v>
      </c>
    </row>
    <row r="64" spans="1:15" ht="15.75" thickBot="1" x14ac:dyDescent="0.3">
      <c r="A64" s="5">
        <v>0.25</v>
      </c>
      <c r="B64" s="6" t="s">
        <v>139</v>
      </c>
      <c r="C64" s="6"/>
      <c r="D64" s="6"/>
      <c r="E64" s="6"/>
      <c r="F64" s="6"/>
      <c r="G64" s="6"/>
      <c r="H64" s="6"/>
      <c r="I64" s="6"/>
      <c r="J64" s="6"/>
      <c r="K64" s="6"/>
      <c r="L64" s="19"/>
    </row>
    <row r="65" spans="1:14" x14ac:dyDescent="0.25">
      <c r="A65" s="18"/>
      <c r="B65" s="6"/>
      <c r="C65" s="6"/>
      <c r="D65" s="6"/>
      <c r="E65" s="6"/>
      <c r="F65" s="6"/>
      <c r="G65" s="6"/>
      <c r="H65" s="6"/>
      <c r="I65" s="6"/>
      <c r="J65" s="6"/>
      <c r="K65" s="6"/>
      <c r="L65" s="19"/>
      <c r="N65" s="4" t="s">
        <v>443</v>
      </c>
    </row>
    <row r="66" spans="1:14" x14ac:dyDescent="0.25">
      <c r="A66" s="22" t="s">
        <v>5</v>
      </c>
      <c r="B66" s="6" t="s">
        <v>140</v>
      </c>
      <c r="C66" s="6"/>
      <c r="D66" s="6"/>
      <c r="E66" s="6"/>
      <c r="F66" s="6"/>
      <c r="G66" s="6"/>
      <c r="H66" s="6"/>
      <c r="I66" s="6"/>
      <c r="J66" s="6"/>
      <c r="K66" s="6"/>
      <c r="L66" s="19"/>
      <c r="N66" s="94" t="s">
        <v>444</v>
      </c>
    </row>
    <row r="67" spans="1:14" ht="15.75" thickBot="1" x14ac:dyDescent="0.3">
      <c r="A67" s="21">
        <f>INDEX('Point Grid'!$C$8:$I$26,MATCH($A$1,'Point Grid'!$A$8:$A$26,0),MATCH(A66,'Point Grid'!$C$7:$I$7,0))</f>
        <v>0.5</v>
      </c>
      <c r="B67" s="6"/>
      <c r="C67" s="6"/>
      <c r="D67" s="6"/>
      <c r="E67" s="6"/>
      <c r="F67" s="6"/>
      <c r="G67" s="6"/>
      <c r="H67" s="6"/>
      <c r="I67" s="6"/>
      <c r="J67" s="6"/>
      <c r="K67" s="6"/>
      <c r="L67" s="19"/>
      <c r="N67" s="166">
        <f>(I43-I50)*N39</f>
        <v>113546.23812334625</v>
      </c>
    </row>
    <row r="68" spans="1:14" ht="15.75" thickBot="1" x14ac:dyDescent="0.3">
      <c r="A68" s="5">
        <v>0.5</v>
      </c>
      <c r="B68" s="6"/>
      <c r="C68" s="6"/>
      <c r="D68" s="6"/>
      <c r="E68" s="6"/>
      <c r="F68" s="6"/>
      <c r="G68" s="6"/>
      <c r="H68" s="6"/>
      <c r="I68" s="6"/>
      <c r="J68" s="6"/>
      <c r="K68" s="6"/>
      <c r="L68" s="19"/>
    </row>
    <row r="69" spans="1:14" x14ac:dyDescent="0.25">
      <c r="A69" s="18"/>
      <c r="B69" s="6"/>
      <c r="C69" s="6"/>
      <c r="D69" s="6"/>
      <c r="E69" s="6"/>
      <c r="F69" s="6"/>
      <c r="G69" s="6"/>
      <c r="H69" s="6"/>
      <c r="I69" s="6"/>
      <c r="J69" s="6"/>
      <c r="K69" s="6"/>
      <c r="L69" s="19"/>
      <c r="M69" s="72" t="s">
        <v>7</v>
      </c>
      <c r="N69" s="4" t="s">
        <v>445</v>
      </c>
    </row>
    <row r="70" spans="1:14" x14ac:dyDescent="0.25">
      <c r="A70" s="22" t="s">
        <v>6</v>
      </c>
      <c r="B70" s="6" t="s">
        <v>434</v>
      </c>
      <c r="C70" s="6"/>
      <c r="D70" s="6"/>
      <c r="E70" s="6"/>
      <c r="F70" s="6"/>
      <c r="G70" s="6"/>
      <c r="H70" s="6"/>
      <c r="I70" s="6"/>
      <c r="J70" s="6"/>
      <c r="K70" s="6"/>
      <c r="L70" s="19"/>
      <c r="N70" s="4" t="str">
        <f>"and the loss in the layer is $200,000 - "&amp;TEXT(N67,"$0,000.00")</f>
        <v>and the loss in the layer is $200,000 - $113,546.24</v>
      </c>
    </row>
    <row r="71" spans="1:14" ht="15.75" thickBot="1" x14ac:dyDescent="0.3">
      <c r="A71" s="21">
        <f>INDEX('Point Grid'!$C$8:$I$26,MATCH($A$1,'Point Grid'!$A$8:$A$26,0),MATCH(A70,'Point Grid'!$C$7:$I$7,0))</f>
        <v>1.5</v>
      </c>
      <c r="B71" s="6" t="s">
        <v>155</v>
      </c>
      <c r="C71" s="6"/>
      <c r="D71" s="6"/>
      <c r="E71" s="6"/>
      <c r="F71" s="6"/>
      <c r="G71" s="6"/>
      <c r="H71" s="6"/>
      <c r="I71" s="6"/>
      <c r="J71" s="6"/>
      <c r="K71" s="6"/>
      <c r="L71" s="19"/>
      <c r="N71" s="4" t="s">
        <v>446</v>
      </c>
    </row>
    <row r="72" spans="1:14" ht="15.75" thickBot="1" x14ac:dyDescent="0.3">
      <c r="A72" s="5">
        <v>1.5</v>
      </c>
      <c r="B72" s="6"/>
      <c r="C72" s="6"/>
      <c r="D72" s="6"/>
      <c r="E72" s="6"/>
      <c r="F72" s="6"/>
      <c r="G72" s="6"/>
      <c r="H72" s="6"/>
      <c r="I72" s="6"/>
      <c r="J72" s="6"/>
      <c r="K72" s="6"/>
      <c r="L72" s="19"/>
      <c r="N72" s="4" t="s">
        <v>447</v>
      </c>
    </row>
    <row r="73" spans="1:14" x14ac:dyDescent="0.25">
      <c r="A73" s="18"/>
      <c r="B73" s="6"/>
      <c r="C73" s="6"/>
      <c r="D73" s="6"/>
      <c r="E73" s="6"/>
      <c r="F73" s="6"/>
      <c r="G73" s="6"/>
      <c r="H73" s="6"/>
      <c r="I73" s="6"/>
      <c r="J73" s="6"/>
      <c r="K73" s="6"/>
      <c r="L73" s="19"/>
      <c r="N73" s="4" t="s">
        <v>448</v>
      </c>
    </row>
    <row r="74" spans="1:14" x14ac:dyDescent="0.25">
      <c r="A74" s="22" t="s">
        <v>7</v>
      </c>
      <c r="B74" s="6" t="s">
        <v>156</v>
      </c>
      <c r="C74" s="6"/>
      <c r="D74" s="6"/>
      <c r="E74" s="6"/>
      <c r="F74" s="6"/>
      <c r="G74" s="6"/>
      <c r="H74" s="6"/>
      <c r="I74" s="6"/>
      <c r="J74" s="6"/>
      <c r="K74" s="6"/>
      <c r="L74" s="19"/>
      <c r="N74" s="4" t="str">
        <f>TEXT(N48,"0,000.00") &amp;" + ["&amp;TEXT(200000-N67,"0,000.00")&amp;" / (1 - 3.5% - 17%)]"</f>
        <v>1,561,926.41 + [86,453.76 / (1 - 3.5% - 17%)]</v>
      </c>
    </row>
    <row r="75" spans="1:14" ht="15.75" thickBot="1" x14ac:dyDescent="0.3">
      <c r="A75" s="21">
        <f>INDEX('Point Grid'!$C$8:$I$26,MATCH($A$1,'Point Grid'!$A$8:$A$26,0),MATCH(A74,'Point Grid'!$C$7:$I$7,0))</f>
        <v>1</v>
      </c>
      <c r="B75" s="6" t="s">
        <v>157</v>
      </c>
      <c r="C75" s="6"/>
      <c r="D75" s="6"/>
      <c r="E75" s="6"/>
      <c r="F75" s="6"/>
      <c r="G75" s="6"/>
      <c r="H75" s="6"/>
      <c r="I75" s="6"/>
      <c r="J75" s="6"/>
      <c r="K75" s="6"/>
      <c r="L75" s="19"/>
      <c r="N75" s="166">
        <f>N48+(200000-N67)/(1-3.5%-17%)</f>
        <v>1670673.2793984823</v>
      </c>
    </row>
    <row r="76" spans="1:14" ht="15.75" thickBot="1" x14ac:dyDescent="0.3">
      <c r="A76" s="5">
        <v>1</v>
      </c>
      <c r="B76" s="6"/>
      <c r="C76" s="6"/>
      <c r="D76" s="6"/>
      <c r="E76" s="6"/>
      <c r="F76" s="6"/>
      <c r="G76" s="6"/>
      <c r="H76" s="6"/>
      <c r="I76" s="6"/>
      <c r="J76" s="6"/>
      <c r="K76" s="6"/>
      <c r="L76" s="19"/>
    </row>
    <row r="77" spans="1:14" x14ac:dyDescent="0.25">
      <c r="A77" s="18"/>
      <c r="B77" s="6"/>
      <c r="C77" s="6"/>
      <c r="D77" s="6"/>
      <c r="E77" s="6"/>
      <c r="F77" s="6"/>
      <c r="G77" s="6"/>
      <c r="H77" s="6"/>
      <c r="I77" s="6"/>
      <c r="J77" s="6"/>
      <c r="K77" s="6"/>
      <c r="L77" s="19"/>
      <c r="M77" s="72" t="s">
        <v>8</v>
      </c>
      <c r="N77" s="4" t="s">
        <v>449</v>
      </c>
    </row>
    <row r="78" spans="1:14" x14ac:dyDescent="0.25">
      <c r="A78" s="22" t="s">
        <v>8</v>
      </c>
      <c r="B78" s="6" t="s">
        <v>158</v>
      </c>
      <c r="C78" s="6"/>
      <c r="D78" s="6"/>
      <c r="E78" s="6"/>
      <c r="F78" s="6"/>
      <c r="G78" s="6"/>
      <c r="H78" s="6"/>
      <c r="I78" s="6"/>
      <c r="J78" s="6"/>
      <c r="K78" s="6"/>
      <c r="L78" s="19"/>
      <c r="N78" s="4" t="s">
        <v>450</v>
      </c>
    </row>
    <row r="79" spans="1:14" ht="15.75" thickBot="1" x14ac:dyDescent="0.3">
      <c r="A79" s="21">
        <f>INDEX('Point Grid'!$C$8:$I$26,MATCH($A$1,'Point Grid'!$A$8:$A$26,0),MATCH(A78,'Point Grid'!$C$7:$I$7,0))</f>
        <v>0.5</v>
      </c>
      <c r="B79" s="6" t="s">
        <v>159</v>
      </c>
      <c r="C79" s="6"/>
      <c r="D79" s="6"/>
      <c r="E79" s="6"/>
      <c r="F79" s="6"/>
      <c r="G79" s="6"/>
      <c r="H79" s="6"/>
      <c r="I79" s="6"/>
      <c r="J79" s="6"/>
      <c r="K79" s="6"/>
      <c r="L79" s="19"/>
      <c r="N79" s="4" t="s">
        <v>451</v>
      </c>
    </row>
    <row r="80" spans="1:14" ht="15.75" thickBot="1" x14ac:dyDescent="0.3">
      <c r="A80" s="5">
        <v>0.5</v>
      </c>
      <c r="B80" s="24"/>
      <c r="C80" s="24"/>
      <c r="D80" s="24"/>
      <c r="E80" s="24"/>
      <c r="F80" s="24"/>
      <c r="G80" s="24"/>
      <c r="H80" s="24"/>
      <c r="I80" s="24"/>
      <c r="J80" s="24"/>
      <c r="K80" s="24"/>
      <c r="L80" s="25"/>
      <c r="N80" s="4" t="s">
        <v>452</v>
      </c>
    </row>
    <row r="81" spans="14:14" x14ac:dyDescent="0.25">
      <c r="N81" s="4" t="s">
        <v>453</v>
      </c>
    </row>
    <row r="82" spans="14:14" x14ac:dyDescent="0.25">
      <c r="N82" s="4" t="s">
        <v>454</v>
      </c>
    </row>
    <row r="83" spans="14:14" x14ac:dyDescent="0.25">
      <c r="N83" s="4" t="s">
        <v>455</v>
      </c>
    </row>
    <row r="84" spans="14:14" x14ac:dyDescent="0.25">
      <c r="N84" s="4" t="s">
        <v>456</v>
      </c>
    </row>
  </sheetData>
  <sheetProtection formatCells="0" formatColumns="0" formatRows="0"/>
  <mergeCells count="16">
    <mergeCell ref="P26:P27"/>
    <mergeCell ref="Q26:Q27"/>
    <mergeCell ref="G6:H6"/>
    <mergeCell ref="G7:H7"/>
    <mergeCell ref="G8:H8"/>
    <mergeCell ref="G9:H9"/>
    <mergeCell ref="K1:L1"/>
    <mergeCell ref="F1:G1"/>
    <mergeCell ref="D21:E21"/>
    <mergeCell ref="D22:E22"/>
    <mergeCell ref="H40:I40"/>
    <mergeCell ref="D13:E13"/>
    <mergeCell ref="D14:E14"/>
    <mergeCell ref="D15:E15"/>
    <mergeCell ref="D16:E16"/>
    <mergeCell ref="D20:E20"/>
  </mergeCells>
  <conditionalFormatting sqref="B1">
    <cfRule type="cellIs" dxfId="48" priority="1" operator="equal">
      <formula>"Incomplete"</formula>
    </cfRule>
    <cfRule type="cellIs" dxfId="47" priority="2" operator="equal">
      <formula>"Flag for Review"</formula>
    </cfRule>
    <cfRule type="cellIs" dxfId="46" priority="3" operator="equal">
      <formula>"Finished"</formula>
    </cfRule>
  </conditionalFormatting>
  <dataValidations count="2">
    <dataValidation type="decimal" allowBlank="1" showInputMessage="1" showErrorMessage="1" sqref="A56 A60 A64 A68 A72 A76 A80" xr:uid="{B0EC8C3E-D841-4642-9598-5FF1DD8D31F4}">
      <formula1>0</formula1>
      <formula2>A55</formula2>
    </dataValidation>
    <dataValidation type="list" allowBlank="1" showInputMessage="1" showErrorMessage="1" sqref="B1" xr:uid="{8DC6A9CD-CF15-4D5B-B04A-16D3C831B9AE}">
      <formula1>"Finished, Flag for Review, Incomplete"</formula1>
    </dataValidation>
  </dataValidations>
  <hyperlinks>
    <hyperlink ref="K1" location="Navigator!A1" display="Navigator" xr:uid="{B2655EE7-0570-4879-95FD-4A280BA69F49}"/>
    <hyperlink ref="F1:G1" location="'Formula Sheet'!A1" display="Formula Sheet" xr:uid="{67895096-1DFD-4916-8D81-194C5CCB91B1}"/>
  </hyperlink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CBC35-A01B-4CFF-AF2A-24F0425533F6}">
  <sheetPr codeName="Sheet10"/>
  <dimension ref="A1:L20"/>
  <sheetViews>
    <sheetView workbookViewId="0"/>
  </sheetViews>
  <sheetFormatPr defaultColWidth="9.140625" defaultRowHeight="15" x14ac:dyDescent="0.25"/>
  <cols>
    <col min="1" max="1" width="6.5703125" style="4" bestFit="1" customWidth="1"/>
    <col min="2" max="2" width="16" style="4" bestFit="1" customWidth="1"/>
    <col min="3" max="3" width="12.42578125" style="4" bestFit="1" customWidth="1"/>
    <col min="4" max="5" width="14.28515625" style="4" customWidth="1"/>
    <col min="6" max="6" width="9.140625" style="4"/>
    <col min="7" max="7" width="15.7109375" style="4" customWidth="1"/>
    <col min="8" max="8" width="3.7109375" style="72" customWidth="1"/>
    <col min="9" max="9" width="10.85546875" style="4" customWidth="1"/>
    <col min="10" max="10" width="9.140625" style="4"/>
    <col min="11" max="11" width="11.7109375" style="4" customWidth="1"/>
    <col min="12" max="12" width="6.5703125" style="4" bestFit="1" customWidth="1"/>
    <col min="13" max="16384" width="9.140625" style="4"/>
  </cols>
  <sheetData>
    <row r="1" spans="1:12" ht="15.75" x14ac:dyDescent="0.25">
      <c r="A1" s="16">
        <v>8</v>
      </c>
      <c r="B1" s="15" t="s">
        <v>362</v>
      </c>
      <c r="C1" s="139" t="s">
        <v>600</v>
      </c>
      <c r="D1" s="138" t="s">
        <v>605</v>
      </c>
      <c r="E1" s="17"/>
      <c r="F1" s="17"/>
      <c r="G1" s="133" t="s">
        <v>596</v>
      </c>
      <c r="H1" s="125"/>
      <c r="I1" s="130" t="s">
        <v>310</v>
      </c>
    </row>
    <row r="2" spans="1:12" x14ac:dyDescent="0.25">
      <c r="A2" s="18"/>
      <c r="B2" s="6"/>
      <c r="C2" s="6"/>
      <c r="D2" s="6"/>
      <c r="E2" s="6"/>
      <c r="F2" s="6"/>
      <c r="G2" s="19"/>
      <c r="H2" s="72" t="s">
        <v>2</v>
      </c>
      <c r="I2" s="4" t="s">
        <v>457</v>
      </c>
      <c r="L2" s="81">
        <f>D15/D13</f>
        <v>2.6595744680851063</v>
      </c>
    </row>
    <row r="3" spans="1:12" x14ac:dyDescent="0.25">
      <c r="A3" s="20" t="s">
        <v>14</v>
      </c>
      <c r="B3" s="6" t="s">
        <v>160</v>
      </c>
      <c r="C3" s="6"/>
      <c r="D3" s="6"/>
      <c r="E3" s="6"/>
      <c r="F3" s="6"/>
      <c r="G3" s="19"/>
      <c r="I3" s="4" t="s">
        <v>458</v>
      </c>
      <c r="L3" s="81">
        <f>D16/D13</f>
        <v>3.7234042553191489</v>
      </c>
    </row>
    <row r="4" spans="1:12" x14ac:dyDescent="0.25">
      <c r="A4" s="21">
        <f>INDEX('Point Grid'!B:B,MATCH('8'!A1,'Point Grid'!A:A,0))</f>
        <v>1.5</v>
      </c>
      <c r="B4" s="6" t="s">
        <v>161</v>
      </c>
      <c r="C4" s="6"/>
      <c r="D4" s="6"/>
      <c r="E4" s="6"/>
      <c r="F4" s="6"/>
      <c r="G4" s="19"/>
    </row>
    <row r="5" spans="1:12" x14ac:dyDescent="0.25">
      <c r="A5" s="18"/>
      <c r="B5" s="6" t="s">
        <v>162</v>
      </c>
      <c r="C5" s="6"/>
      <c r="D5" s="6"/>
      <c r="E5" s="6"/>
      <c r="F5" s="6"/>
      <c r="G5" s="19"/>
      <c r="I5" s="4" t="s">
        <v>459</v>
      </c>
    </row>
    <row r="6" spans="1:12" x14ac:dyDescent="0.25">
      <c r="A6" s="18"/>
      <c r="B6" s="6" t="s">
        <v>163</v>
      </c>
      <c r="C6" s="6"/>
      <c r="D6" s="6"/>
      <c r="E6" s="6"/>
      <c r="F6" s="6"/>
      <c r="G6" s="19"/>
      <c r="I6" s="95">
        <f>65000*(L3-L2)</f>
        <v>69148.936170212764</v>
      </c>
    </row>
    <row r="7" spans="1:12" x14ac:dyDescent="0.25">
      <c r="A7" s="18"/>
      <c r="B7" s="6" t="s">
        <v>164</v>
      </c>
      <c r="C7" s="6"/>
      <c r="D7" s="6"/>
      <c r="E7" s="6"/>
      <c r="F7" s="6"/>
      <c r="G7" s="19"/>
    </row>
    <row r="8" spans="1:12" x14ac:dyDescent="0.25">
      <c r="A8" s="18"/>
      <c r="B8" s="6" t="s">
        <v>165</v>
      </c>
      <c r="C8" s="6"/>
      <c r="D8" s="6"/>
      <c r="E8" s="6"/>
      <c r="F8" s="6"/>
      <c r="G8" s="19"/>
      <c r="I8" s="4" t="s">
        <v>460</v>
      </c>
    </row>
    <row r="9" spans="1:12" x14ac:dyDescent="0.25">
      <c r="A9" s="18"/>
      <c r="B9" s="6" t="s">
        <v>166</v>
      </c>
      <c r="C9" s="6"/>
      <c r="D9" s="6"/>
      <c r="E9" s="6"/>
      <c r="F9" s="6"/>
      <c r="G9" s="19"/>
      <c r="I9" s="167">
        <f>(I6*(1+20%)*(1+1.5%))/(1-15%-2.5%)</f>
        <v>102088.9748549323</v>
      </c>
    </row>
    <row r="10" spans="1:12" x14ac:dyDescent="0.25">
      <c r="A10" s="18"/>
      <c r="B10" s="6" t="s">
        <v>167</v>
      </c>
      <c r="C10" s="6"/>
      <c r="D10" s="6"/>
      <c r="E10" s="6"/>
      <c r="F10" s="6"/>
      <c r="G10" s="19"/>
    </row>
    <row r="11" spans="1:12" x14ac:dyDescent="0.25">
      <c r="A11" s="18"/>
      <c r="B11" s="6" t="s">
        <v>168</v>
      </c>
      <c r="C11" s="6"/>
      <c r="D11" s="6"/>
      <c r="E11" s="6"/>
      <c r="F11" s="6"/>
      <c r="G11" s="19"/>
    </row>
    <row r="12" spans="1:12" x14ac:dyDescent="0.25">
      <c r="A12" s="18"/>
      <c r="B12" s="6"/>
      <c r="C12" s="116" t="s">
        <v>169</v>
      </c>
      <c r="D12" s="116" t="s">
        <v>170</v>
      </c>
      <c r="E12" s="6"/>
      <c r="F12" s="6"/>
      <c r="G12" s="19"/>
    </row>
    <row r="13" spans="1:12" x14ac:dyDescent="0.25">
      <c r="A13" s="18"/>
      <c r="B13" s="6"/>
      <c r="C13" s="14">
        <v>100000</v>
      </c>
      <c r="D13" s="14">
        <v>58750</v>
      </c>
      <c r="E13" s="6"/>
      <c r="F13" s="6"/>
      <c r="G13" s="19"/>
    </row>
    <row r="14" spans="1:12" x14ac:dyDescent="0.25">
      <c r="A14" s="18"/>
      <c r="B14" s="6"/>
      <c r="C14" s="14">
        <v>200000</v>
      </c>
      <c r="D14" s="14">
        <v>100000</v>
      </c>
      <c r="E14" s="6"/>
      <c r="F14" s="6"/>
      <c r="G14" s="19"/>
    </row>
    <row r="15" spans="1:12" x14ac:dyDescent="0.25">
      <c r="A15" s="18"/>
      <c r="B15" s="6"/>
      <c r="C15" s="14">
        <v>500000</v>
      </c>
      <c r="D15" s="14">
        <v>156250</v>
      </c>
      <c r="E15" s="6"/>
      <c r="F15" s="6"/>
      <c r="G15" s="19"/>
    </row>
    <row r="16" spans="1:12" x14ac:dyDescent="0.25">
      <c r="A16" s="18"/>
      <c r="B16" s="6"/>
      <c r="C16" s="14">
        <v>1000000</v>
      </c>
      <c r="D16" s="14">
        <v>218750</v>
      </c>
      <c r="E16" s="6"/>
      <c r="F16" s="6"/>
      <c r="G16" s="19"/>
    </row>
    <row r="17" spans="1:7" x14ac:dyDescent="0.25">
      <c r="A17" s="18"/>
      <c r="B17" s="6"/>
      <c r="C17" s="6"/>
      <c r="D17" s="6"/>
      <c r="E17" s="6"/>
      <c r="F17" s="6"/>
      <c r="G17" s="19"/>
    </row>
    <row r="18" spans="1:7" x14ac:dyDescent="0.25">
      <c r="A18" s="22" t="s">
        <v>2</v>
      </c>
      <c r="B18" s="6" t="s">
        <v>171</v>
      </c>
      <c r="C18" s="6"/>
      <c r="D18" s="6"/>
      <c r="E18" s="6"/>
      <c r="F18" s="6"/>
      <c r="G18" s="19"/>
    </row>
    <row r="19" spans="1:7" ht="15.75" thickBot="1" x14ac:dyDescent="0.3">
      <c r="A19" s="21">
        <f>INDEX('Point Grid'!$C$8:$I$26,MATCH($A$1,'Point Grid'!$A$8:$A$26,0),MATCH(A18,'Point Grid'!$C$7:$I$7,0))</f>
        <v>1.5</v>
      </c>
      <c r="B19" s="6"/>
      <c r="C19" s="6"/>
      <c r="D19" s="6"/>
      <c r="E19" s="6"/>
      <c r="F19" s="6"/>
      <c r="G19" s="19"/>
    </row>
    <row r="20" spans="1:7" ht="15.75" thickBot="1" x14ac:dyDescent="0.3">
      <c r="A20" s="5">
        <v>1.5</v>
      </c>
      <c r="B20" s="24"/>
      <c r="C20" s="24"/>
      <c r="D20" s="24"/>
      <c r="E20" s="24"/>
      <c r="F20" s="24"/>
      <c r="G20" s="25"/>
    </row>
  </sheetData>
  <sheetProtection formatCells="0" formatColumns="0" formatRows="0"/>
  <conditionalFormatting sqref="B1">
    <cfRule type="cellIs" dxfId="45" priority="1" operator="equal">
      <formula>"Incomplete"</formula>
    </cfRule>
    <cfRule type="cellIs" dxfId="44" priority="2" operator="equal">
      <formula>"Flag for Review"</formula>
    </cfRule>
    <cfRule type="cellIs" dxfId="43" priority="3" operator="equal">
      <formula>"Finished"</formula>
    </cfRule>
  </conditionalFormatting>
  <dataValidations count="2">
    <dataValidation type="decimal" allowBlank="1" showInputMessage="1" showErrorMessage="1" sqref="A20" xr:uid="{3D6138EB-1F11-482F-91AD-929986C48A70}">
      <formula1>0</formula1>
      <formula2>A19</formula2>
    </dataValidation>
    <dataValidation type="list" allowBlank="1" showInputMessage="1" showErrorMessage="1" sqref="B1" xr:uid="{E30F0E99-54A8-47AE-BF7C-220709EDA985}">
      <formula1>"Finished, Flag for Review, Incomplete"</formula1>
    </dataValidation>
  </dataValidations>
  <hyperlinks>
    <hyperlink ref="G1" location="Navigator!A1" display="Navigator" xr:uid="{6DC59BC4-1538-4580-8808-FAFA9CF335C8}"/>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31AB0-FD86-41DA-A15C-B457059CF58A}">
  <sheetPr codeName="Sheet11"/>
  <dimension ref="A1:I16"/>
  <sheetViews>
    <sheetView workbookViewId="0"/>
  </sheetViews>
  <sheetFormatPr defaultColWidth="9.140625" defaultRowHeight="15" x14ac:dyDescent="0.25"/>
  <cols>
    <col min="1" max="1" width="6.5703125" style="4" bestFit="1" customWidth="1"/>
    <col min="2" max="2" width="16" style="4" bestFit="1" customWidth="1"/>
    <col min="3" max="3" width="12.42578125" style="4" bestFit="1" customWidth="1"/>
    <col min="4" max="4" width="20.42578125" style="4" customWidth="1"/>
    <col min="5" max="5" width="21.42578125" style="4" customWidth="1"/>
    <col min="6" max="6" width="11.5703125" style="4" customWidth="1"/>
    <col min="7" max="7" width="9.28515625" style="4" customWidth="1"/>
    <col min="8" max="8" width="3.140625" style="4" customWidth="1"/>
    <col min="9" max="16384" width="9.140625" style="4"/>
  </cols>
  <sheetData>
    <row r="1" spans="1:9" ht="15.75" x14ac:dyDescent="0.25">
      <c r="A1" s="16">
        <v>9</v>
      </c>
      <c r="B1" s="15" t="s">
        <v>362</v>
      </c>
      <c r="C1" s="139" t="s">
        <v>600</v>
      </c>
      <c r="D1" s="138" t="s">
        <v>606</v>
      </c>
      <c r="E1" s="17"/>
      <c r="F1" s="17"/>
      <c r="G1" s="133" t="s">
        <v>596</v>
      </c>
      <c r="H1" s="69"/>
      <c r="I1" s="130" t="s">
        <v>310</v>
      </c>
    </row>
    <row r="2" spans="1:9" x14ac:dyDescent="0.25">
      <c r="A2" s="18"/>
      <c r="B2" s="6"/>
      <c r="C2" s="6"/>
      <c r="D2" s="6"/>
      <c r="E2" s="6"/>
      <c r="F2" s="6"/>
      <c r="G2" s="19"/>
      <c r="H2" s="4" t="s">
        <v>2</v>
      </c>
      <c r="I2" s="4" t="s">
        <v>461</v>
      </c>
    </row>
    <row r="3" spans="1:9" x14ac:dyDescent="0.25">
      <c r="A3" s="20" t="s">
        <v>14</v>
      </c>
      <c r="B3" s="6" t="s">
        <v>172</v>
      </c>
      <c r="C3" s="6"/>
      <c r="D3" s="6"/>
      <c r="E3" s="6"/>
      <c r="F3" s="6"/>
      <c r="G3" s="19"/>
      <c r="I3" s="4" t="s">
        <v>462</v>
      </c>
    </row>
    <row r="4" spans="1:9" x14ac:dyDescent="0.25">
      <c r="A4" s="21">
        <f>INDEX('Point Grid'!B:B,MATCH('9'!A1,'Point Grid'!A:A,0))</f>
        <v>1</v>
      </c>
      <c r="B4" s="6" t="s">
        <v>173</v>
      </c>
      <c r="C4" s="6"/>
      <c r="D4" s="6"/>
      <c r="E4" s="6"/>
      <c r="F4" s="6"/>
      <c r="G4" s="19"/>
      <c r="I4" s="4" t="s">
        <v>463</v>
      </c>
    </row>
    <row r="5" spans="1:9" x14ac:dyDescent="0.25">
      <c r="A5" s="18"/>
      <c r="B5" s="6" t="s">
        <v>47</v>
      </c>
      <c r="C5" s="6"/>
      <c r="D5" s="6"/>
      <c r="E5" s="6"/>
      <c r="F5" s="6"/>
      <c r="G5" s="19"/>
      <c r="I5" s="4" t="s">
        <v>464</v>
      </c>
    </row>
    <row r="6" spans="1:9" x14ac:dyDescent="0.25">
      <c r="A6" s="18"/>
      <c r="B6" s="6"/>
      <c r="C6" s="6"/>
      <c r="D6" s="50" t="s">
        <v>174</v>
      </c>
      <c r="E6" s="50" t="s">
        <v>177</v>
      </c>
      <c r="F6" s="6"/>
      <c r="G6" s="19"/>
      <c r="I6" s="4" t="s">
        <v>465</v>
      </c>
    </row>
    <row r="7" spans="1:9" x14ac:dyDescent="0.25">
      <c r="A7" s="18"/>
      <c r="B7" s="6"/>
      <c r="C7" s="6"/>
      <c r="D7" s="51" t="s">
        <v>175</v>
      </c>
      <c r="E7" s="51" t="s">
        <v>175</v>
      </c>
      <c r="F7" s="6"/>
      <c r="G7" s="19"/>
      <c r="I7" s="4" t="s">
        <v>466</v>
      </c>
    </row>
    <row r="8" spans="1:9" x14ac:dyDescent="0.25">
      <c r="A8" s="18"/>
      <c r="B8" s="6"/>
      <c r="C8" s="6"/>
      <c r="D8" s="52" t="s">
        <v>176</v>
      </c>
      <c r="E8" s="52" t="s">
        <v>176</v>
      </c>
      <c r="F8" s="6"/>
      <c r="G8" s="19"/>
      <c r="I8" s="4" t="s">
        <v>467</v>
      </c>
    </row>
    <row r="9" spans="1:9" x14ac:dyDescent="0.25">
      <c r="A9" s="18"/>
      <c r="B9" s="259" t="s">
        <v>184</v>
      </c>
      <c r="C9" s="260"/>
      <c r="D9" s="258" t="s">
        <v>178</v>
      </c>
      <c r="E9" s="258" t="s">
        <v>179</v>
      </c>
      <c r="F9" s="6"/>
      <c r="G9" s="19"/>
    </row>
    <row r="10" spans="1:9" x14ac:dyDescent="0.25">
      <c r="A10" s="18"/>
      <c r="B10" s="261"/>
      <c r="C10" s="262"/>
      <c r="D10" s="258"/>
      <c r="E10" s="258"/>
      <c r="F10" s="6"/>
      <c r="G10" s="19"/>
    </row>
    <row r="11" spans="1:9" x14ac:dyDescent="0.25">
      <c r="A11" s="18"/>
      <c r="B11" s="259" t="s">
        <v>185</v>
      </c>
      <c r="C11" s="263"/>
      <c r="D11" s="258" t="s">
        <v>180</v>
      </c>
      <c r="E11" s="258" t="s">
        <v>181</v>
      </c>
      <c r="F11" s="6"/>
      <c r="G11" s="19"/>
    </row>
    <row r="12" spans="1:9" x14ac:dyDescent="0.25">
      <c r="A12" s="18"/>
      <c r="B12" s="264"/>
      <c r="C12" s="265"/>
      <c r="D12" s="258"/>
      <c r="E12" s="258"/>
      <c r="F12" s="6"/>
      <c r="G12" s="19"/>
    </row>
    <row r="13" spans="1:9" x14ac:dyDescent="0.25">
      <c r="A13" s="18"/>
      <c r="B13" s="6"/>
      <c r="C13" s="6"/>
      <c r="D13" s="6"/>
      <c r="E13" s="6"/>
      <c r="F13" s="6"/>
      <c r="G13" s="19"/>
    </row>
    <row r="14" spans="1:9" x14ac:dyDescent="0.25">
      <c r="A14" s="22" t="s">
        <v>2</v>
      </c>
      <c r="B14" s="6" t="s">
        <v>182</v>
      </c>
      <c r="C14" s="6"/>
      <c r="D14" s="6"/>
      <c r="E14" s="6"/>
      <c r="F14" s="6"/>
      <c r="G14" s="19"/>
    </row>
    <row r="15" spans="1:9" ht="15.75" thickBot="1" x14ac:dyDescent="0.3">
      <c r="A15" s="21">
        <f>INDEX('Point Grid'!$C$8:$I$26,MATCH($A$1,'Point Grid'!$A$8:$A$26,0),MATCH(A14,'Point Grid'!$C$7:$I$7,0))</f>
        <v>1</v>
      </c>
      <c r="B15" s="6" t="s">
        <v>183</v>
      </c>
      <c r="C15" s="6"/>
      <c r="D15" s="6"/>
      <c r="E15" s="6"/>
      <c r="F15" s="6"/>
      <c r="G15" s="19"/>
    </row>
    <row r="16" spans="1:9" ht="15.75" thickBot="1" x14ac:dyDescent="0.3">
      <c r="A16" s="5">
        <v>1</v>
      </c>
      <c r="B16" s="24"/>
      <c r="C16" s="24"/>
      <c r="D16" s="24"/>
      <c r="E16" s="24"/>
      <c r="F16" s="24"/>
      <c r="G16" s="25"/>
    </row>
  </sheetData>
  <sheetProtection formatCells="0" formatColumns="0" formatRows="0"/>
  <mergeCells count="6">
    <mergeCell ref="D9:D10"/>
    <mergeCell ref="E9:E10"/>
    <mergeCell ref="D11:D12"/>
    <mergeCell ref="E11:E12"/>
    <mergeCell ref="B9:C10"/>
    <mergeCell ref="B11:C12"/>
  </mergeCells>
  <conditionalFormatting sqref="B1">
    <cfRule type="cellIs" dxfId="42" priority="1" operator="equal">
      <formula>"Incomplete"</formula>
    </cfRule>
    <cfRule type="cellIs" dxfId="41" priority="2" operator="equal">
      <formula>"Flag for Review"</formula>
    </cfRule>
    <cfRule type="cellIs" dxfId="40" priority="3" operator="equal">
      <formula>"Finished"</formula>
    </cfRule>
  </conditionalFormatting>
  <dataValidations count="2">
    <dataValidation type="list" allowBlank="1" showInputMessage="1" showErrorMessage="1" sqref="B1" xr:uid="{F50A7077-1A09-4AD9-939E-AAE5D6C84BCE}">
      <formula1>"Finished, Flag for Review, Incomplete"</formula1>
    </dataValidation>
    <dataValidation type="decimal" allowBlank="1" showInputMessage="1" showErrorMessage="1" sqref="A16" xr:uid="{0CF7D773-6A07-4ED4-A837-E189BA911836}">
      <formula1>0</formula1>
      <formula2>A15</formula2>
    </dataValidation>
  </dataValidations>
  <hyperlinks>
    <hyperlink ref="G1" location="Navigator!A1" display="Navigator" xr:uid="{6703328A-CC4A-4570-A603-9711F354A4D4}"/>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1F744-9DAC-4963-AC89-314235426E2E}">
  <sheetPr codeName="Sheet12"/>
  <dimension ref="A1:I51"/>
  <sheetViews>
    <sheetView workbookViewId="0"/>
  </sheetViews>
  <sheetFormatPr defaultColWidth="9.140625" defaultRowHeight="15" x14ac:dyDescent="0.25"/>
  <cols>
    <col min="1" max="1" width="6.5703125" style="4" bestFit="1" customWidth="1"/>
    <col min="2" max="2" width="16" style="4" bestFit="1" customWidth="1"/>
    <col min="3" max="3" width="16.7109375" style="4" bestFit="1" customWidth="1"/>
    <col min="4" max="4" width="15.28515625" style="4" customWidth="1"/>
    <col min="5" max="5" width="17.42578125" style="4" bestFit="1" customWidth="1"/>
    <col min="6" max="6" width="9.140625" style="4"/>
    <col min="7" max="7" width="14.85546875" style="4" customWidth="1"/>
    <col min="8" max="8" width="3.7109375" style="72" customWidth="1"/>
    <col min="9" max="16384" width="9.140625" style="4"/>
  </cols>
  <sheetData>
    <row r="1" spans="1:9" ht="15.75" x14ac:dyDescent="0.25">
      <c r="A1" s="16">
        <v>10</v>
      </c>
      <c r="B1" s="15" t="s">
        <v>362</v>
      </c>
      <c r="C1" s="139" t="s">
        <v>600</v>
      </c>
      <c r="D1" s="138" t="s">
        <v>607</v>
      </c>
      <c r="E1" s="17"/>
      <c r="F1" s="17"/>
      <c r="G1" s="133" t="s">
        <v>596</v>
      </c>
      <c r="H1" s="125"/>
      <c r="I1" s="130" t="s">
        <v>310</v>
      </c>
    </row>
    <row r="2" spans="1:9" x14ac:dyDescent="0.25">
      <c r="A2" s="18"/>
      <c r="B2" s="6"/>
      <c r="C2" s="6"/>
      <c r="D2" s="6"/>
      <c r="E2" s="6"/>
      <c r="F2" s="6"/>
      <c r="G2" s="19"/>
      <c r="H2" s="72" t="s">
        <v>2</v>
      </c>
      <c r="I2" s="4" t="s">
        <v>468</v>
      </c>
    </row>
    <row r="3" spans="1:9" x14ac:dyDescent="0.25">
      <c r="A3" s="20" t="s">
        <v>14</v>
      </c>
      <c r="B3" s="6" t="s">
        <v>186</v>
      </c>
      <c r="C3" s="6"/>
      <c r="D3" s="6"/>
      <c r="E3" s="6"/>
      <c r="F3" s="6"/>
      <c r="G3" s="19"/>
      <c r="I3" s="4" t="s">
        <v>469</v>
      </c>
    </row>
    <row r="4" spans="1:9" x14ac:dyDescent="0.25">
      <c r="A4" s="21">
        <f>INDEX('Point Grid'!B:B,MATCH('10'!A1,'Point Grid'!A:A,0))</f>
        <v>1.5</v>
      </c>
      <c r="B4" s="6" t="s">
        <v>187</v>
      </c>
      <c r="C4" s="6"/>
      <c r="D4" s="6"/>
      <c r="E4" s="6"/>
      <c r="F4" s="6"/>
      <c r="G4" s="19"/>
      <c r="I4" s="4" t="s">
        <v>470</v>
      </c>
    </row>
    <row r="5" spans="1:9" x14ac:dyDescent="0.25">
      <c r="A5" s="18"/>
      <c r="B5" s="6" t="s">
        <v>188</v>
      </c>
      <c r="C5" s="6"/>
      <c r="D5" s="6"/>
      <c r="E5" s="6"/>
      <c r="F5" s="6"/>
      <c r="G5" s="19"/>
      <c r="I5" s="4" t="s">
        <v>471</v>
      </c>
    </row>
    <row r="6" spans="1:9" x14ac:dyDescent="0.25">
      <c r="A6" s="18"/>
      <c r="B6" s="6"/>
      <c r="C6" s="6"/>
      <c r="D6" s="6"/>
      <c r="E6" s="6"/>
      <c r="F6" s="6"/>
      <c r="G6" s="19"/>
      <c r="I6" s="4" t="s">
        <v>472</v>
      </c>
    </row>
    <row r="7" spans="1:9" x14ac:dyDescent="0.25">
      <c r="A7" s="18"/>
      <c r="B7" s="6"/>
      <c r="C7" s="6"/>
      <c r="D7" s="6"/>
      <c r="E7" s="6"/>
      <c r="F7" s="6"/>
      <c r="G7" s="19"/>
    </row>
    <row r="8" spans="1:9" x14ac:dyDescent="0.25">
      <c r="A8" s="18"/>
      <c r="B8" s="6"/>
      <c r="C8" s="6"/>
      <c r="D8" s="6"/>
      <c r="E8" s="6"/>
      <c r="F8" s="6"/>
      <c r="G8" s="19"/>
      <c r="H8" s="72" t="s">
        <v>3</v>
      </c>
      <c r="I8" s="4" t="s">
        <v>473</v>
      </c>
    </row>
    <row r="9" spans="1:9" x14ac:dyDescent="0.25">
      <c r="A9" s="18"/>
      <c r="B9" s="6"/>
      <c r="C9" s="6"/>
      <c r="D9" s="6"/>
      <c r="E9" s="6"/>
      <c r="F9" s="6"/>
      <c r="G9" s="19"/>
      <c r="I9" s="4" t="s">
        <v>474</v>
      </c>
    </row>
    <row r="10" spans="1:9" x14ac:dyDescent="0.25">
      <c r="A10" s="18"/>
      <c r="B10" s="6"/>
      <c r="C10" s="6"/>
      <c r="D10" s="6"/>
      <c r="E10" s="6"/>
      <c r="F10" s="6"/>
      <c r="G10" s="19"/>
    </row>
    <row r="11" spans="1:9" x14ac:dyDescent="0.25">
      <c r="A11" s="18"/>
      <c r="B11" s="6"/>
      <c r="C11" s="6"/>
      <c r="D11" s="6"/>
      <c r="E11" s="6"/>
      <c r="F11" s="6"/>
      <c r="G11" s="19"/>
      <c r="H11" s="72" t="s">
        <v>4</v>
      </c>
      <c r="I11" s="4" t="s">
        <v>475</v>
      </c>
    </row>
    <row r="12" spans="1:9" x14ac:dyDescent="0.25">
      <c r="A12" s="18"/>
      <c r="B12" s="6"/>
      <c r="C12" s="6"/>
      <c r="D12" s="6"/>
      <c r="E12" s="6"/>
      <c r="F12" s="6"/>
      <c r="G12" s="19"/>
      <c r="I12" s="4" t="s">
        <v>476</v>
      </c>
    </row>
    <row r="13" spans="1:9" x14ac:dyDescent="0.25">
      <c r="A13" s="18"/>
      <c r="B13" s="6"/>
      <c r="C13" s="6"/>
      <c r="D13" s="6"/>
      <c r="E13" s="6"/>
      <c r="F13" s="6"/>
      <c r="G13" s="19"/>
      <c r="I13" s="4" t="s">
        <v>477</v>
      </c>
    </row>
    <row r="14" spans="1:9" x14ac:dyDescent="0.25">
      <c r="A14" s="18"/>
      <c r="B14" s="6"/>
      <c r="C14" s="6"/>
      <c r="D14" s="6"/>
      <c r="E14" s="6"/>
      <c r="F14" s="6"/>
      <c r="G14" s="19"/>
      <c r="I14" s="4" t="s">
        <v>478</v>
      </c>
    </row>
    <row r="15" spans="1:9" x14ac:dyDescent="0.25">
      <c r="A15" s="18"/>
      <c r="B15" s="6"/>
      <c r="C15" s="6"/>
      <c r="D15" s="6"/>
      <c r="E15" s="6"/>
      <c r="F15" s="6"/>
      <c r="G15" s="19"/>
    </row>
    <row r="16" spans="1:9" x14ac:dyDescent="0.25">
      <c r="A16" s="18"/>
      <c r="B16" s="6"/>
      <c r="C16" s="6"/>
      <c r="D16" s="6"/>
      <c r="E16" s="6"/>
      <c r="F16" s="6"/>
      <c r="G16" s="19"/>
    </row>
    <row r="17" spans="1:7" x14ac:dyDescent="0.25">
      <c r="A17" s="18"/>
      <c r="B17" s="6"/>
      <c r="C17" s="6"/>
      <c r="D17" s="6"/>
      <c r="E17" s="6"/>
      <c r="F17" s="6"/>
      <c r="G17" s="19"/>
    </row>
    <row r="18" spans="1:7" x14ac:dyDescent="0.25">
      <c r="A18" s="18"/>
      <c r="B18" s="6"/>
      <c r="C18" s="6"/>
      <c r="D18" s="6"/>
      <c r="E18" s="6"/>
      <c r="F18" s="6"/>
      <c r="G18" s="19"/>
    </row>
    <row r="19" spans="1:7" x14ac:dyDescent="0.25">
      <c r="A19" s="18"/>
      <c r="B19" s="6"/>
      <c r="C19" s="6"/>
      <c r="D19" s="6"/>
      <c r="E19" s="6"/>
      <c r="F19" s="6"/>
      <c r="G19" s="19"/>
    </row>
    <row r="20" spans="1:7" x14ac:dyDescent="0.25">
      <c r="A20" s="18"/>
      <c r="B20" s="6" t="s">
        <v>189</v>
      </c>
      <c r="C20" s="6"/>
      <c r="D20" s="6"/>
      <c r="E20" s="6"/>
      <c r="F20" s="6"/>
      <c r="G20" s="19"/>
    </row>
    <row r="21" spans="1:7" x14ac:dyDescent="0.25">
      <c r="A21" s="18"/>
      <c r="B21" s="6"/>
      <c r="C21" s="6"/>
      <c r="D21" s="6"/>
      <c r="E21" s="6"/>
      <c r="F21" s="6"/>
      <c r="G21" s="19"/>
    </row>
    <row r="22" spans="1:7" x14ac:dyDescent="0.25">
      <c r="A22" s="18"/>
      <c r="B22" s="6"/>
      <c r="C22" s="6"/>
      <c r="D22" s="6"/>
      <c r="E22" s="6"/>
      <c r="F22" s="6"/>
      <c r="G22" s="19"/>
    </row>
    <row r="23" spans="1:7" x14ac:dyDescent="0.25">
      <c r="A23" s="18"/>
      <c r="B23" s="6"/>
      <c r="C23" s="6"/>
      <c r="D23" s="6"/>
      <c r="E23" s="6"/>
      <c r="F23" s="6"/>
      <c r="G23" s="19"/>
    </row>
    <row r="24" spans="1:7" x14ac:dyDescent="0.25">
      <c r="A24" s="18"/>
      <c r="B24" s="6"/>
      <c r="C24" s="6"/>
      <c r="D24" s="6"/>
      <c r="E24" s="6"/>
      <c r="F24" s="6"/>
      <c r="G24" s="19"/>
    </row>
    <row r="25" spans="1:7" x14ac:dyDescent="0.25">
      <c r="A25" s="18"/>
      <c r="B25" s="6"/>
      <c r="C25" s="6"/>
      <c r="D25" s="6"/>
      <c r="E25" s="6"/>
      <c r="F25" s="6"/>
      <c r="G25" s="19"/>
    </row>
    <row r="26" spans="1:7" x14ac:dyDescent="0.25">
      <c r="A26" s="18"/>
      <c r="B26" s="6"/>
      <c r="C26" s="6"/>
      <c r="D26" s="6"/>
      <c r="E26" s="6"/>
      <c r="F26" s="6"/>
      <c r="G26" s="19"/>
    </row>
    <row r="27" spans="1:7" x14ac:dyDescent="0.25">
      <c r="A27" s="18"/>
      <c r="B27" s="6"/>
      <c r="C27" s="6"/>
      <c r="D27" s="6"/>
      <c r="E27" s="6"/>
      <c r="F27" s="6"/>
      <c r="G27" s="19"/>
    </row>
    <row r="28" spans="1:7" x14ac:dyDescent="0.25">
      <c r="A28" s="18"/>
      <c r="B28" s="6"/>
      <c r="C28" s="6"/>
      <c r="D28" s="6"/>
      <c r="E28" s="6"/>
      <c r="F28" s="6"/>
      <c r="G28" s="19"/>
    </row>
    <row r="29" spans="1:7" x14ac:dyDescent="0.25">
      <c r="A29" s="18"/>
      <c r="B29" s="6"/>
      <c r="C29" s="6"/>
      <c r="D29" s="6"/>
      <c r="E29" s="6"/>
      <c r="F29" s="6"/>
      <c r="G29" s="19"/>
    </row>
    <row r="30" spans="1:7" x14ac:dyDescent="0.25">
      <c r="A30" s="18"/>
      <c r="B30" s="6"/>
      <c r="C30" s="6"/>
      <c r="D30" s="6"/>
      <c r="E30" s="6"/>
      <c r="F30" s="6"/>
      <c r="G30" s="19"/>
    </row>
    <row r="31" spans="1:7" x14ac:dyDescent="0.25">
      <c r="A31" s="18"/>
      <c r="B31" s="6"/>
      <c r="C31" s="6"/>
      <c r="D31" s="6"/>
      <c r="E31" s="6"/>
      <c r="F31" s="6"/>
      <c r="G31" s="19"/>
    </row>
    <row r="32" spans="1:7" x14ac:dyDescent="0.25">
      <c r="A32" s="18"/>
      <c r="B32" s="6"/>
      <c r="C32" s="6"/>
      <c r="D32" s="6"/>
      <c r="E32" s="6"/>
      <c r="F32" s="6"/>
      <c r="G32" s="19"/>
    </row>
    <row r="33" spans="1:7" x14ac:dyDescent="0.25">
      <c r="A33" s="18"/>
      <c r="B33" s="6"/>
      <c r="C33" s="6"/>
      <c r="D33" s="6"/>
      <c r="E33" s="6"/>
      <c r="F33" s="6"/>
      <c r="G33" s="19"/>
    </row>
    <row r="34" spans="1:7" x14ac:dyDescent="0.25">
      <c r="A34" s="18"/>
      <c r="B34" s="6"/>
      <c r="C34" s="6"/>
      <c r="D34" s="6"/>
      <c r="E34" s="6"/>
      <c r="F34" s="6"/>
      <c r="G34" s="19"/>
    </row>
    <row r="35" spans="1:7" x14ac:dyDescent="0.25">
      <c r="A35" s="18"/>
      <c r="B35" s="6"/>
      <c r="C35" s="116" t="s">
        <v>194</v>
      </c>
      <c r="D35" s="116" t="s">
        <v>195</v>
      </c>
      <c r="E35" s="6"/>
      <c r="F35" s="6"/>
      <c r="G35" s="19"/>
    </row>
    <row r="36" spans="1:7" x14ac:dyDescent="0.25">
      <c r="A36" s="18"/>
      <c r="B36" s="6"/>
      <c r="C36" s="13" t="s">
        <v>196</v>
      </c>
      <c r="D36" s="13">
        <v>3.4599999999999999E-2</v>
      </c>
      <c r="E36" s="6"/>
      <c r="F36" s="6"/>
      <c r="G36" s="19"/>
    </row>
    <row r="37" spans="1:7" x14ac:dyDescent="0.25">
      <c r="A37" s="18"/>
      <c r="B37" s="6"/>
      <c r="C37" s="13" t="s">
        <v>197</v>
      </c>
      <c r="D37" s="13">
        <v>0.11840000000000001</v>
      </c>
      <c r="E37" s="6"/>
      <c r="F37" s="6"/>
      <c r="G37" s="19"/>
    </row>
    <row r="38" spans="1:7" x14ac:dyDescent="0.25">
      <c r="A38" s="18"/>
      <c r="B38" s="6"/>
      <c r="C38" s="6"/>
      <c r="D38" s="6"/>
      <c r="E38" s="6"/>
      <c r="F38" s="6"/>
      <c r="G38" s="19"/>
    </row>
    <row r="39" spans="1:7" x14ac:dyDescent="0.25">
      <c r="A39" s="18"/>
      <c r="B39" s="6" t="s">
        <v>190</v>
      </c>
      <c r="C39" s="6"/>
      <c r="D39" s="6"/>
      <c r="E39" s="6"/>
      <c r="F39" s="6"/>
      <c r="G39" s="19"/>
    </row>
    <row r="40" spans="1:7" x14ac:dyDescent="0.25">
      <c r="A40" s="18"/>
      <c r="B40" s="6"/>
      <c r="C40" s="6"/>
      <c r="D40" s="6"/>
      <c r="E40" s="6"/>
      <c r="F40" s="6"/>
      <c r="G40" s="19"/>
    </row>
    <row r="41" spans="1:7" x14ac:dyDescent="0.25">
      <c r="A41" s="22" t="s">
        <v>2</v>
      </c>
      <c r="B41" s="6" t="s">
        <v>191</v>
      </c>
      <c r="C41" s="6"/>
      <c r="D41" s="6"/>
      <c r="E41" s="6"/>
      <c r="F41" s="6"/>
      <c r="G41" s="19"/>
    </row>
    <row r="42" spans="1:7" ht="15.75" thickBot="1" x14ac:dyDescent="0.3">
      <c r="A42" s="21">
        <f>INDEX('Point Grid'!$C$8:$I$26,MATCH($A$1,'Point Grid'!$A$8:$A$26,0),MATCH(A41,'Point Grid'!$C$7:$I$7,0))</f>
        <v>0.5</v>
      </c>
      <c r="B42" s="6"/>
      <c r="C42" s="6"/>
      <c r="D42" s="6"/>
      <c r="E42" s="6"/>
      <c r="F42" s="6"/>
      <c r="G42" s="19"/>
    </row>
    <row r="43" spans="1:7" ht="15.75" thickBot="1" x14ac:dyDescent="0.3">
      <c r="A43" s="5">
        <v>0.5</v>
      </c>
      <c r="B43" s="6"/>
      <c r="C43" s="6"/>
      <c r="D43" s="6"/>
      <c r="E43" s="6"/>
      <c r="F43" s="6"/>
      <c r="G43" s="19"/>
    </row>
    <row r="44" spans="1:7" x14ac:dyDescent="0.25">
      <c r="A44" s="18"/>
      <c r="B44" s="6"/>
      <c r="C44" s="6"/>
      <c r="D44" s="6"/>
      <c r="E44" s="6"/>
      <c r="F44" s="6"/>
      <c r="G44" s="19"/>
    </row>
    <row r="45" spans="1:7" x14ac:dyDescent="0.25">
      <c r="A45" s="22" t="s">
        <v>3</v>
      </c>
      <c r="B45" s="6" t="s">
        <v>192</v>
      </c>
      <c r="C45" s="6"/>
      <c r="D45" s="6"/>
      <c r="E45" s="6"/>
      <c r="F45" s="6"/>
      <c r="G45" s="19"/>
    </row>
    <row r="46" spans="1:7" ht="15.75" thickBot="1" x14ac:dyDescent="0.3">
      <c r="A46" s="21">
        <f>INDEX('Point Grid'!$C$8:$I$26,MATCH($A$1,'Point Grid'!$A$8:$A$26,0),MATCH(A45,'Point Grid'!$C$7:$I$7,0))</f>
        <v>0.5</v>
      </c>
      <c r="B46" s="6"/>
      <c r="C46" s="6"/>
      <c r="D46" s="6"/>
      <c r="E46" s="6"/>
      <c r="F46" s="6"/>
      <c r="G46" s="19"/>
    </row>
    <row r="47" spans="1:7" ht="15.75" thickBot="1" x14ac:dyDescent="0.3">
      <c r="A47" s="5">
        <v>0.5</v>
      </c>
      <c r="B47" s="6"/>
      <c r="C47" s="6"/>
      <c r="D47" s="6"/>
      <c r="E47" s="6"/>
      <c r="F47" s="6"/>
      <c r="G47" s="19"/>
    </row>
    <row r="48" spans="1:7" x14ac:dyDescent="0.25">
      <c r="A48" s="18"/>
      <c r="B48" s="6"/>
      <c r="C48" s="6"/>
      <c r="D48" s="6"/>
      <c r="E48" s="6"/>
      <c r="F48" s="6"/>
      <c r="G48" s="19"/>
    </row>
    <row r="49" spans="1:7" x14ac:dyDescent="0.25">
      <c r="A49" s="22" t="s">
        <v>4</v>
      </c>
      <c r="B49" s="6" t="s">
        <v>193</v>
      </c>
      <c r="C49" s="6"/>
      <c r="D49" s="6"/>
      <c r="E49" s="6"/>
      <c r="F49" s="6"/>
      <c r="G49" s="19"/>
    </row>
    <row r="50" spans="1:7" ht="15.75" thickBot="1" x14ac:dyDescent="0.3">
      <c r="A50" s="21">
        <f>INDEX('Point Grid'!$C$8:$I$26,MATCH($A$1,'Point Grid'!$A$8:$A$26,0),MATCH(A49,'Point Grid'!$C$7:$I$7,0))</f>
        <v>0.5</v>
      </c>
      <c r="B50" s="6"/>
      <c r="C50" s="6"/>
      <c r="D50" s="6"/>
      <c r="E50" s="6"/>
      <c r="F50" s="6"/>
      <c r="G50" s="19"/>
    </row>
    <row r="51" spans="1:7" ht="15.75" thickBot="1" x14ac:dyDescent="0.3">
      <c r="A51" s="5">
        <v>0.5</v>
      </c>
      <c r="B51" s="24"/>
      <c r="C51" s="24"/>
      <c r="D51" s="24"/>
      <c r="E51" s="24"/>
      <c r="F51" s="24"/>
      <c r="G51" s="25"/>
    </row>
  </sheetData>
  <sheetProtection formatCells="0" formatColumns="0" formatRows="0"/>
  <conditionalFormatting sqref="B1">
    <cfRule type="cellIs" dxfId="39" priority="1" operator="equal">
      <formula>"Incomplete"</formula>
    </cfRule>
    <cfRule type="cellIs" dxfId="38" priority="2" operator="equal">
      <formula>"Flag for Review"</formula>
    </cfRule>
    <cfRule type="cellIs" dxfId="37" priority="3" operator="equal">
      <formula>"Finished"</formula>
    </cfRule>
  </conditionalFormatting>
  <dataValidations count="2">
    <dataValidation type="decimal" allowBlank="1" showInputMessage="1" showErrorMessage="1" sqref="A43 A47 A51" xr:uid="{BB28DEBA-F4EE-4C6D-A36A-837A6305FFF2}">
      <formula1>0</formula1>
      <formula2>A42</formula2>
    </dataValidation>
    <dataValidation type="list" allowBlank="1" showInputMessage="1" showErrorMessage="1" sqref="B1" xr:uid="{1E5C1CDB-48EC-4439-9730-E0838F26DDB2}">
      <formula1>"Finished, Flag for Review, Incomplete"</formula1>
    </dataValidation>
  </dataValidations>
  <hyperlinks>
    <hyperlink ref="G1" location="Navigator!A1" display="Navigator" xr:uid="{DD8C0E27-14AB-449D-B627-18C5FD12EFED}"/>
  </hyperlink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64112-8AE7-4DD2-95D7-17DD19D9BF94}">
  <sheetPr codeName="Sheet13"/>
  <dimension ref="A1:N38"/>
  <sheetViews>
    <sheetView workbookViewId="0"/>
  </sheetViews>
  <sheetFormatPr defaultColWidth="9.140625" defaultRowHeight="15" x14ac:dyDescent="0.25"/>
  <cols>
    <col min="1" max="1" width="6.5703125" style="4" bestFit="1" customWidth="1"/>
    <col min="2" max="2" width="16" style="4" bestFit="1" customWidth="1"/>
    <col min="3" max="3" width="9.42578125" style="4" customWidth="1"/>
    <col min="4" max="4" width="20.42578125" style="4" bestFit="1" customWidth="1"/>
    <col min="5" max="5" width="18.28515625" style="4" bestFit="1" customWidth="1"/>
    <col min="6" max="6" width="9.140625" style="4"/>
    <col min="7" max="7" width="11.7109375" style="4" customWidth="1"/>
    <col min="8" max="8" width="3.7109375" style="72" customWidth="1"/>
    <col min="9" max="9" width="10" style="4" customWidth="1"/>
    <col min="10" max="10" width="11.28515625" style="4" bestFit="1" customWidth="1"/>
    <col min="11" max="11" width="9.140625" style="4"/>
    <col min="12" max="12" width="10.42578125" style="4" customWidth="1"/>
    <col min="13" max="13" width="11.28515625" style="4" bestFit="1" customWidth="1"/>
    <col min="14" max="16384" width="9.140625" style="4"/>
  </cols>
  <sheetData>
    <row r="1" spans="1:12" ht="15.75" x14ac:dyDescent="0.25">
      <c r="A1" s="16">
        <v>11</v>
      </c>
      <c r="B1" s="15" t="s">
        <v>362</v>
      </c>
      <c r="C1" s="139" t="s">
        <v>600</v>
      </c>
      <c r="D1" s="138" t="s">
        <v>608</v>
      </c>
      <c r="E1" s="17"/>
      <c r="F1" s="17"/>
      <c r="G1" s="133" t="s">
        <v>596</v>
      </c>
      <c r="H1" s="114"/>
      <c r="I1" s="130" t="s">
        <v>310</v>
      </c>
    </row>
    <row r="2" spans="1:12" x14ac:dyDescent="0.25">
      <c r="A2" s="18"/>
      <c r="B2" s="6"/>
      <c r="C2" s="6"/>
      <c r="D2" s="6"/>
      <c r="E2" s="6"/>
      <c r="F2" s="6"/>
      <c r="G2" s="19"/>
      <c r="H2" s="72" t="s">
        <v>2</v>
      </c>
      <c r="L2" s="4" t="s">
        <v>479</v>
      </c>
    </row>
    <row r="3" spans="1:12" x14ac:dyDescent="0.25">
      <c r="A3" s="20" t="s">
        <v>14</v>
      </c>
      <c r="B3" s="6" t="s">
        <v>198</v>
      </c>
      <c r="C3" s="6"/>
      <c r="D3" s="6"/>
      <c r="E3" s="6"/>
      <c r="F3" s="6"/>
      <c r="G3" s="19"/>
    </row>
    <row r="4" spans="1:12" x14ac:dyDescent="0.25">
      <c r="A4" s="21">
        <f>INDEX('Point Grid'!B:B,MATCH('11'!A1,'Point Grid'!A:A,0))</f>
        <v>3.75</v>
      </c>
      <c r="B4" s="116" t="s">
        <v>199</v>
      </c>
      <c r="C4" s="116" t="s">
        <v>200</v>
      </c>
      <c r="D4" s="116" t="s">
        <v>201</v>
      </c>
      <c r="E4" s="116" t="s">
        <v>202</v>
      </c>
      <c r="F4" s="6"/>
      <c r="G4" s="19"/>
      <c r="I4" s="4" t="s">
        <v>480</v>
      </c>
      <c r="J4" s="168">
        <f>0.75*(D23/32000)+(1-0.75)*1</f>
        <v>1.1195312500000001</v>
      </c>
    </row>
    <row r="5" spans="1:12" x14ac:dyDescent="0.25">
      <c r="A5" s="18"/>
      <c r="B5" s="13">
        <v>1</v>
      </c>
      <c r="C5" s="53">
        <v>0.6</v>
      </c>
      <c r="D5" s="53">
        <v>0.6</v>
      </c>
      <c r="E5" s="53">
        <v>1</v>
      </c>
      <c r="F5" s="6"/>
      <c r="G5" s="19"/>
    </row>
    <row r="6" spans="1:12" x14ac:dyDescent="0.25">
      <c r="A6" s="18"/>
      <c r="B6" s="13">
        <v>2</v>
      </c>
      <c r="C6" s="53">
        <v>0.79</v>
      </c>
      <c r="D6" s="53">
        <v>0.8</v>
      </c>
      <c r="E6" s="53">
        <v>1.01</v>
      </c>
      <c r="F6" s="6"/>
      <c r="G6" s="19"/>
      <c r="H6" s="72" t="s">
        <v>3</v>
      </c>
      <c r="I6" s="4" t="s">
        <v>481</v>
      </c>
    </row>
    <row r="7" spans="1:12" x14ac:dyDescent="0.25">
      <c r="A7" s="18"/>
      <c r="B7" s="13">
        <v>3</v>
      </c>
      <c r="C7" s="53" t="s">
        <v>203</v>
      </c>
      <c r="D7" s="53">
        <v>0.96</v>
      </c>
      <c r="E7" s="53" t="s">
        <v>204</v>
      </c>
      <c r="F7" s="6"/>
      <c r="G7" s="19"/>
      <c r="I7" s="4" t="s">
        <v>482</v>
      </c>
    </row>
    <row r="8" spans="1:12" x14ac:dyDescent="0.25">
      <c r="A8" s="18"/>
      <c r="B8" s="13">
        <v>4</v>
      </c>
      <c r="C8" s="53">
        <v>1.1000000000000001</v>
      </c>
      <c r="D8" s="53">
        <v>1.1000000000000001</v>
      </c>
      <c r="E8" s="53">
        <v>1</v>
      </c>
      <c r="F8" s="6"/>
      <c r="G8" s="19"/>
      <c r="I8" s="4" t="s">
        <v>483</v>
      </c>
    </row>
    <row r="9" spans="1:12" x14ac:dyDescent="0.25">
      <c r="A9" s="18"/>
      <c r="B9" s="13">
        <v>5</v>
      </c>
      <c r="C9" s="53">
        <v>1.1399999999999999</v>
      </c>
      <c r="D9" s="53">
        <v>1.1499999999999999</v>
      </c>
      <c r="E9" s="53">
        <v>1.01</v>
      </c>
      <c r="F9" s="6"/>
      <c r="G9" s="19"/>
      <c r="I9" s="4" t="s">
        <v>484</v>
      </c>
    </row>
    <row r="10" spans="1:12" x14ac:dyDescent="0.25">
      <c r="A10" s="18"/>
      <c r="B10" s="6"/>
      <c r="C10" s="6"/>
      <c r="D10" s="6"/>
      <c r="E10" s="6"/>
      <c r="F10" s="6"/>
      <c r="G10" s="19"/>
      <c r="I10" s="4" t="s">
        <v>485</v>
      </c>
    </row>
    <row r="11" spans="1:12" x14ac:dyDescent="0.25">
      <c r="A11" s="18"/>
      <c r="B11" s="6" t="s">
        <v>205</v>
      </c>
      <c r="C11" s="6"/>
      <c r="D11" s="6"/>
      <c r="E11" s="6"/>
      <c r="F11" s="6"/>
      <c r="G11" s="19"/>
    </row>
    <row r="12" spans="1:12" x14ac:dyDescent="0.25">
      <c r="A12" s="18"/>
      <c r="B12" s="6"/>
      <c r="C12" s="116" t="s">
        <v>206</v>
      </c>
      <c r="D12" s="116" t="s">
        <v>207</v>
      </c>
      <c r="E12" s="6"/>
      <c r="F12" s="6"/>
      <c r="G12" s="19"/>
      <c r="H12" s="72" t="s">
        <v>4</v>
      </c>
      <c r="I12" s="4" t="s">
        <v>488</v>
      </c>
    </row>
    <row r="13" spans="1:12" x14ac:dyDescent="0.25">
      <c r="A13" s="18"/>
      <c r="B13" s="6"/>
      <c r="C13" s="54" t="s">
        <v>208</v>
      </c>
      <c r="D13" s="14">
        <v>3200</v>
      </c>
      <c r="E13" s="6"/>
      <c r="F13" s="6"/>
      <c r="G13" s="19"/>
      <c r="I13" s="4" t="s">
        <v>486</v>
      </c>
    </row>
    <row r="14" spans="1:12" x14ac:dyDescent="0.25">
      <c r="A14" s="18"/>
      <c r="B14" s="6"/>
      <c r="C14" s="54" t="s">
        <v>209</v>
      </c>
      <c r="D14" s="14">
        <v>3000</v>
      </c>
      <c r="E14" s="6"/>
      <c r="F14" s="6"/>
      <c r="G14" s="19"/>
      <c r="I14" s="4" t="s">
        <v>487</v>
      </c>
    </row>
    <row r="15" spans="1:12" x14ac:dyDescent="0.25">
      <c r="A15" s="18"/>
      <c r="B15" s="6"/>
      <c r="C15" s="54" t="s">
        <v>210</v>
      </c>
      <c r="D15" s="14">
        <v>2800</v>
      </c>
      <c r="E15" s="6"/>
      <c r="F15" s="6"/>
      <c r="G15" s="19"/>
      <c r="I15" s="96">
        <f>0.25*(37100/32000)+(1-0.25)*1</f>
        <v>1.03984375</v>
      </c>
    </row>
    <row r="16" spans="1:12" x14ac:dyDescent="0.25">
      <c r="A16" s="18"/>
      <c r="B16" s="6"/>
      <c r="C16" s="54" t="s">
        <v>211</v>
      </c>
      <c r="D16" s="14">
        <v>2700</v>
      </c>
      <c r="E16" s="6"/>
      <c r="F16" s="6"/>
      <c r="G16" s="19"/>
    </row>
    <row r="17" spans="1:14" x14ac:dyDescent="0.25">
      <c r="A17" s="18"/>
      <c r="B17" s="6"/>
      <c r="C17" s="54" t="s">
        <v>212</v>
      </c>
      <c r="D17" s="14">
        <v>3300</v>
      </c>
      <c r="E17" s="6"/>
      <c r="F17" s="6"/>
      <c r="G17" s="19"/>
      <c r="I17" s="4" t="s">
        <v>489</v>
      </c>
    </row>
    <row r="18" spans="1:14" x14ac:dyDescent="0.25">
      <c r="A18" s="18"/>
      <c r="B18" s="6"/>
      <c r="C18" s="54" t="s">
        <v>213</v>
      </c>
      <c r="D18" s="14">
        <v>2900</v>
      </c>
      <c r="E18" s="6"/>
      <c r="F18" s="6"/>
      <c r="G18" s="19"/>
      <c r="I18" s="4" t="s">
        <v>490</v>
      </c>
    </row>
    <row r="19" spans="1:14" x14ac:dyDescent="0.25">
      <c r="A19" s="18"/>
      <c r="B19" s="6"/>
      <c r="C19" s="54" t="s">
        <v>214</v>
      </c>
      <c r="D19" s="14">
        <v>10000</v>
      </c>
      <c r="E19" s="6"/>
      <c r="F19" s="6"/>
      <c r="G19" s="19"/>
      <c r="I19" s="4" t="s">
        <v>499</v>
      </c>
    </row>
    <row r="20" spans="1:14" x14ac:dyDescent="0.25">
      <c r="A20" s="18"/>
      <c r="B20" s="6"/>
      <c r="C20" s="54" t="s">
        <v>215</v>
      </c>
      <c r="D20" s="14">
        <v>3100</v>
      </c>
      <c r="E20" s="6"/>
      <c r="F20" s="6"/>
      <c r="G20" s="19"/>
    </row>
    <row r="21" spans="1:14" x14ac:dyDescent="0.25">
      <c r="A21" s="18"/>
      <c r="B21" s="6"/>
      <c r="C21" s="54" t="s">
        <v>216</v>
      </c>
      <c r="D21" s="14">
        <v>3000</v>
      </c>
      <c r="E21" s="6"/>
      <c r="F21" s="6"/>
      <c r="G21" s="19"/>
      <c r="I21" s="4" t="s">
        <v>491</v>
      </c>
      <c r="L21" s="4" t="s">
        <v>496</v>
      </c>
    </row>
    <row r="22" spans="1:14" x14ac:dyDescent="0.25">
      <c r="A22" s="18"/>
      <c r="B22" s="6"/>
      <c r="C22" s="54" t="s">
        <v>217</v>
      </c>
      <c r="D22" s="14">
        <v>3100</v>
      </c>
      <c r="E22" s="6"/>
      <c r="F22" s="6"/>
      <c r="G22" s="19"/>
      <c r="I22" s="4" t="s">
        <v>492</v>
      </c>
      <c r="J22" s="4" t="s">
        <v>493</v>
      </c>
      <c r="L22" s="4" t="s">
        <v>492</v>
      </c>
      <c r="M22" s="4" t="s">
        <v>493</v>
      </c>
    </row>
    <row r="23" spans="1:14" x14ac:dyDescent="0.25">
      <c r="A23" s="18"/>
      <c r="B23" s="6"/>
      <c r="C23" s="13" t="s">
        <v>10</v>
      </c>
      <c r="D23" s="14">
        <f>SUM(D13:D22)</f>
        <v>37100</v>
      </c>
      <c r="E23" s="6"/>
      <c r="F23" s="6"/>
      <c r="G23" s="19"/>
      <c r="I23" s="97">
        <f>D5</f>
        <v>0.6</v>
      </c>
      <c r="J23" s="97">
        <f>E5</f>
        <v>1</v>
      </c>
      <c r="L23" s="97">
        <f>D5</f>
        <v>0.6</v>
      </c>
      <c r="M23" s="97">
        <f>E5</f>
        <v>1</v>
      </c>
    </row>
    <row r="24" spans="1:14" x14ac:dyDescent="0.25">
      <c r="A24" s="18"/>
      <c r="B24" s="6"/>
      <c r="C24" s="6"/>
      <c r="D24" s="6"/>
      <c r="E24" s="6"/>
      <c r="F24" s="6"/>
      <c r="G24" s="19"/>
      <c r="I24" s="97">
        <f t="shared" ref="I24:J27" si="0">D6</f>
        <v>0.8</v>
      </c>
      <c r="J24" s="97">
        <f t="shared" si="0"/>
        <v>1.01</v>
      </c>
      <c r="L24" s="97">
        <f t="shared" ref="L24:M27" si="1">D6</f>
        <v>0.8</v>
      </c>
      <c r="M24" s="97">
        <f t="shared" si="1"/>
        <v>1.01</v>
      </c>
    </row>
    <row r="25" spans="1:14" x14ac:dyDescent="0.25">
      <c r="A25" s="18"/>
      <c r="B25" s="6" t="s">
        <v>218</v>
      </c>
      <c r="C25" s="6"/>
      <c r="D25" s="6"/>
      <c r="E25" s="6"/>
      <c r="F25" s="6"/>
      <c r="G25" s="19"/>
      <c r="I25" s="97">
        <f t="shared" si="0"/>
        <v>0.96</v>
      </c>
      <c r="J25" s="97">
        <f>D7/J4</f>
        <v>0.85750174459176542</v>
      </c>
      <c r="L25" s="97">
        <f t="shared" si="1"/>
        <v>0.96</v>
      </c>
      <c r="M25" s="97">
        <f>D7/I15</f>
        <v>0.92321562734785878</v>
      </c>
    </row>
    <row r="26" spans="1:14" x14ac:dyDescent="0.25">
      <c r="A26" s="18"/>
      <c r="B26" s="6" t="s">
        <v>219</v>
      </c>
      <c r="C26" s="6"/>
      <c r="D26" s="6"/>
      <c r="E26" s="6"/>
      <c r="F26" s="6"/>
      <c r="G26" s="19"/>
      <c r="I26" s="97">
        <f t="shared" si="0"/>
        <v>1.1000000000000001</v>
      </c>
      <c r="J26" s="97">
        <f t="shared" si="0"/>
        <v>1</v>
      </c>
      <c r="L26" s="97">
        <f t="shared" si="1"/>
        <v>1.1000000000000001</v>
      </c>
      <c r="M26" s="97">
        <f t="shared" si="1"/>
        <v>1</v>
      </c>
    </row>
    <row r="27" spans="1:14" x14ac:dyDescent="0.25">
      <c r="A27" s="18"/>
      <c r="B27" s="6"/>
      <c r="C27" s="6"/>
      <c r="D27" s="6"/>
      <c r="E27" s="6"/>
      <c r="F27" s="6"/>
      <c r="G27" s="19"/>
      <c r="I27" s="97">
        <f t="shared" si="0"/>
        <v>1.1499999999999999</v>
      </c>
      <c r="J27" s="97">
        <f t="shared" si="0"/>
        <v>1.01</v>
      </c>
      <c r="L27" s="97">
        <f t="shared" si="1"/>
        <v>1.1499999999999999</v>
      </c>
      <c r="M27" s="97">
        <f t="shared" si="1"/>
        <v>1.01</v>
      </c>
    </row>
    <row r="28" spans="1:14" x14ac:dyDescent="0.25">
      <c r="A28" s="22" t="s">
        <v>2</v>
      </c>
      <c r="B28" s="6" t="s">
        <v>220</v>
      </c>
      <c r="C28" s="6"/>
      <c r="D28" s="6"/>
      <c r="E28" s="6"/>
      <c r="F28" s="6"/>
      <c r="G28" s="19"/>
    </row>
    <row r="29" spans="1:14" ht="15.75" thickBot="1" x14ac:dyDescent="0.3">
      <c r="A29" s="21">
        <f>INDEX('Point Grid'!$C$8:$I$26,MATCH($A$1,'Point Grid'!$A$8:$A$26,0),MATCH(A28,'Point Grid'!$C$7:$I$7,0))</f>
        <v>0.5</v>
      </c>
      <c r="B29" s="6"/>
      <c r="C29" s="6"/>
      <c r="D29" s="6"/>
      <c r="E29" s="6"/>
      <c r="F29" s="6"/>
      <c r="G29" s="19"/>
      <c r="I29" s="4">
        <f>_xlfn.VAR.S(I23:I27)</f>
        <v>5.0920000000000298E-2</v>
      </c>
      <c r="J29" s="4">
        <f>_xlfn.VAR.S(J23:J27)</f>
        <v>4.3761470696945604E-3</v>
      </c>
      <c r="L29" s="4">
        <f>_xlfn.VAR.S(L23:L27)</f>
        <v>5.0920000000000298E-2</v>
      </c>
      <c r="M29" s="4">
        <f>_xlfn.VAR.S(M23:M27)</f>
        <v>1.3627367220208611E-3</v>
      </c>
      <c r="N29" s="170" t="s">
        <v>497</v>
      </c>
    </row>
    <row r="30" spans="1:14" ht="15.75" thickBot="1" x14ac:dyDescent="0.3">
      <c r="A30" s="5">
        <v>0.5</v>
      </c>
      <c r="B30" s="6"/>
      <c r="C30" s="6"/>
      <c r="D30" s="6"/>
      <c r="E30" s="6"/>
      <c r="F30" s="6"/>
      <c r="G30" s="19"/>
      <c r="I30" s="4" t="s">
        <v>495</v>
      </c>
      <c r="J30" s="169">
        <f>J29/I29</f>
        <v>8.5941615665642873E-2</v>
      </c>
      <c r="L30" s="4" t="s">
        <v>495</v>
      </c>
      <c r="M30" s="169">
        <f>M29/L29</f>
        <v>2.6762307973700966E-2</v>
      </c>
    </row>
    <row r="31" spans="1:14" x14ac:dyDescent="0.25">
      <c r="A31" s="18"/>
      <c r="B31" s="6"/>
      <c r="C31" s="6"/>
      <c r="D31" s="6"/>
      <c r="E31" s="6"/>
      <c r="F31" s="6"/>
      <c r="G31" s="19"/>
    </row>
    <row r="32" spans="1:14" x14ac:dyDescent="0.25">
      <c r="A32" s="22" t="s">
        <v>3</v>
      </c>
      <c r="B32" s="6" t="s">
        <v>221</v>
      </c>
      <c r="C32" s="6"/>
      <c r="D32" s="6"/>
      <c r="E32" s="6"/>
      <c r="F32" s="6"/>
      <c r="G32" s="19"/>
      <c r="I32" s="4" t="s">
        <v>494</v>
      </c>
    </row>
    <row r="33" spans="1:9" ht="15.75" thickBot="1" x14ac:dyDescent="0.3">
      <c r="A33" s="21">
        <f>INDEX('Point Grid'!$C$8:$I$26,MATCH($A$1,'Point Grid'!$A$8:$A$26,0),MATCH(A32,'Point Grid'!$C$7:$I$7,0))</f>
        <v>0.5</v>
      </c>
      <c r="B33" s="6" t="s">
        <v>222</v>
      </c>
      <c r="C33" s="6"/>
      <c r="D33" s="6"/>
      <c r="E33" s="6"/>
      <c r="F33" s="6"/>
      <c r="G33" s="19"/>
      <c r="I33" s="4" t="s">
        <v>498</v>
      </c>
    </row>
    <row r="34" spans="1:9" ht="15.75" thickBot="1" x14ac:dyDescent="0.3">
      <c r="A34" s="5">
        <v>0.5</v>
      </c>
      <c r="B34" s="6"/>
      <c r="C34" s="6"/>
      <c r="D34" s="6"/>
      <c r="E34" s="6"/>
      <c r="F34" s="6"/>
      <c r="G34" s="19"/>
    </row>
    <row r="35" spans="1:9" x14ac:dyDescent="0.25">
      <c r="A35" s="18"/>
      <c r="B35" s="6"/>
      <c r="C35" s="6"/>
      <c r="D35" s="6"/>
      <c r="E35" s="6"/>
      <c r="F35" s="6"/>
      <c r="G35" s="19"/>
    </row>
    <row r="36" spans="1:9" x14ac:dyDescent="0.25">
      <c r="A36" s="22" t="s">
        <v>4</v>
      </c>
      <c r="B36" s="6" t="s">
        <v>223</v>
      </c>
      <c r="C36" s="6"/>
      <c r="D36" s="6"/>
      <c r="E36" s="6"/>
      <c r="F36" s="6"/>
      <c r="G36" s="19"/>
    </row>
    <row r="37" spans="1:9" ht="15.75" thickBot="1" x14ac:dyDescent="0.3">
      <c r="A37" s="21">
        <f>INDEX('Point Grid'!$C$8:$I$26,MATCH($A$1,'Point Grid'!$A$8:$A$26,0),MATCH(A36,'Point Grid'!$C$7:$I$7,0))</f>
        <v>2.75</v>
      </c>
      <c r="B37" s="6" t="s">
        <v>224</v>
      </c>
      <c r="C37" s="6"/>
      <c r="D37" s="6"/>
      <c r="E37" s="6"/>
      <c r="F37" s="6"/>
      <c r="G37" s="19"/>
    </row>
    <row r="38" spans="1:9" ht="15.75" thickBot="1" x14ac:dyDescent="0.3">
      <c r="A38" s="5">
        <v>2.75</v>
      </c>
      <c r="B38" s="24"/>
      <c r="C38" s="24"/>
      <c r="D38" s="24"/>
      <c r="E38" s="24"/>
      <c r="F38" s="24"/>
      <c r="G38" s="25"/>
    </row>
  </sheetData>
  <sheetProtection formatCells="0" formatColumns="0" formatRows="0"/>
  <conditionalFormatting sqref="B1">
    <cfRule type="cellIs" dxfId="36" priority="1" operator="equal">
      <formula>"Incomplete"</formula>
    </cfRule>
    <cfRule type="cellIs" dxfId="35" priority="2" operator="equal">
      <formula>"Flag for Review"</formula>
    </cfRule>
    <cfRule type="cellIs" dxfId="34" priority="3" operator="equal">
      <formula>"Finished"</formula>
    </cfRule>
  </conditionalFormatting>
  <dataValidations count="2">
    <dataValidation type="list" allowBlank="1" showInputMessage="1" showErrorMessage="1" sqref="B1" xr:uid="{3AB81081-9240-4D16-A6CB-E2EE49CCDBD7}">
      <formula1>"Finished, Flag for Review, Incomplete"</formula1>
    </dataValidation>
    <dataValidation type="decimal" allowBlank="1" showInputMessage="1" showErrorMessage="1" sqref="A30 A34 A38" xr:uid="{33243D4D-9CB5-4B89-BA01-A5802707AADC}">
      <formula1>0</formula1>
      <formula2>A29</formula2>
    </dataValidation>
  </dataValidations>
  <hyperlinks>
    <hyperlink ref="G1" location="Navigator!A1" display="Navigator" xr:uid="{38AFA64D-BB8A-492E-8B2B-7CB6FB534F21}"/>
  </hyperlink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3AE62-DEF9-46F0-B862-F38D68807B5D}">
  <sheetPr codeName="Sheet14"/>
  <dimension ref="A1:I47"/>
  <sheetViews>
    <sheetView workbookViewId="0"/>
  </sheetViews>
  <sheetFormatPr defaultColWidth="9.140625" defaultRowHeight="15" x14ac:dyDescent="0.25"/>
  <cols>
    <col min="1" max="1" width="6.5703125" style="4" bestFit="1" customWidth="1"/>
    <col min="2" max="2" width="16" style="4" bestFit="1" customWidth="1"/>
    <col min="3" max="3" width="9.42578125" style="4" customWidth="1"/>
    <col min="4" max="4" width="18.85546875" style="4" bestFit="1" customWidth="1"/>
    <col min="5" max="5" width="17.42578125" style="4" bestFit="1" customWidth="1"/>
    <col min="6" max="6" width="17.28515625" style="4" customWidth="1"/>
    <col min="7" max="7" width="9.28515625" style="4" customWidth="1"/>
    <col min="8" max="8" width="3.7109375" style="72" customWidth="1"/>
    <col min="9" max="16384" width="9.140625" style="4"/>
  </cols>
  <sheetData>
    <row r="1" spans="1:9" ht="15.75" x14ac:dyDescent="0.25">
      <c r="A1" s="16">
        <v>12</v>
      </c>
      <c r="B1" s="15" t="s">
        <v>362</v>
      </c>
      <c r="C1" s="139" t="s">
        <v>600</v>
      </c>
      <c r="D1" s="138" t="s">
        <v>609</v>
      </c>
      <c r="E1" s="17"/>
      <c r="F1" s="17"/>
      <c r="G1" s="133" t="s">
        <v>596</v>
      </c>
      <c r="H1" s="114"/>
      <c r="I1" s="130" t="s">
        <v>310</v>
      </c>
    </row>
    <row r="2" spans="1:9" x14ac:dyDescent="0.25">
      <c r="A2" s="18"/>
      <c r="B2" s="6"/>
      <c r="C2" s="6"/>
      <c r="D2" s="6"/>
      <c r="E2" s="6"/>
      <c r="F2" s="6"/>
      <c r="G2" s="19"/>
      <c r="H2" s="72" t="s">
        <v>2</v>
      </c>
      <c r="I2" s="4" t="s">
        <v>500</v>
      </c>
    </row>
    <row r="3" spans="1:9" x14ac:dyDescent="0.25">
      <c r="A3" s="20" t="s">
        <v>14</v>
      </c>
      <c r="B3" s="6" t="s">
        <v>225</v>
      </c>
      <c r="C3" s="6"/>
      <c r="D3" s="6"/>
      <c r="E3" s="6"/>
      <c r="F3" s="6"/>
      <c r="G3" s="19"/>
      <c r="I3" s="4" t="s">
        <v>501</v>
      </c>
    </row>
    <row r="4" spans="1:9" x14ac:dyDescent="0.25">
      <c r="A4" s="21">
        <f>INDEX('Point Grid'!B:B,MATCH('12'!A1,'Point Grid'!A:A,0))</f>
        <v>2</v>
      </c>
      <c r="B4" s="6" t="s">
        <v>226</v>
      </c>
      <c r="C4" s="6"/>
      <c r="D4" s="6"/>
      <c r="E4" s="6"/>
      <c r="F4" s="6"/>
      <c r="G4" s="19"/>
      <c r="I4" s="4" t="s">
        <v>502</v>
      </c>
    </row>
    <row r="5" spans="1:9" x14ac:dyDescent="0.25">
      <c r="A5" s="18"/>
      <c r="B5" s="6" t="s">
        <v>227</v>
      </c>
      <c r="C5" s="6"/>
      <c r="D5" s="6"/>
      <c r="E5" s="6"/>
      <c r="F5" s="6"/>
      <c r="G5" s="19"/>
      <c r="I5" s="4" t="s">
        <v>503</v>
      </c>
    </row>
    <row r="6" spans="1:9" x14ac:dyDescent="0.25">
      <c r="A6" s="18"/>
      <c r="B6" s="6" t="s">
        <v>228</v>
      </c>
      <c r="C6" s="6"/>
      <c r="D6" s="6"/>
      <c r="E6" s="6"/>
      <c r="F6" s="6"/>
      <c r="G6" s="19"/>
    </row>
    <row r="7" spans="1:9" x14ac:dyDescent="0.25">
      <c r="A7" s="18"/>
      <c r="B7" s="6"/>
      <c r="C7" s="6"/>
      <c r="D7" s="6"/>
      <c r="E7" s="6"/>
      <c r="F7" s="6"/>
      <c r="G7" s="19"/>
      <c r="H7" s="72" t="s">
        <v>3</v>
      </c>
      <c r="I7" s="94" t="s">
        <v>504</v>
      </c>
    </row>
    <row r="8" spans="1:9" x14ac:dyDescent="0.25">
      <c r="A8" s="18"/>
      <c r="B8" s="6"/>
      <c r="C8" s="6"/>
      <c r="D8" s="6"/>
      <c r="E8" s="6"/>
      <c r="F8" s="6"/>
      <c r="G8" s="19"/>
      <c r="I8" s="4" t="s">
        <v>506</v>
      </c>
    </row>
    <row r="9" spans="1:9" x14ac:dyDescent="0.25">
      <c r="A9" s="18"/>
      <c r="B9" s="6"/>
      <c r="C9" s="6"/>
      <c r="D9" s="6"/>
      <c r="E9" s="6"/>
      <c r="F9" s="6"/>
      <c r="G9" s="19"/>
    </row>
    <row r="10" spans="1:9" x14ac:dyDescent="0.25">
      <c r="A10" s="18"/>
      <c r="B10" s="6"/>
      <c r="C10" s="6"/>
      <c r="D10" s="6"/>
      <c r="E10" s="6"/>
      <c r="F10" s="6"/>
      <c r="G10" s="19"/>
      <c r="H10" s="72" t="s">
        <v>505</v>
      </c>
      <c r="I10" s="94" t="s">
        <v>507</v>
      </c>
    </row>
    <row r="11" spans="1:9" x14ac:dyDescent="0.25">
      <c r="A11" s="18"/>
      <c r="B11" s="6"/>
      <c r="C11" s="6"/>
      <c r="D11" s="6"/>
      <c r="E11" s="6"/>
      <c r="F11" s="6"/>
      <c r="G11" s="19"/>
      <c r="I11" s="168">
        <f>(1*(80000-10000)+3*(40000-10000))/10/26000</f>
        <v>0.61538461538461542</v>
      </c>
    </row>
    <row r="12" spans="1:9" x14ac:dyDescent="0.25">
      <c r="A12" s="18"/>
      <c r="B12" s="6"/>
      <c r="C12" s="6"/>
      <c r="D12" s="6"/>
      <c r="E12" s="6"/>
      <c r="F12" s="6"/>
      <c r="G12" s="19"/>
    </row>
    <row r="13" spans="1:9" x14ac:dyDescent="0.25">
      <c r="A13" s="18"/>
      <c r="B13" s="6"/>
      <c r="C13" s="6"/>
      <c r="D13" s="6"/>
      <c r="E13" s="6"/>
      <c r="F13" s="6"/>
      <c r="G13" s="19"/>
      <c r="H13" s="72" t="s">
        <v>508</v>
      </c>
      <c r="I13" s="94" t="s">
        <v>509</v>
      </c>
    </row>
    <row r="14" spans="1:9" x14ac:dyDescent="0.25">
      <c r="A14" s="18"/>
      <c r="B14" s="6"/>
      <c r="C14" s="6"/>
      <c r="D14" s="6"/>
      <c r="E14" s="6"/>
      <c r="F14" s="6"/>
      <c r="G14" s="19"/>
      <c r="I14" s="168">
        <f>(80000-40000)/10/26000</f>
        <v>0.15384615384615385</v>
      </c>
    </row>
    <row r="15" spans="1:9" x14ac:dyDescent="0.25">
      <c r="A15" s="18"/>
      <c r="B15" s="6"/>
      <c r="C15" s="6"/>
      <c r="D15" s="6"/>
      <c r="E15" s="6"/>
      <c r="F15" s="6"/>
      <c r="G15" s="19"/>
    </row>
    <row r="16" spans="1:9" x14ac:dyDescent="0.25">
      <c r="A16" s="18"/>
      <c r="B16" s="6"/>
      <c r="C16" s="6"/>
      <c r="D16" s="6"/>
      <c r="E16" s="6"/>
      <c r="F16" s="6"/>
      <c r="G16" s="19"/>
      <c r="H16" s="72" t="s">
        <v>510</v>
      </c>
      <c r="I16" s="94" t="s">
        <v>511</v>
      </c>
    </row>
    <row r="17" spans="1:9" x14ac:dyDescent="0.25">
      <c r="A17" s="18"/>
      <c r="B17" s="6"/>
      <c r="C17" s="6"/>
      <c r="D17" s="6"/>
      <c r="E17" s="6"/>
      <c r="F17" s="6"/>
      <c r="G17" s="19"/>
    </row>
    <row r="18" spans="1:9" x14ac:dyDescent="0.25">
      <c r="A18" s="18"/>
      <c r="B18" s="6"/>
      <c r="C18" s="6"/>
      <c r="D18" s="6"/>
      <c r="E18" s="6"/>
      <c r="F18" s="6"/>
      <c r="G18" s="19"/>
      <c r="H18" s="72" t="s">
        <v>4</v>
      </c>
      <c r="I18" s="4" t="s">
        <v>512</v>
      </c>
    </row>
    <row r="19" spans="1:9" x14ac:dyDescent="0.25">
      <c r="A19" s="18"/>
      <c r="B19" s="6"/>
      <c r="C19" s="6"/>
      <c r="D19" s="6"/>
      <c r="E19" s="6"/>
      <c r="F19" s="6"/>
      <c r="G19" s="19"/>
      <c r="I19" s="4" t="s">
        <v>513</v>
      </c>
    </row>
    <row r="20" spans="1:9" x14ac:dyDescent="0.25">
      <c r="A20" s="18"/>
      <c r="B20" s="6"/>
      <c r="C20" s="6"/>
      <c r="D20" s="6"/>
      <c r="E20" s="6"/>
      <c r="F20" s="6"/>
      <c r="G20" s="19"/>
    </row>
    <row r="21" spans="1:9" x14ac:dyDescent="0.25">
      <c r="A21" s="18"/>
      <c r="B21" s="6"/>
      <c r="C21" s="6"/>
      <c r="D21" s="6"/>
      <c r="E21" s="6"/>
      <c r="F21" s="6"/>
      <c r="G21" s="19"/>
    </row>
    <row r="22" spans="1:9" x14ac:dyDescent="0.25">
      <c r="A22" s="18"/>
      <c r="B22" s="6"/>
      <c r="C22" s="6"/>
      <c r="D22" s="6"/>
      <c r="E22" s="6"/>
      <c r="F22" s="6"/>
      <c r="G22" s="19"/>
    </row>
    <row r="23" spans="1:9" x14ac:dyDescent="0.25">
      <c r="A23" s="18"/>
      <c r="B23" s="6"/>
      <c r="C23" s="6"/>
      <c r="D23" s="6"/>
      <c r="E23" s="6"/>
      <c r="F23" s="6"/>
      <c r="G23" s="19"/>
    </row>
    <row r="24" spans="1:9" x14ac:dyDescent="0.25">
      <c r="A24" s="18"/>
      <c r="B24" s="6"/>
      <c r="C24" s="6"/>
      <c r="D24" s="6"/>
      <c r="E24" s="6"/>
      <c r="F24" s="6"/>
      <c r="G24" s="19"/>
    </row>
    <row r="25" spans="1:9" x14ac:dyDescent="0.25">
      <c r="A25" s="18"/>
      <c r="B25" s="6"/>
      <c r="C25" s="6"/>
      <c r="D25" s="6"/>
      <c r="E25" s="6"/>
      <c r="F25" s="6"/>
      <c r="G25" s="19"/>
    </row>
    <row r="26" spans="1:9" x14ac:dyDescent="0.25">
      <c r="A26" s="18"/>
      <c r="B26" s="6"/>
      <c r="C26" s="6"/>
      <c r="D26" s="6"/>
      <c r="E26" s="6"/>
      <c r="F26" s="6"/>
      <c r="G26" s="19"/>
    </row>
    <row r="27" spans="1:9" x14ac:dyDescent="0.25">
      <c r="A27" s="18"/>
      <c r="B27" s="6"/>
      <c r="C27" s="6"/>
      <c r="D27" s="6"/>
      <c r="E27" s="6"/>
      <c r="F27" s="6"/>
      <c r="G27" s="19"/>
    </row>
    <row r="28" spans="1:9" x14ac:dyDescent="0.25">
      <c r="A28" s="18"/>
      <c r="B28" s="6"/>
      <c r="C28" s="6"/>
      <c r="D28" s="6"/>
      <c r="E28" s="6"/>
      <c r="F28" s="6"/>
      <c r="G28" s="19"/>
    </row>
    <row r="29" spans="1:9" x14ac:dyDescent="0.25">
      <c r="A29" s="18"/>
      <c r="B29" s="6"/>
      <c r="C29" s="6"/>
      <c r="D29" s="6"/>
      <c r="E29" s="6"/>
      <c r="F29" s="6"/>
      <c r="G29" s="19"/>
    </row>
    <row r="30" spans="1:9" x14ac:dyDescent="0.25">
      <c r="A30" s="18"/>
      <c r="B30" s="6"/>
      <c r="C30" s="6"/>
      <c r="D30" s="6"/>
      <c r="E30" s="6"/>
      <c r="F30" s="6"/>
      <c r="G30" s="19"/>
    </row>
    <row r="31" spans="1:9" x14ac:dyDescent="0.25">
      <c r="A31" s="18"/>
      <c r="B31" s="6"/>
      <c r="C31" s="6"/>
      <c r="D31" s="6"/>
      <c r="E31" s="6"/>
      <c r="F31" s="6"/>
      <c r="G31" s="19"/>
    </row>
    <row r="32" spans="1:9" x14ac:dyDescent="0.25">
      <c r="A32" s="18"/>
      <c r="B32" s="6"/>
      <c r="C32" s="6"/>
      <c r="D32" s="6"/>
      <c r="E32" s="6"/>
      <c r="F32" s="6"/>
      <c r="G32" s="19"/>
    </row>
    <row r="33" spans="1:7" x14ac:dyDescent="0.25">
      <c r="A33" s="18"/>
      <c r="B33" s="6"/>
      <c r="C33" s="6"/>
      <c r="D33" s="6"/>
      <c r="E33" s="6"/>
      <c r="F33" s="6"/>
      <c r="G33" s="19"/>
    </row>
    <row r="34" spans="1:7" x14ac:dyDescent="0.25">
      <c r="A34" s="18"/>
      <c r="B34" s="6"/>
      <c r="C34" s="6"/>
      <c r="D34" s="6"/>
      <c r="E34" s="6"/>
      <c r="F34" s="6"/>
      <c r="G34" s="19"/>
    </row>
    <row r="35" spans="1:7" x14ac:dyDescent="0.25">
      <c r="A35" s="22" t="s">
        <v>2</v>
      </c>
      <c r="B35" s="6" t="s">
        <v>229</v>
      </c>
      <c r="C35" s="6"/>
      <c r="D35" s="6"/>
      <c r="E35" s="6"/>
      <c r="F35" s="6"/>
      <c r="G35" s="19"/>
    </row>
    <row r="36" spans="1:7" ht="15.75" thickBot="1" x14ac:dyDescent="0.3">
      <c r="A36" s="21">
        <f>INDEX('Point Grid'!$C$8:$I$26,MATCH($A$1,'Point Grid'!$A$8:$A$26,0),MATCH(A35,'Point Grid'!$C$7:$I$7,0))</f>
        <v>0.5</v>
      </c>
      <c r="B36" s="6"/>
      <c r="C36" s="6"/>
      <c r="D36" s="6"/>
      <c r="E36" s="6"/>
      <c r="F36" s="6"/>
      <c r="G36" s="19"/>
    </row>
    <row r="37" spans="1:7" ht="15.75" thickBot="1" x14ac:dyDescent="0.3">
      <c r="A37" s="5">
        <v>0.5</v>
      </c>
      <c r="B37" s="6"/>
      <c r="C37" s="6"/>
      <c r="D37" s="6"/>
      <c r="E37" s="6"/>
      <c r="F37" s="6"/>
      <c r="G37" s="19"/>
    </row>
    <row r="38" spans="1:7" x14ac:dyDescent="0.25">
      <c r="A38" s="18"/>
      <c r="B38" s="6"/>
      <c r="C38" s="6"/>
      <c r="D38" s="6"/>
      <c r="E38" s="6"/>
      <c r="F38" s="6"/>
      <c r="G38" s="19"/>
    </row>
    <row r="39" spans="1:7" x14ac:dyDescent="0.25">
      <c r="A39" s="22" t="s">
        <v>3</v>
      </c>
      <c r="B39" s="6" t="s">
        <v>230</v>
      </c>
      <c r="C39" s="6"/>
      <c r="D39" s="6"/>
      <c r="E39" s="6"/>
      <c r="F39" s="6"/>
      <c r="G39" s="19"/>
    </row>
    <row r="40" spans="1:7" ht="15.75" thickBot="1" x14ac:dyDescent="0.3">
      <c r="A40" s="21">
        <f>INDEX('Point Grid'!$C$8:$I$26,MATCH($A$1,'Point Grid'!$A$8:$A$26,0),MATCH(A39,'Point Grid'!$C$7:$I$7,0))</f>
        <v>1</v>
      </c>
      <c r="B40" s="6" t="s">
        <v>231</v>
      </c>
      <c r="C40" s="6"/>
      <c r="D40" s="6"/>
      <c r="E40" s="6"/>
      <c r="F40" s="6"/>
      <c r="G40" s="19"/>
    </row>
    <row r="41" spans="1:7" ht="15.75" thickBot="1" x14ac:dyDescent="0.3">
      <c r="A41" s="5">
        <v>1</v>
      </c>
      <c r="B41" s="6" t="s">
        <v>232</v>
      </c>
      <c r="C41" s="6"/>
      <c r="D41" s="6"/>
      <c r="E41" s="6"/>
      <c r="F41" s="6"/>
      <c r="G41" s="19"/>
    </row>
    <row r="42" spans="1:7" x14ac:dyDescent="0.25">
      <c r="A42" s="18"/>
      <c r="B42" s="6" t="s">
        <v>233</v>
      </c>
      <c r="C42" s="6"/>
      <c r="D42" s="6"/>
      <c r="E42" s="6"/>
      <c r="F42" s="6"/>
      <c r="G42" s="19"/>
    </row>
    <row r="43" spans="1:7" x14ac:dyDescent="0.25">
      <c r="A43" s="18"/>
      <c r="B43" s="6" t="s">
        <v>234</v>
      </c>
      <c r="C43" s="6"/>
      <c r="D43" s="6"/>
      <c r="E43" s="6"/>
      <c r="F43" s="6"/>
      <c r="G43" s="19"/>
    </row>
    <row r="44" spans="1:7" x14ac:dyDescent="0.25">
      <c r="A44" s="18"/>
      <c r="B44" s="6"/>
      <c r="C44" s="6"/>
      <c r="D44" s="6"/>
      <c r="E44" s="6"/>
      <c r="F44" s="6"/>
      <c r="G44" s="19"/>
    </row>
    <row r="45" spans="1:7" x14ac:dyDescent="0.25">
      <c r="A45" s="22" t="s">
        <v>4</v>
      </c>
      <c r="B45" s="6" t="s">
        <v>235</v>
      </c>
      <c r="C45" s="6"/>
      <c r="D45" s="6"/>
      <c r="E45" s="6"/>
      <c r="F45" s="6"/>
      <c r="G45" s="19"/>
    </row>
    <row r="46" spans="1:7" ht="15.75" thickBot="1" x14ac:dyDescent="0.3">
      <c r="A46" s="21">
        <f>INDEX('Point Grid'!$C$8:$I$26,MATCH($A$1,'Point Grid'!$A$8:$A$26,0),MATCH(A45,'Point Grid'!$C$7:$I$7,0))</f>
        <v>0.5</v>
      </c>
      <c r="B46" s="6" t="s">
        <v>236</v>
      </c>
      <c r="C46" s="6"/>
      <c r="D46" s="6"/>
      <c r="E46" s="6"/>
      <c r="F46" s="6"/>
      <c r="G46" s="19"/>
    </row>
    <row r="47" spans="1:7" ht="15.75" thickBot="1" x14ac:dyDescent="0.3">
      <c r="A47" s="5">
        <v>0.5</v>
      </c>
      <c r="B47" s="24"/>
      <c r="C47" s="24"/>
      <c r="D47" s="24"/>
      <c r="E47" s="24"/>
      <c r="F47" s="24"/>
      <c r="G47" s="25"/>
    </row>
  </sheetData>
  <sheetProtection formatCells="0" formatColumns="0" formatRows="0"/>
  <conditionalFormatting sqref="B1">
    <cfRule type="cellIs" dxfId="33" priority="1" operator="equal">
      <formula>"Incomplete"</formula>
    </cfRule>
    <cfRule type="cellIs" dxfId="32" priority="2" operator="equal">
      <formula>"Flag for Review"</formula>
    </cfRule>
    <cfRule type="cellIs" dxfId="31" priority="3" operator="equal">
      <formula>"Finished"</formula>
    </cfRule>
  </conditionalFormatting>
  <dataValidations count="2">
    <dataValidation type="decimal" allowBlank="1" showInputMessage="1" showErrorMessage="1" sqref="A37 A41 A47" xr:uid="{DEFD49D5-8A8C-4FF0-AC11-A4FBD08942C1}">
      <formula1>0</formula1>
      <formula2>A36</formula2>
    </dataValidation>
    <dataValidation type="list" allowBlank="1" showInputMessage="1" showErrorMessage="1" sqref="B1" xr:uid="{1DB612C0-CD2B-46AD-9D7C-F0A75A85985E}">
      <formula1>"Finished, Flag for Review, Incomplete"</formula1>
    </dataValidation>
  </dataValidations>
  <hyperlinks>
    <hyperlink ref="G1" location="Navigator!A1" display="Navigator" xr:uid="{82A53580-52A0-4C67-AE9B-F1AF038D46D5}"/>
  </hyperlink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10730-8DC4-453C-BA96-A92985F43952}">
  <sheetPr codeName="Sheet15"/>
  <dimension ref="A1:I23"/>
  <sheetViews>
    <sheetView workbookViewId="0"/>
  </sheetViews>
  <sheetFormatPr defaultColWidth="9.140625" defaultRowHeight="15" x14ac:dyDescent="0.25"/>
  <cols>
    <col min="1" max="1" width="6.5703125" style="4" bestFit="1" customWidth="1"/>
    <col min="2" max="2" width="17.85546875" style="4" customWidth="1"/>
    <col min="3" max="3" width="10.7109375" style="4" bestFit="1" customWidth="1"/>
    <col min="4" max="4" width="18.85546875" style="4" bestFit="1" customWidth="1"/>
    <col min="5" max="5" width="17.42578125" style="4" bestFit="1" customWidth="1"/>
    <col min="6" max="6" width="12.28515625" style="4" customWidth="1"/>
    <col min="7" max="7" width="9.28515625" style="4" customWidth="1"/>
    <col min="8" max="8" width="3.7109375" style="72" customWidth="1"/>
    <col min="9" max="16384" width="9.140625" style="4"/>
  </cols>
  <sheetData>
    <row r="1" spans="1:9" ht="15.75" x14ac:dyDescent="0.25">
      <c r="A1" s="16">
        <v>13</v>
      </c>
      <c r="B1" s="15" t="s">
        <v>362</v>
      </c>
      <c r="C1" s="139" t="s">
        <v>600</v>
      </c>
      <c r="D1" s="138" t="s">
        <v>610</v>
      </c>
      <c r="E1" s="134" t="s">
        <v>597</v>
      </c>
      <c r="F1" s="17"/>
      <c r="G1" s="133" t="s">
        <v>596</v>
      </c>
      <c r="H1" s="114"/>
      <c r="I1" s="130" t="s">
        <v>310</v>
      </c>
    </row>
    <row r="2" spans="1:9" x14ac:dyDescent="0.25">
      <c r="A2" s="18"/>
      <c r="B2" s="6"/>
      <c r="C2" s="6"/>
      <c r="D2" s="140"/>
      <c r="E2" s="6"/>
      <c r="F2" s="6"/>
      <c r="G2" s="19"/>
      <c r="H2" s="72" t="s">
        <v>2</v>
      </c>
      <c r="I2" s="4" t="s">
        <v>514</v>
      </c>
    </row>
    <row r="3" spans="1:9" x14ac:dyDescent="0.25">
      <c r="A3" s="20" t="s">
        <v>14</v>
      </c>
      <c r="B3" s="6" t="s">
        <v>237</v>
      </c>
      <c r="C3" s="6"/>
      <c r="D3" s="6"/>
      <c r="E3" s="6"/>
      <c r="F3" s="6"/>
      <c r="G3" s="19"/>
      <c r="I3" s="4" t="s">
        <v>515</v>
      </c>
    </row>
    <row r="4" spans="1:9" x14ac:dyDescent="0.25">
      <c r="A4" s="21">
        <f>INDEX('Point Grid'!B:B,MATCH('13'!A1,'Point Grid'!A:A,0))</f>
        <v>2</v>
      </c>
      <c r="B4" s="6" t="s">
        <v>238</v>
      </c>
      <c r="C4" s="6"/>
      <c r="D4" s="6"/>
      <c r="E4" s="6"/>
      <c r="F4" s="6"/>
      <c r="G4" s="19"/>
      <c r="I4" s="4" t="s">
        <v>516</v>
      </c>
    </row>
    <row r="5" spans="1:9" x14ac:dyDescent="0.25">
      <c r="A5" s="18"/>
      <c r="B5" s="6" t="s">
        <v>239</v>
      </c>
      <c r="C5" s="6"/>
      <c r="D5" s="6"/>
      <c r="E5" s="6"/>
      <c r="F5" s="6"/>
      <c r="G5" s="19"/>
    </row>
    <row r="6" spans="1:9" x14ac:dyDescent="0.25">
      <c r="A6" s="18"/>
      <c r="B6" s="116" t="s">
        <v>240</v>
      </c>
      <c r="C6" s="116" t="s">
        <v>241</v>
      </c>
      <c r="D6" s="6"/>
      <c r="E6" s="6"/>
      <c r="F6" s="6"/>
      <c r="G6" s="19"/>
    </row>
    <row r="7" spans="1:9" x14ac:dyDescent="0.25">
      <c r="A7" s="18"/>
      <c r="B7" s="13">
        <v>1</v>
      </c>
      <c r="C7" s="55">
        <v>0.7</v>
      </c>
      <c r="D7" s="6"/>
      <c r="E7" s="6"/>
      <c r="F7" s="6"/>
      <c r="G7" s="19"/>
    </row>
    <row r="8" spans="1:9" x14ac:dyDescent="0.25">
      <c r="A8" s="18"/>
      <c r="B8" s="13">
        <v>3</v>
      </c>
      <c r="C8" s="55">
        <v>0.2</v>
      </c>
      <c r="D8" s="6"/>
      <c r="E8" s="6"/>
      <c r="F8" s="6"/>
      <c r="G8" s="19"/>
    </row>
    <row r="9" spans="1:9" x14ac:dyDescent="0.25">
      <c r="A9" s="18"/>
      <c r="B9" s="13">
        <v>5</v>
      </c>
      <c r="C9" s="55">
        <v>0.1</v>
      </c>
      <c r="D9" s="6"/>
      <c r="E9" s="6"/>
      <c r="F9" s="6"/>
      <c r="G9" s="19"/>
    </row>
    <row r="10" spans="1:9" x14ac:dyDescent="0.25">
      <c r="A10" s="18"/>
      <c r="B10" s="6"/>
      <c r="C10" s="6"/>
      <c r="D10" s="6"/>
      <c r="E10" s="6"/>
      <c r="F10" s="6"/>
      <c r="G10" s="19"/>
      <c r="I10" s="4" t="s">
        <v>517</v>
      </c>
    </row>
    <row r="11" spans="1:9" x14ac:dyDescent="0.25">
      <c r="A11" s="18"/>
      <c r="B11" s="6" t="s">
        <v>242</v>
      </c>
      <c r="C11" s="6"/>
      <c r="D11" s="6"/>
      <c r="E11" s="6"/>
      <c r="F11" s="6"/>
      <c r="G11" s="19"/>
      <c r="I11" s="4" t="s">
        <v>518</v>
      </c>
    </row>
    <row r="12" spans="1:9" x14ac:dyDescent="0.25">
      <c r="A12" s="18"/>
      <c r="B12" s="6" t="s">
        <v>243</v>
      </c>
      <c r="C12" s="6"/>
      <c r="D12" s="6"/>
      <c r="E12" s="6"/>
      <c r="F12" s="6"/>
      <c r="G12" s="19"/>
      <c r="I12" s="4" t="s">
        <v>519</v>
      </c>
    </row>
    <row r="13" spans="1:9" ht="18" x14ac:dyDescent="0.35">
      <c r="A13" s="18"/>
      <c r="B13" s="6" t="s">
        <v>244</v>
      </c>
      <c r="C13" s="6"/>
      <c r="D13" s="6"/>
      <c r="E13" s="6"/>
      <c r="F13" s="6"/>
      <c r="G13" s="19"/>
    </row>
    <row r="14" spans="1:9" x14ac:dyDescent="0.25">
      <c r="A14" s="18"/>
      <c r="B14" s="6" t="s">
        <v>245</v>
      </c>
      <c r="C14" s="6"/>
      <c r="D14" s="6"/>
      <c r="E14" s="6"/>
      <c r="F14" s="6"/>
      <c r="G14" s="19"/>
      <c r="I14" s="4" t="s">
        <v>357</v>
      </c>
    </row>
    <row r="15" spans="1:9" x14ac:dyDescent="0.25">
      <c r="A15" s="18"/>
      <c r="B15" s="6" t="s">
        <v>246</v>
      </c>
      <c r="C15" s="6"/>
      <c r="D15" s="6"/>
      <c r="E15" s="6"/>
      <c r="F15" s="6"/>
      <c r="G15" s="19"/>
    </row>
    <row r="16" spans="1:9" x14ac:dyDescent="0.25">
      <c r="A16" s="18"/>
      <c r="B16" s="6"/>
      <c r="C16" s="6"/>
      <c r="D16" s="6"/>
      <c r="E16" s="6"/>
      <c r="F16" s="6"/>
      <c r="G16" s="19"/>
      <c r="I16" s="4" t="s">
        <v>520</v>
      </c>
    </row>
    <row r="17" spans="1:9" x14ac:dyDescent="0.25">
      <c r="A17" s="22" t="s">
        <v>2</v>
      </c>
      <c r="B17" s="6" t="s">
        <v>247</v>
      </c>
      <c r="C17" s="6"/>
      <c r="D17" s="6"/>
      <c r="E17" s="6"/>
      <c r="F17" s="6"/>
      <c r="G17" s="19"/>
    </row>
    <row r="18" spans="1:9" ht="15.75" thickBot="1" x14ac:dyDescent="0.3">
      <c r="A18" s="21">
        <f>INDEX('Point Grid'!$C$8:$I$26,MATCH($A$1,'Point Grid'!$A$8:$A$26,0),MATCH(A17,'Point Grid'!$C$7:$I$7,0))</f>
        <v>1.5</v>
      </c>
      <c r="B18" s="6"/>
      <c r="C18" s="6"/>
      <c r="D18" s="6"/>
      <c r="E18" s="6"/>
      <c r="F18" s="6"/>
      <c r="G18" s="19"/>
      <c r="I18" s="4" t="s">
        <v>521</v>
      </c>
    </row>
    <row r="19" spans="1:9" ht="15.75" thickBot="1" x14ac:dyDescent="0.3">
      <c r="A19" s="5">
        <v>1.5</v>
      </c>
      <c r="B19" s="6"/>
      <c r="C19" s="6"/>
      <c r="D19" s="6"/>
      <c r="E19" s="6"/>
      <c r="F19" s="6"/>
      <c r="G19" s="19"/>
      <c r="I19" s="160">
        <f>0.9*(1558.85-1433.3)</f>
        <v>112.99499999999996</v>
      </c>
    </row>
    <row r="20" spans="1:9" x14ac:dyDescent="0.25">
      <c r="A20" s="18"/>
      <c r="B20" s="6"/>
      <c r="C20" s="6"/>
      <c r="D20" s="6"/>
      <c r="E20" s="6"/>
      <c r="F20" s="6"/>
      <c r="G20" s="19"/>
    </row>
    <row r="21" spans="1:9" x14ac:dyDescent="0.25">
      <c r="A21" s="22" t="s">
        <v>3</v>
      </c>
      <c r="B21" s="6" t="s">
        <v>248</v>
      </c>
      <c r="C21" s="6"/>
      <c r="D21" s="6"/>
      <c r="E21" s="6"/>
      <c r="F21" s="6"/>
      <c r="G21" s="19"/>
      <c r="H21" s="72" t="s">
        <v>3</v>
      </c>
      <c r="I21" s="4" t="s">
        <v>522</v>
      </c>
    </row>
    <row r="22" spans="1:9" ht="15.75" thickBot="1" x14ac:dyDescent="0.3">
      <c r="A22" s="21">
        <f>INDEX('Point Grid'!$C$8:$I$26,MATCH($A$1,'Point Grid'!$A$8:$A$26,0),MATCH(A21,'Point Grid'!$C$7:$I$7,0))</f>
        <v>0.5</v>
      </c>
      <c r="B22" s="6" t="s">
        <v>249</v>
      </c>
      <c r="C22" s="6"/>
      <c r="D22" s="6"/>
      <c r="E22" s="6"/>
      <c r="F22" s="6"/>
      <c r="G22" s="19"/>
      <c r="I22" s="4" t="s">
        <v>523</v>
      </c>
    </row>
    <row r="23" spans="1:9" ht="15.75" thickBot="1" x14ac:dyDescent="0.3">
      <c r="A23" s="5">
        <v>0.5</v>
      </c>
      <c r="B23" s="24"/>
      <c r="C23" s="24"/>
      <c r="D23" s="24"/>
      <c r="E23" s="24"/>
      <c r="F23" s="24"/>
      <c r="G23" s="25"/>
    </row>
  </sheetData>
  <sheetProtection formatCells="0" formatColumns="0" formatRows="0"/>
  <conditionalFormatting sqref="B1">
    <cfRule type="cellIs" dxfId="30" priority="1" operator="equal">
      <formula>"Incomplete"</formula>
    </cfRule>
    <cfRule type="cellIs" dxfId="29" priority="2" operator="equal">
      <formula>"Flag for Review"</formula>
    </cfRule>
    <cfRule type="cellIs" dxfId="28" priority="3" operator="equal">
      <formula>"Finished"</formula>
    </cfRule>
  </conditionalFormatting>
  <dataValidations count="2">
    <dataValidation type="list" allowBlank="1" showInputMessage="1" showErrorMessage="1" sqref="B1" xr:uid="{B3FAC1E8-7ACA-46C6-A94D-743E2A279E76}">
      <formula1>"Finished, Flag for Review, Incomplete"</formula1>
    </dataValidation>
    <dataValidation type="decimal" allowBlank="1" showInputMessage="1" showErrorMessage="1" sqref="A19 A23" xr:uid="{E1EC6641-DF74-4CF1-B17A-2AE58A31819F}">
      <formula1>0</formula1>
      <formula2>A18</formula2>
    </dataValidation>
  </dataValidations>
  <hyperlinks>
    <hyperlink ref="G1" location="Navigator!A1" display="Navigator" xr:uid="{1355DAF0-F2A9-46E8-91E5-CD7A0C7A00F3}"/>
    <hyperlink ref="E1" location="'Formula Sheet'!A1" display="Formula Sheet" xr:uid="{7E3289A7-9C29-43CB-A798-68FFA70BF533}"/>
  </hyperlink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1351B-8162-42BD-BEA2-4B7D079E86B1}">
  <sheetPr codeName="Sheet16"/>
  <dimension ref="A1:I22"/>
  <sheetViews>
    <sheetView workbookViewId="0"/>
  </sheetViews>
  <sheetFormatPr defaultColWidth="9.140625" defaultRowHeight="15" x14ac:dyDescent="0.25"/>
  <cols>
    <col min="1" max="1" width="6.5703125" style="4" bestFit="1" customWidth="1"/>
    <col min="2" max="2" width="21.85546875" style="4" customWidth="1"/>
    <col min="3" max="3" width="11.85546875" style="4" customWidth="1"/>
    <col min="4" max="4" width="21.7109375" style="4" customWidth="1"/>
    <col min="5" max="5" width="17.42578125" style="4" bestFit="1" customWidth="1"/>
    <col min="6" max="6" width="9.140625" style="4"/>
    <col min="7" max="7" width="9.28515625" style="4" customWidth="1"/>
    <col min="8" max="8" width="3.7109375" style="72" customWidth="1"/>
    <col min="9" max="9" width="10.85546875" style="4" bestFit="1" customWidth="1"/>
    <col min="10" max="16384" width="9.140625" style="4"/>
  </cols>
  <sheetData>
    <row r="1" spans="1:9" ht="15.75" x14ac:dyDescent="0.25">
      <c r="A1" s="16">
        <v>14</v>
      </c>
      <c r="B1" s="15" t="s">
        <v>362</v>
      </c>
      <c r="C1" s="139" t="s">
        <v>600</v>
      </c>
      <c r="D1" s="138" t="s">
        <v>611</v>
      </c>
      <c r="E1" s="17"/>
      <c r="F1" s="17"/>
      <c r="G1" s="133" t="s">
        <v>596</v>
      </c>
      <c r="H1" s="114"/>
      <c r="I1" s="130" t="s">
        <v>310</v>
      </c>
    </row>
    <row r="2" spans="1:9" x14ac:dyDescent="0.25">
      <c r="A2" s="18"/>
      <c r="B2" s="6"/>
      <c r="C2" s="6"/>
      <c r="D2" s="6"/>
      <c r="E2" s="6"/>
      <c r="F2" s="6"/>
      <c r="G2" s="19"/>
      <c r="H2" s="72" t="s">
        <v>2</v>
      </c>
    </row>
    <row r="3" spans="1:9" x14ac:dyDescent="0.25">
      <c r="A3" s="20" t="s">
        <v>14</v>
      </c>
      <c r="B3" s="6" t="s">
        <v>250</v>
      </c>
      <c r="C3" s="6"/>
      <c r="D3" s="6"/>
      <c r="E3" s="6"/>
      <c r="F3" s="6"/>
      <c r="G3" s="19"/>
      <c r="I3" s="4" t="s">
        <v>524</v>
      </c>
    </row>
    <row r="4" spans="1:9" x14ac:dyDescent="0.25">
      <c r="A4" s="21">
        <f>INDEX('Point Grid'!B:B,MATCH('14'!A1,'Point Grid'!A:A,0))</f>
        <v>2</v>
      </c>
      <c r="B4" s="6" t="s">
        <v>251</v>
      </c>
      <c r="C4" s="6"/>
      <c r="D4" s="6"/>
      <c r="E4" s="6"/>
      <c r="F4" s="6"/>
      <c r="G4" s="19"/>
    </row>
    <row r="5" spans="1:9" x14ac:dyDescent="0.25">
      <c r="A5" s="18"/>
      <c r="B5" s="13" t="s">
        <v>252</v>
      </c>
      <c r="C5" s="13">
        <v>1.07</v>
      </c>
      <c r="D5" s="6"/>
      <c r="E5" s="6"/>
      <c r="F5" s="6"/>
      <c r="G5" s="19"/>
      <c r="I5" s="4" t="s">
        <v>525</v>
      </c>
    </row>
    <row r="6" spans="1:9" x14ac:dyDescent="0.25">
      <c r="A6" s="18"/>
      <c r="B6" s="13" t="s">
        <v>253</v>
      </c>
      <c r="C6" s="47">
        <v>825000</v>
      </c>
      <c r="D6" s="6"/>
      <c r="E6" s="6"/>
      <c r="F6" s="6"/>
      <c r="G6" s="19"/>
    </row>
    <row r="7" spans="1:9" x14ac:dyDescent="0.25">
      <c r="A7" s="18"/>
      <c r="B7" s="13" t="s">
        <v>254</v>
      </c>
      <c r="C7" s="47">
        <v>20000</v>
      </c>
      <c r="D7" s="6"/>
      <c r="E7" s="6"/>
      <c r="F7" s="6"/>
      <c r="G7" s="19"/>
    </row>
    <row r="8" spans="1:9" ht="18" x14ac:dyDescent="0.35">
      <c r="A8" s="18"/>
      <c r="B8" s="56" t="s">
        <v>256</v>
      </c>
      <c r="C8" s="53">
        <v>0.4</v>
      </c>
      <c r="D8" s="6"/>
      <c r="E8" s="6"/>
      <c r="F8" s="6"/>
      <c r="G8" s="19"/>
      <c r="I8" s="4" t="s">
        <v>526</v>
      </c>
    </row>
    <row r="9" spans="1:9" ht="18" x14ac:dyDescent="0.35">
      <c r="A9" s="18"/>
      <c r="B9" s="56" t="s">
        <v>255</v>
      </c>
      <c r="C9" s="53">
        <v>0.8</v>
      </c>
      <c r="D9" s="6"/>
      <c r="E9" s="6"/>
      <c r="F9" s="6"/>
      <c r="G9" s="19"/>
      <c r="I9" s="4" t="s">
        <v>527</v>
      </c>
    </row>
    <row r="10" spans="1:9" ht="18" x14ac:dyDescent="0.35">
      <c r="A10" s="18"/>
      <c r="B10" s="57" t="s">
        <v>258</v>
      </c>
      <c r="C10" s="53">
        <v>1.21</v>
      </c>
      <c r="D10" s="6"/>
      <c r="E10" s="6"/>
      <c r="F10" s="6"/>
      <c r="G10" s="19"/>
    </row>
    <row r="11" spans="1:9" ht="18" x14ac:dyDescent="0.35">
      <c r="A11" s="18"/>
      <c r="B11" s="57" t="s">
        <v>257</v>
      </c>
      <c r="C11" s="53">
        <v>0.5</v>
      </c>
      <c r="D11" s="6"/>
      <c r="E11" s="6"/>
      <c r="F11" s="6"/>
      <c r="G11" s="19"/>
      <c r="I11" s="4" t="s">
        <v>528</v>
      </c>
    </row>
    <row r="12" spans="1:9" x14ac:dyDescent="0.25">
      <c r="A12" s="18"/>
      <c r="B12" s="6"/>
      <c r="C12" s="6"/>
      <c r="D12" s="6"/>
      <c r="E12" s="6"/>
      <c r="F12" s="6"/>
      <c r="G12" s="19"/>
      <c r="I12" s="4" t="s">
        <v>529</v>
      </c>
    </row>
    <row r="13" spans="1:9" x14ac:dyDescent="0.25">
      <c r="A13" s="22" t="s">
        <v>2</v>
      </c>
      <c r="B13" s="6" t="s">
        <v>259</v>
      </c>
      <c r="C13" s="6"/>
      <c r="D13" s="6"/>
      <c r="E13" s="6"/>
      <c r="F13" s="6"/>
      <c r="G13" s="19"/>
      <c r="I13" s="165">
        <f>C7-(C5-1)*C6+C5*82500</f>
        <v>50524.999999999949</v>
      </c>
    </row>
    <row r="14" spans="1:9" ht="15.75" thickBot="1" x14ac:dyDescent="0.3">
      <c r="A14" s="21">
        <f>INDEX('Point Grid'!$C$8:$I$26,MATCH($A$1,'Point Grid'!$A$8:$A$26,0),MATCH(A13,'Point Grid'!$C$7:$I$7,0))</f>
        <v>1</v>
      </c>
      <c r="B14" s="6"/>
      <c r="C14" s="6"/>
      <c r="D14" s="6"/>
      <c r="E14" s="6"/>
      <c r="F14" s="6"/>
      <c r="G14" s="19"/>
    </row>
    <row r="15" spans="1:9" ht="15.75" thickBot="1" x14ac:dyDescent="0.3">
      <c r="A15" s="5">
        <v>1</v>
      </c>
      <c r="B15" s="6"/>
      <c r="C15" s="6"/>
      <c r="D15" s="6"/>
      <c r="E15" s="6"/>
      <c r="F15" s="6"/>
      <c r="G15" s="19"/>
      <c r="H15" s="72" t="s">
        <v>3</v>
      </c>
      <c r="I15" s="4" t="s">
        <v>530</v>
      </c>
    </row>
    <row r="16" spans="1:9" x14ac:dyDescent="0.25">
      <c r="A16" s="18"/>
      <c r="B16" s="6"/>
      <c r="C16" s="6"/>
      <c r="D16" s="6"/>
      <c r="E16" s="6"/>
      <c r="F16" s="6"/>
      <c r="G16" s="19"/>
      <c r="I16" s="4" t="s">
        <v>531</v>
      </c>
    </row>
    <row r="17" spans="1:9" x14ac:dyDescent="0.25">
      <c r="A17" s="22" t="s">
        <v>3</v>
      </c>
      <c r="B17" s="6" t="s">
        <v>260</v>
      </c>
      <c r="C17" s="6"/>
      <c r="D17" s="6"/>
      <c r="E17" s="6"/>
      <c r="F17" s="6"/>
      <c r="G17" s="19"/>
      <c r="I17" s="4" t="s">
        <v>532</v>
      </c>
    </row>
    <row r="18" spans="1:9" ht="15.75" thickBot="1" x14ac:dyDescent="0.3">
      <c r="A18" s="21">
        <f>INDEX('Point Grid'!$C$8:$I$26,MATCH($A$1,'Point Grid'!$A$8:$A$26,0),MATCH(A17,'Point Grid'!$C$7:$I$7,0))</f>
        <v>1</v>
      </c>
      <c r="B18" s="6" t="s">
        <v>261</v>
      </c>
      <c r="C18" s="6"/>
      <c r="D18" s="6"/>
      <c r="E18" s="6"/>
      <c r="F18" s="6"/>
      <c r="G18" s="19"/>
      <c r="I18" s="4" t="s">
        <v>533</v>
      </c>
    </row>
    <row r="19" spans="1:9" ht="15.75" thickBot="1" x14ac:dyDescent="0.3">
      <c r="A19" s="5">
        <v>1</v>
      </c>
      <c r="B19" s="6" t="s">
        <v>262</v>
      </c>
      <c r="C19" s="6"/>
      <c r="D19" s="6"/>
      <c r="E19" s="6"/>
      <c r="F19" s="6"/>
      <c r="G19" s="19"/>
    </row>
    <row r="20" spans="1:9" x14ac:dyDescent="0.25">
      <c r="A20" s="18"/>
      <c r="B20" s="6" t="s">
        <v>263</v>
      </c>
      <c r="C20" s="6"/>
      <c r="D20" s="6"/>
      <c r="E20" s="6"/>
      <c r="F20" s="6"/>
      <c r="G20" s="19"/>
    </row>
    <row r="21" spans="1:9" x14ac:dyDescent="0.25">
      <c r="A21" s="18"/>
      <c r="B21" s="6"/>
      <c r="C21" s="6"/>
      <c r="D21" s="6"/>
      <c r="E21" s="6"/>
      <c r="F21" s="6"/>
      <c r="G21" s="19"/>
    </row>
    <row r="22" spans="1:9" ht="15.75" thickBot="1" x14ac:dyDescent="0.3">
      <c r="A22" s="23"/>
      <c r="B22" s="24" t="s">
        <v>264</v>
      </c>
      <c r="C22" s="24"/>
      <c r="D22" s="24"/>
      <c r="E22" s="24"/>
      <c r="F22" s="24"/>
      <c r="G22" s="25"/>
    </row>
  </sheetData>
  <sheetProtection formatCells="0" formatColumns="0" formatRows="0"/>
  <conditionalFormatting sqref="B1">
    <cfRule type="cellIs" dxfId="27" priority="1" operator="equal">
      <formula>"Incomplete"</formula>
    </cfRule>
    <cfRule type="cellIs" dxfId="26" priority="2" operator="equal">
      <formula>"Flag for Review"</formula>
    </cfRule>
    <cfRule type="cellIs" dxfId="25" priority="3" operator="equal">
      <formula>"Finished"</formula>
    </cfRule>
  </conditionalFormatting>
  <dataValidations count="2">
    <dataValidation type="decimal" allowBlank="1" showInputMessage="1" showErrorMessage="1" sqref="A15 A19" xr:uid="{AA14A201-453D-4451-9859-812DDBFEDE46}">
      <formula1>0</formula1>
      <formula2>A14</formula2>
    </dataValidation>
    <dataValidation type="list" allowBlank="1" showInputMessage="1" showErrorMessage="1" sqref="B1" xr:uid="{3135A7B7-1E11-473E-9B2F-023E46AE19DF}">
      <formula1>"Finished, Flag for Review, Incomplete"</formula1>
    </dataValidation>
  </dataValidations>
  <hyperlinks>
    <hyperlink ref="G1" location="Navigator!A1" display="Navigator" xr:uid="{6F57DA43-6E6A-4F00-854C-BCB7C8876DFE}"/>
  </hyperlink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7C649-2601-492B-9D6B-7A4C22A2668A}">
  <sheetPr codeName="Sheet17"/>
  <dimension ref="A1:J39"/>
  <sheetViews>
    <sheetView workbookViewId="0"/>
  </sheetViews>
  <sheetFormatPr defaultColWidth="9.140625" defaultRowHeight="15" x14ac:dyDescent="0.25"/>
  <cols>
    <col min="1" max="1" width="6.5703125" style="4" bestFit="1" customWidth="1"/>
    <col min="2" max="2" width="19.28515625" style="4" customWidth="1"/>
    <col min="3" max="3" width="9.42578125" style="4" customWidth="1"/>
    <col min="4" max="4" width="25.5703125" style="4" customWidth="1"/>
    <col min="5" max="5" width="14" style="4" bestFit="1" customWidth="1"/>
    <col min="6" max="6" width="20.28515625" style="4" customWidth="1"/>
    <col min="7" max="7" width="5.7109375" style="4" customWidth="1"/>
    <col min="8" max="8" width="3.7109375" style="72" customWidth="1"/>
    <col min="9" max="9" width="10.140625" style="4" bestFit="1" customWidth="1"/>
    <col min="10" max="16384" width="9.140625" style="4"/>
  </cols>
  <sheetData>
    <row r="1" spans="1:9" ht="15.75" x14ac:dyDescent="0.25">
      <c r="A1" s="16">
        <v>15</v>
      </c>
      <c r="B1" s="15" t="s">
        <v>362</v>
      </c>
      <c r="C1" s="139" t="s">
        <v>600</v>
      </c>
      <c r="D1" s="138" t="s">
        <v>612</v>
      </c>
      <c r="E1" s="134" t="s">
        <v>597</v>
      </c>
      <c r="F1" s="247" t="s">
        <v>596</v>
      </c>
      <c r="G1" s="248"/>
      <c r="H1" s="114"/>
      <c r="I1" s="130" t="s">
        <v>310</v>
      </c>
    </row>
    <row r="2" spans="1:9" x14ac:dyDescent="0.25">
      <c r="A2" s="18"/>
      <c r="B2" s="6"/>
      <c r="C2" s="6"/>
      <c r="D2" s="140"/>
      <c r="E2" s="6"/>
      <c r="F2" s="6"/>
      <c r="G2" s="19"/>
      <c r="H2" s="72" t="s">
        <v>2</v>
      </c>
      <c r="I2" s="4" t="s">
        <v>534</v>
      </c>
    </row>
    <row r="3" spans="1:9" x14ac:dyDescent="0.25">
      <c r="A3" s="20" t="s">
        <v>14</v>
      </c>
      <c r="B3" s="6" t="s">
        <v>265</v>
      </c>
      <c r="C3" s="6"/>
      <c r="D3" s="6"/>
      <c r="E3" s="6"/>
      <c r="F3" s="6"/>
      <c r="G3" s="19"/>
      <c r="I3" s="4" t="s">
        <v>535</v>
      </c>
    </row>
    <row r="4" spans="1:9" x14ac:dyDescent="0.25">
      <c r="A4" s="21">
        <f>INDEX('Point Grid'!B:B,MATCH('15'!A1,'Point Grid'!A:A,0))</f>
        <v>3.5</v>
      </c>
      <c r="B4" s="6" t="s">
        <v>266</v>
      </c>
      <c r="C4" s="6"/>
      <c r="D4" s="6"/>
      <c r="E4" s="6"/>
      <c r="F4" s="6"/>
      <c r="G4" s="19"/>
      <c r="I4" s="4" t="s">
        <v>536</v>
      </c>
    </row>
    <row r="5" spans="1:9" x14ac:dyDescent="0.25">
      <c r="A5" s="18"/>
      <c r="B5" s="6"/>
      <c r="C5" s="6"/>
      <c r="D5" s="6"/>
      <c r="E5" s="6"/>
      <c r="F5" s="6"/>
      <c r="G5" s="19"/>
    </row>
    <row r="6" spans="1:9" x14ac:dyDescent="0.25">
      <c r="A6" s="18"/>
      <c r="B6" s="6" t="s">
        <v>267</v>
      </c>
      <c r="C6" s="6"/>
      <c r="D6" s="6"/>
      <c r="E6" s="6"/>
      <c r="F6" s="6"/>
      <c r="G6" s="19"/>
      <c r="I6" s="4" t="s">
        <v>537</v>
      </c>
    </row>
    <row r="7" spans="1:9" x14ac:dyDescent="0.25">
      <c r="A7" s="18"/>
      <c r="B7" s="6" t="s">
        <v>280</v>
      </c>
      <c r="C7" s="6"/>
      <c r="D7" s="6"/>
      <c r="E7" s="6"/>
      <c r="F7" s="6"/>
      <c r="G7" s="19"/>
      <c r="I7" s="4" t="s">
        <v>538</v>
      </c>
    </row>
    <row r="8" spans="1:9" ht="17.25" x14ac:dyDescent="0.25">
      <c r="A8" s="18"/>
      <c r="B8" s="6" t="s">
        <v>281</v>
      </c>
      <c r="C8" s="6"/>
      <c r="D8" s="6"/>
      <c r="E8" s="6"/>
      <c r="F8" s="6"/>
      <c r="G8" s="19"/>
      <c r="I8" s="4" t="s">
        <v>539</v>
      </c>
    </row>
    <row r="9" spans="1:9" x14ac:dyDescent="0.25">
      <c r="A9" s="18"/>
      <c r="B9" s="6"/>
      <c r="C9" s="6"/>
      <c r="D9" s="6"/>
      <c r="E9" s="6"/>
      <c r="F9" s="6"/>
      <c r="G9" s="19"/>
    </row>
    <row r="10" spans="1:9" x14ac:dyDescent="0.25">
      <c r="A10" s="18"/>
      <c r="B10" s="6"/>
      <c r="C10" s="6"/>
      <c r="D10" s="6"/>
      <c r="E10" s="6"/>
      <c r="F10" s="6"/>
      <c r="G10" s="19"/>
      <c r="I10" s="4" t="s">
        <v>540</v>
      </c>
    </row>
    <row r="11" spans="1:9" ht="18" x14ac:dyDescent="0.35">
      <c r="A11" s="18"/>
      <c r="B11" s="6"/>
      <c r="C11" s="6"/>
      <c r="D11" s="6"/>
      <c r="E11" s="6"/>
      <c r="F11" s="6"/>
      <c r="G11" s="19"/>
      <c r="I11" s="4" t="s">
        <v>541</v>
      </c>
    </row>
    <row r="12" spans="1:9" x14ac:dyDescent="0.25">
      <c r="A12" s="18"/>
      <c r="B12" s="6"/>
      <c r="C12" s="6"/>
      <c r="D12" s="6"/>
      <c r="E12" s="6"/>
      <c r="F12" s="6"/>
      <c r="G12" s="19"/>
      <c r="I12" s="4" t="s">
        <v>542</v>
      </c>
    </row>
    <row r="13" spans="1:9" x14ac:dyDescent="0.25">
      <c r="A13" s="18"/>
      <c r="B13" s="6"/>
      <c r="C13" s="6"/>
      <c r="D13" s="6"/>
      <c r="E13" s="6"/>
      <c r="F13" s="6"/>
      <c r="G13" s="19"/>
    </row>
    <row r="14" spans="1:9" x14ac:dyDescent="0.25">
      <c r="A14" s="18"/>
      <c r="B14" s="6"/>
      <c r="C14" s="6"/>
      <c r="D14" s="6"/>
      <c r="E14" s="6"/>
      <c r="F14" s="6"/>
      <c r="G14" s="19"/>
      <c r="I14" s="4" t="s">
        <v>543</v>
      </c>
    </row>
    <row r="15" spans="1:9" x14ac:dyDescent="0.25">
      <c r="A15" s="18"/>
      <c r="B15" s="6"/>
      <c r="C15" s="6"/>
      <c r="D15" s="6"/>
      <c r="E15" s="6"/>
      <c r="F15" s="6"/>
      <c r="G15" s="19"/>
      <c r="I15" s="4" t="s">
        <v>544</v>
      </c>
    </row>
    <row r="16" spans="1:9" x14ac:dyDescent="0.25">
      <c r="A16" s="18"/>
      <c r="B16" s="6"/>
      <c r="C16" s="6"/>
      <c r="D16" s="6"/>
      <c r="E16" s="6"/>
      <c r="F16" s="6"/>
      <c r="G16" s="19"/>
    </row>
    <row r="17" spans="1:10" x14ac:dyDescent="0.25">
      <c r="A17" s="18"/>
      <c r="B17" s="6"/>
      <c r="C17" s="6"/>
      <c r="D17" s="6"/>
      <c r="E17" s="6"/>
      <c r="F17" s="6"/>
      <c r="G17" s="19"/>
      <c r="I17" s="4" t="s">
        <v>545</v>
      </c>
    </row>
    <row r="18" spans="1:10" x14ac:dyDescent="0.25">
      <c r="A18" s="18"/>
      <c r="B18" s="6"/>
      <c r="C18" s="6"/>
      <c r="D18" s="6"/>
      <c r="E18" s="6"/>
      <c r="F18" s="6"/>
      <c r="G18" s="19"/>
      <c r="I18" s="164">
        <f>E24+90060*(1+E21 +E25)</f>
        <v>154469.6</v>
      </c>
    </row>
    <row r="19" spans="1:10" x14ac:dyDescent="0.25">
      <c r="A19" s="18"/>
      <c r="B19" s="6"/>
      <c r="C19" s="6"/>
      <c r="D19" s="6"/>
      <c r="E19" s="6"/>
      <c r="F19" s="6"/>
      <c r="G19" s="19"/>
    </row>
    <row r="20" spans="1:10" x14ac:dyDescent="0.25">
      <c r="A20" s="18"/>
      <c r="B20" s="6" t="s">
        <v>47</v>
      </c>
      <c r="C20" s="6"/>
      <c r="D20" s="6"/>
      <c r="E20" s="6"/>
      <c r="F20" s="59" t="s">
        <v>273</v>
      </c>
      <c r="G20" s="19"/>
      <c r="H20" s="72" t="s">
        <v>3</v>
      </c>
      <c r="I20" s="4" t="s">
        <v>546</v>
      </c>
    </row>
    <row r="21" spans="1:10" x14ac:dyDescent="0.25">
      <c r="A21" s="18"/>
      <c r="B21" s="36" t="s">
        <v>268</v>
      </c>
      <c r="C21" s="37"/>
      <c r="D21" s="42"/>
      <c r="E21" s="55">
        <v>0.1</v>
      </c>
      <c r="F21" s="13" t="s">
        <v>274</v>
      </c>
      <c r="G21" s="19"/>
      <c r="I21" s="4" t="s">
        <v>547</v>
      </c>
    </row>
    <row r="22" spans="1:10" x14ac:dyDescent="0.25">
      <c r="A22" s="18"/>
      <c r="B22" s="36" t="s">
        <v>269</v>
      </c>
      <c r="C22" s="37"/>
      <c r="D22" s="42"/>
      <c r="E22" s="55">
        <v>0.09</v>
      </c>
      <c r="F22" s="13" t="s">
        <v>275</v>
      </c>
      <c r="G22" s="19"/>
      <c r="I22" s="4" t="s">
        <v>548</v>
      </c>
      <c r="J22" s="98">
        <f>151620/2</f>
        <v>75810</v>
      </c>
    </row>
    <row r="23" spans="1:10" x14ac:dyDescent="0.25">
      <c r="A23" s="18"/>
      <c r="B23" s="36" t="s">
        <v>270</v>
      </c>
      <c r="C23" s="37"/>
      <c r="D23" s="42"/>
      <c r="E23" s="55">
        <v>0.08</v>
      </c>
      <c r="F23" s="13" t="s">
        <v>275</v>
      </c>
      <c r="G23" s="19"/>
    </row>
    <row r="24" spans="1:10" x14ac:dyDescent="0.25">
      <c r="A24" s="18"/>
      <c r="B24" s="36" t="s">
        <v>271</v>
      </c>
      <c r="C24" s="37"/>
      <c r="D24" s="42"/>
      <c r="E24" s="14">
        <v>50000</v>
      </c>
      <c r="F24" s="13" t="s">
        <v>276</v>
      </c>
      <c r="G24" s="19"/>
      <c r="I24" s="4" t="s">
        <v>549</v>
      </c>
    </row>
    <row r="25" spans="1:10" x14ac:dyDescent="0.25">
      <c r="A25" s="18"/>
      <c r="B25" s="36" t="s">
        <v>272</v>
      </c>
      <c r="C25" s="37"/>
      <c r="D25" s="42"/>
      <c r="E25" s="55">
        <v>0.06</v>
      </c>
      <c r="F25" s="13" t="s">
        <v>276</v>
      </c>
      <c r="G25" s="19"/>
      <c r="I25" s="4" t="s">
        <v>550</v>
      </c>
    </row>
    <row r="26" spans="1:10" x14ac:dyDescent="0.25">
      <c r="A26" s="18"/>
      <c r="B26" s="6"/>
      <c r="C26" s="6"/>
      <c r="D26" s="6"/>
      <c r="E26" s="6"/>
      <c r="F26" s="6"/>
      <c r="G26" s="19"/>
      <c r="I26" s="4" t="s">
        <v>551</v>
      </c>
    </row>
    <row r="27" spans="1:10" x14ac:dyDescent="0.25">
      <c r="A27" s="18"/>
      <c r="B27" s="6" t="s">
        <v>277</v>
      </c>
      <c r="C27" s="6"/>
      <c r="D27" s="6"/>
      <c r="E27" s="6"/>
      <c r="F27" s="6"/>
      <c r="G27" s="19"/>
    </row>
    <row r="28" spans="1:10" x14ac:dyDescent="0.25">
      <c r="A28" s="18"/>
      <c r="B28" s="6"/>
      <c r="C28" s="6"/>
      <c r="D28" s="6"/>
      <c r="E28" s="6"/>
      <c r="F28" s="6"/>
      <c r="G28" s="19"/>
      <c r="I28" s="4" t="s">
        <v>552</v>
      </c>
    </row>
    <row r="29" spans="1:10" x14ac:dyDescent="0.25">
      <c r="A29" s="22" t="s">
        <v>2</v>
      </c>
      <c r="B29" s="6" t="s">
        <v>259</v>
      </c>
      <c r="C29" s="6"/>
      <c r="D29" s="6"/>
      <c r="E29" s="6"/>
      <c r="F29" s="6"/>
      <c r="G29" s="19"/>
      <c r="I29" s="164">
        <f>(I18+(1+E21)*J22)*(1/(1-E22-E23))</f>
        <v>286579.03614457831</v>
      </c>
    </row>
    <row r="30" spans="1:10" ht="15.75" thickBot="1" x14ac:dyDescent="0.3">
      <c r="A30" s="21">
        <f>INDEX('Point Grid'!$C$8:$I$26,MATCH($A$1,'Point Grid'!$A$8:$A$26,0),MATCH(A29,'Point Grid'!$C$7:$I$7,0))</f>
        <v>2</v>
      </c>
      <c r="B30" s="6"/>
      <c r="C30" s="6"/>
      <c r="D30" s="6"/>
      <c r="E30" s="6"/>
      <c r="F30" s="6"/>
      <c r="G30" s="19"/>
    </row>
    <row r="31" spans="1:10" ht="18" thickBot="1" x14ac:dyDescent="0.3">
      <c r="A31" s="5">
        <v>2</v>
      </c>
      <c r="B31" s="6"/>
      <c r="C31" s="6"/>
      <c r="D31" s="6"/>
      <c r="E31" s="6"/>
      <c r="F31" s="6"/>
      <c r="G31" s="19"/>
      <c r="H31" s="72" t="s">
        <v>4</v>
      </c>
      <c r="I31" s="4" t="s">
        <v>553</v>
      </c>
    </row>
    <row r="32" spans="1:10" x14ac:dyDescent="0.25">
      <c r="A32" s="18"/>
      <c r="B32" s="6"/>
      <c r="C32" s="6"/>
      <c r="D32" s="6"/>
      <c r="E32" s="6"/>
      <c r="F32" s="6"/>
      <c r="G32" s="19"/>
      <c r="I32" s="4" t="s">
        <v>554</v>
      </c>
    </row>
    <row r="33" spans="1:9" x14ac:dyDescent="0.25">
      <c r="A33" s="22" t="s">
        <v>3</v>
      </c>
      <c r="B33" s="6" t="s">
        <v>278</v>
      </c>
      <c r="C33" s="6"/>
      <c r="D33" s="6"/>
      <c r="E33" s="6"/>
      <c r="F33" s="6"/>
      <c r="G33" s="19"/>
      <c r="I33" s="4" t="s">
        <v>555</v>
      </c>
    </row>
    <row r="34" spans="1:9" ht="15.75" thickBot="1" x14ac:dyDescent="0.3">
      <c r="A34" s="21">
        <f>INDEX('Point Grid'!$C$8:$I$26,MATCH($A$1,'Point Grid'!$A$8:$A$26,0),MATCH(A33,'Point Grid'!$C$7:$I$7,0))</f>
        <v>1</v>
      </c>
      <c r="B34" s="6" t="s">
        <v>279</v>
      </c>
      <c r="C34" s="6"/>
      <c r="D34" s="6"/>
      <c r="E34" s="6"/>
      <c r="F34" s="6"/>
      <c r="G34" s="19"/>
      <c r="I34" s="4" t="s">
        <v>556</v>
      </c>
    </row>
    <row r="35" spans="1:9" ht="15.75" thickBot="1" x14ac:dyDescent="0.3">
      <c r="A35" s="5">
        <v>1</v>
      </c>
      <c r="B35" s="6"/>
      <c r="C35" s="6"/>
      <c r="D35" s="6"/>
      <c r="E35" s="6"/>
      <c r="F35" s="6"/>
      <c r="G35" s="19"/>
      <c r="I35" s="4" t="s">
        <v>557</v>
      </c>
    </row>
    <row r="36" spans="1:9" x14ac:dyDescent="0.25">
      <c r="A36" s="18"/>
      <c r="B36" s="6"/>
      <c r="C36" s="6"/>
      <c r="D36" s="6"/>
      <c r="E36" s="6"/>
      <c r="F36" s="6"/>
      <c r="G36" s="19"/>
    </row>
    <row r="37" spans="1:9" x14ac:dyDescent="0.25">
      <c r="A37" s="22" t="s">
        <v>4</v>
      </c>
      <c r="B37" s="6" t="s">
        <v>282</v>
      </c>
      <c r="C37" s="6"/>
      <c r="D37" s="6"/>
      <c r="E37" s="6"/>
      <c r="F37" s="6"/>
      <c r="G37" s="19"/>
    </row>
    <row r="38" spans="1:9" ht="15.75" thickBot="1" x14ac:dyDescent="0.3">
      <c r="A38" s="21">
        <f>INDEX('Point Grid'!$C$8:$I$26,MATCH($A$1,'Point Grid'!$A$8:$A$26,0),MATCH(A37,'Point Grid'!$C$7:$I$7,0))</f>
        <v>0.5</v>
      </c>
      <c r="B38" s="6"/>
      <c r="C38" s="6"/>
      <c r="D38" s="6"/>
      <c r="E38" s="6"/>
      <c r="F38" s="6"/>
      <c r="G38" s="19"/>
    </row>
    <row r="39" spans="1:9" ht="15.75" thickBot="1" x14ac:dyDescent="0.3">
      <c r="A39" s="5">
        <v>0.5</v>
      </c>
      <c r="B39" s="24"/>
      <c r="C39" s="24"/>
      <c r="D39" s="24"/>
      <c r="E39" s="24"/>
      <c r="F39" s="24"/>
      <c r="G39" s="25"/>
    </row>
  </sheetData>
  <sheetProtection formatCells="0" formatColumns="0" formatRows="0"/>
  <mergeCells count="1">
    <mergeCell ref="F1:G1"/>
  </mergeCells>
  <conditionalFormatting sqref="B1">
    <cfRule type="cellIs" dxfId="24" priority="1" operator="equal">
      <formula>"Incomplete"</formula>
    </cfRule>
    <cfRule type="cellIs" dxfId="23" priority="2" operator="equal">
      <formula>"Flag for Review"</formula>
    </cfRule>
    <cfRule type="cellIs" dxfId="22" priority="3" operator="equal">
      <formula>"Finished"</formula>
    </cfRule>
  </conditionalFormatting>
  <dataValidations disablePrompts="1" count="2">
    <dataValidation type="list" allowBlank="1" showInputMessage="1" showErrorMessage="1" sqref="B1" xr:uid="{1ABE1E93-AB03-4BAF-BD5E-4D5585611AAF}">
      <formula1>"Finished, Flag for Review, Incomplete"</formula1>
    </dataValidation>
    <dataValidation type="decimal" allowBlank="1" showInputMessage="1" showErrorMessage="1" sqref="A31 A35 A39" xr:uid="{31C76038-421C-4459-B0DC-34067AB65D07}">
      <formula1>0</formula1>
      <formula2>A30</formula2>
    </dataValidation>
  </dataValidations>
  <hyperlinks>
    <hyperlink ref="F1" location="Navigator!A1" display="Navigator" xr:uid="{94247536-7ED4-4A31-B855-681EEFE0EB2E}"/>
    <hyperlink ref="E1" location="'Formula Sheet'!A1" display="Formula Sheet" xr:uid="{35E99063-F558-4957-AF78-3BF0C2FBD69C}"/>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28558-C8EC-4BE6-A4CD-B71C1C884192}">
  <sheetPr codeName="Sheet22"/>
  <dimension ref="A6:J27"/>
  <sheetViews>
    <sheetView workbookViewId="0"/>
  </sheetViews>
  <sheetFormatPr defaultRowHeight="15" x14ac:dyDescent="0.25"/>
  <sheetData>
    <row r="6" spans="1:10" ht="18.75" x14ac:dyDescent="0.3">
      <c r="A6" s="75" t="s">
        <v>347</v>
      </c>
      <c r="B6" s="75"/>
      <c r="C6" s="75"/>
      <c r="D6" s="75"/>
      <c r="E6" s="75"/>
      <c r="F6" s="75"/>
      <c r="G6" s="75"/>
      <c r="H6" s="75"/>
      <c r="I6" s="75"/>
      <c r="J6" s="75"/>
    </row>
    <row r="8" spans="1:10" x14ac:dyDescent="0.25">
      <c r="A8" t="s">
        <v>348</v>
      </c>
    </row>
    <row r="10" spans="1:10" x14ac:dyDescent="0.25">
      <c r="B10" t="s">
        <v>349</v>
      </c>
    </row>
    <row r="13" spans="1:10" x14ac:dyDescent="0.25">
      <c r="B13" t="s">
        <v>349</v>
      </c>
    </row>
    <row r="16" spans="1:10" x14ac:dyDescent="0.25">
      <c r="A16" t="s">
        <v>350</v>
      </c>
    </row>
    <row r="18" spans="2:2" x14ac:dyDescent="0.25">
      <c r="B18" t="s">
        <v>349</v>
      </c>
    </row>
    <row r="21" spans="2:2" x14ac:dyDescent="0.25">
      <c r="B21" t="s">
        <v>349</v>
      </c>
    </row>
    <row r="24" spans="2:2" x14ac:dyDescent="0.25">
      <c r="B24" t="s">
        <v>349</v>
      </c>
    </row>
    <row r="27" spans="2:2" x14ac:dyDescent="0.25">
      <c r="B27" t="s">
        <v>349</v>
      </c>
    </row>
  </sheetData>
  <sheetProtection formatCells="0" formatColumns="0" formatRows="0"/>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512A0-80E3-4C76-B49A-35C917D20126}">
  <sheetPr codeName="Sheet18"/>
  <dimension ref="A1:M31"/>
  <sheetViews>
    <sheetView workbookViewId="0"/>
  </sheetViews>
  <sheetFormatPr defaultColWidth="9.140625" defaultRowHeight="15" x14ac:dyDescent="0.25"/>
  <cols>
    <col min="1" max="1" width="6.5703125" style="4" bestFit="1" customWidth="1"/>
    <col min="2" max="2" width="21" style="4" customWidth="1"/>
    <col min="3" max="3" width="9.42578125" style="4" customWidth="1"/>
    <col min="4" max="4" width="10.85546875" style="4" customWidth="1"/>
    <col min="5" max="5" width="12.28515625" style="4" customWidth="1"/>
    <col min="6" max="6" width="19.5703125" style="4" bestFit="1" customWidth="1"/>
    <col min="7" max="7" width="5.7109375" style="4" customWidth="1"/>
    <col min="8" max="8" width="3.7109375" style="72" customWidth="1"/>
    <col min="9" max="9" width="10.5703125" style="4" customWidth="1"/>
    <col min="10" max="10" width="10.5703125" style="4" bestFit="1" customWidth="1"/>
    <col min="11" max="11" width="11.5703125" style="4" bestFit="1" customWidth="1"/>
    <col min="12" max="12" width="13" style="4" customWidth="1"/>
    <col min="13" max="16384" width="9.140625" style="4"/>
  </cols>
  <sheetData>
    <row r="1" spans="1:13" ht="15.75" x14ac:dyDescent="0.25">
      <c r="A1" s="16">
        <v>16</v>
      </c>
      <c r="B1" s="15" t="s">
        <v>362</v>
      </c>
      <c r="C1" s="139" t="s">
        <v>600</v>
      </c>
      <c r="D1" s="138" t="s">
        <v>613</v>
      </c>
      <c r="E1" s="17"/>
      <c r="F1" s="247" t="s">
        <v>596</v>
      </c>
      <c r="G1" s="248"/>
      <c r="H1" s="114"/>
      <c r="I1" s="130" t="s">
        <v>310</v>
      </c>
    </row>
    <row r="2" spans="1:13" x14ac:dyDescent="0.25">
      <c r="A2" s="18"/>
      <c r="B2" s="6"/>
      <c r="C2" s="6"/>
      <c r="D2" s="6"/>
      <c r="E2" s="6"/>
      <c r="F2" s="6"/>
      <c r="G2" s="19"/>
      <c r="H2" s="72" t="s">
        <v>2</v>
      </c>
      <c r="I2" s="4" t="s">
        <v>558</v>
      </c>
    </row>
    <row r="3" spans="1:13" x14ac:dyDescent="0.25">
      <c r="A3" s="20" t="s">
        <v>14</v>
      </c>
      <c r="B3" s="6" t="s">
        <v>283</v>
      </c>
      <c r="C3" s="6"/>
      <c r="D3" s="6"/>
      <c r="E3" s="6"/>
      <c r="F3" s="6"/>
      <c r="G3" s="19"/>
      <c r="I3" s="73" t="s">
        <v>199</v>
      </c>
      <c r="J3" s="73" t="s">
        <v>148</v>
      </c>
      <c r="L3" s="4" t="s">
        <v>559</v>
      </c>
    </row>
    <row r="4" spans="1:13" x14ac:dyDescent="0.25">
      <c r="A4" s="21">
        <f>INDEX('Point Grid'!B:B,MATCH('16'!A1,'Point Grid'!A:A,0))</f>
        <v>3</v>
      </c>
      <c r="B4" s="6"/>
      <c r="C4" s="266" t="s">
        <v>199</v>
      </c>
      <c r="D4" s="266" t="s">
        <v>284</v>
      </c>
      <c r="E4" s="266" t="s">
        <v>285</v>
      </c>
      <c r="F4" s="6"/>
      <c r="G4" s="19"/>
      <c r="I4" s="73">
        <v>1</v>
      </c>
      <c r="J4" s="73">
        <f>E7/$L$4</f>
        <v>0.25</v>
      </c>
      <c r="L4" s="99">
        <f>E12/5</f>
        <v>120000</v>
      </c>
    </row>
    <row r="5" spans="1:13" x14ac:dyDescent="0.25">
      <c r="A5" s="18"/>
      <c r="B5" s="6"/>
      <c r="C5" s="266"/>
      <c r="D5" s="266"/>
      <c r="E5" s="266"/>
      <c r="F5" s="6"/>
      <c r="G5" s="19"/>
      <c r="I5" s="73">
        <v>2</v>
      </c>
      <c r="J5" s="73">
        <f t="shared" ref="J5:J8" si="0">E8/$L$4</f>
        <v>0.5</v>
      </c>
    </row>
    <row r="6" spans="1:13" x14ac:dyDescent="0.25">
      <c r="A6" s="18"/>
      <c r="B6" s="6"/>
      <c r="C6" s="266"/>
      <c r="D6" s="266"/>
      <c r="E6" s="266"/>
      <c r="F6" s="6"/>
      <c r="G6" s="19"/>
      <c r="I6" s="73">
        <v>3</v>
      </c>
      <c r="J6" s="73">
        <f t="shared" si="0"/>
        <v>0.75</v>
      </c>
    </row>
    <row r="7" spans="1:13" x14ac:dyDescent="0.25">
      <c r="A7" s="18"/>
      <c r="B7" s="6"/>
      <c r="C7" s="13">
        <v>1</v>
      </c>
      <c r="D7" s="14">
        <v>30000</v>
      </c>
      <c r="E7" s="14">
        <v>30000</v>
      </c>
      <c r="F7" s="6"/>
      <c r="G7" s="19"/>
      <c r="I7" s="73">
        <v>4</v>
      </c>
      <c r="J7" s="73">
        <f t="shared" si="0"/>
        <v>0.5</v>
      </c>
    </row>
    <row r="8" spans="1:13" x14ac:dyDescent="0.25">
      <c r="A8" s="18"/>
      <c r="B8" s="6"/>
      <c r="C8" s="13">
        <v>2</v>
      </c>
      <c r="D8" s="14">
        <v>95000</v>
      </c>
      <c r="E8" s="14">
        <v>60000</v>
      </c>
      <c r="F8" s="6"/>
      <c r="G8" s="19"/>
      <c r="I8" s="73">
        <v>5</v>
      </c>
      <c r="J8" s="73">
        <f t="shared" si="0"/>
        <v>3</v>
      </c>
    </row>
    <row r="9" spans="1:13" x14ac:dyDescent="0.25">
      <c r="A9" s="18"/>
      <c r="B9" s="6"/>
      <c r="C9" s="13">
        <v>3</v>
      </c>
      <c r="D9" s="14">
        <v>110000</v>
      </c>
      <c r="E9" s="14">
        <v>90000</v>
      </c>
      <c r="F9" s="6"/>
      <c r="G9" s="19"/>
    </row>
    <row r="10" spans="1:13" x14ac:dyDescent="0.25">
      <c r="A10" s="18"/>
      <c r="B10" s="6"/>
      <c r="C10" s="13">
        <v>4</v>
      </c>
      <c r="D10" s="14">
        <v>160000</v>
      </c>
      <c r="E10" s="14">
        <v>60000</v>
      </c>
      <c r="F10" s="6"/>
      <c r="G10" s="19"/>
      <c r="I10" s="4" t="s">
        <v>560</v>
      </c>
    </row>
    <row r="11" spans="1:13" x14ac:dyDescent="0.25">
      <c r="A11" s="18"/>
      <c r="B11" s="6"/>
      <c r="C11" s="13">
        <v>5</v>
      </c>
      <c r="D11" s="14">
        <v>415000</v>
      </c>
      <c r="E11" s="14">
        <v>360000</v>
      </c>
      <c r="F11" s="6"/>
      <c r="G11" s="19"/>
      <c r="I11" s="101" t="s">
        <v>148</v>
      </c>
      <c r="J11" s="101" t="s">
        <v>561</v>
      </c>
      <c r="K11" s="101" t="s">
        <v>562</v>
      </c>
      <c r="L11" s="101" t="s">
        <v>563</v>
      </c>
      <c r="M11" s="102" t="s">
        <v>565</v>
      </c>
    </row>
    <row r="12" spans="1:13" x14ac:dyDescent="0.25">
      <c r="A12" s="18"/>
      <c r="B12" s="6"/>
      <c r="C12" s="116" t="s">
        <v>10</v>
      </c>
      <c r="D12" s="126">
        <f>SUM(D7:D11)</f>
        <v>810000</v>
      </c>
      <c r="E12" s="126">
        <f>SUM(E7:E11)</f>
        <v>600000</v>
      </c>
      <c r="F12" s="6"/>
      <c r="G12" s="19"/>
      <c r="I12" s="73">
        <v>0</v>
      </c>
      <c r="J12" s="73">
        <f>COUNTIF($J$4:$J$8,"="&amp;I12)</f>
        <v>0</v>
      </c>
      <c r="K12" s="73">
        <f>COUNTIF($J$4:$J$8,"&gt;"&amp;I12)</f>
        <v>5</v>
      </c>
      <c r="L12" s="100">
        <f>K12/COUNT($I$4:$I$8)</f>
        <v>1</v>
      </c>
      <c r="M12" s="73">
        <f t="shared" ref="M12:M18" si="1">M13+(I13-I12)*L12</f>
        <v>1</v>
      </c>
    </row>
    <row r="13" spans="1:13" x14ac:dyDescent="0.25">
      <c r="A13" s="18"/>
      <c r="B13" s="6" t="s">
        <v>286</v>
      </c>
      <c r="C13" s="6"/>
      <c r="D13" s="6"/>
      <c r="E13" s="6"/>
      <c r="F13" s="6"/>
      <c r="G13" s="19"/>
      <c r="I13" s="73">
        <v>0.25</v>
      </c>
      <c r="J13" s="73">
        <f t="shared" ref="J13:J20" si="2">COUNTIF($J$4:$J$8,"="&amp;I13)</f>
        <v>1</v>
      </c>
      <c r="K13" s="73">
        <f t="shared" ref="K13:K20" si="3">COUNTIF($J$4:$J$8,"&gt;"&amp;I13)</f>
        <v>4</v>
      </c>
      <c r="L13" s="100">
        <f t="shared" ref="L13:L20" si="4">K13/COUNT($I$4:$I$8)</f>
        <v>0.8</v>
      </c>
      <c r="M13" s="73">
        <f t="shared" si="1"/>
        <v>0.75</v>
      </c>
    </row>
    <row r="14" spans="1:13" x14ac:dyDescent="0.25">
      <c r="A14" s="18"/>
      <c r="B14" s="6"/>
      <c r="C14" s="6"/>
      <c r="D14" s="6"/>
      <c r="E14" s="6"/>
      <c r="F14" s="6"/>
      <c r="G14" s="19"/>
      <c r="I14" s="73">
        <v>0.5</v>
      </c>
      <c r="J14" s="73">
        <f t="shared" si="2"/>
        <v>2</v>
      </c>
      <c r="K14" s="73">
        <f t="shared" si="3"/>
        <v>2</v>
      </c>
      <c r="L14" s="100">
        <f t="shared" si="4"/>
        <v>0.4</v>
      </c>
      <c r="M14" s="73">
        <f t="shared" si="1"/>
        <v>0.55000000000000004</v>
      </c>
    </row>
    <row r="15" spans="1:13" x14ac:dyDescent="0.25">
      <c r="A15" s="22" t="s">
        <v>2</v>
      </c>
      <c r="B15" s="6" t="s">
        <v>287</v>
      </c>
      <c r="C15" s="6"/>
      <c r="D15" s="6"/>
      <c r="E15" s="6"/>
      <c r="F15" s="6"/>
      <c r="G15" s="19"/>
      <c r="I15" s="73">
        <v>0.75</v>
      </c>
      <c r="J15" s="73">
        <f t="shared" si="2"/>
        <v>1</v>
      </c>
      <c r="K15" s="73">
        <f t="shared" si="3"/>
        <v>1</v>
      </c>
      <c r="L15" s="100">
        <f t="shared" si="4"/>
        <v>0.2</v>
      </c>
      <c r="M15" s="73">
        <f t="shared" si="1"/>
        <v>0.45</v>
      </c>
    </row>
    <row r="16" spans="1:13" ht="15.75" thickBot="1" x14ac:dyDescent="0.3">
      <c r="A16" s="21">
        <f>INDEX('Point Grid'!$C$8:$I$26,MATCH($A$1,'Point Grid'!$A$8:$A$26,0),MATCH(A15,'Point Grid'!$C$7:$I$7,0))</f>
        <v>1.5</v>
      </c>
      <c r="B16" s="6" t="s">
        <v>288</v>
      </c>
      <c r="C16" s="6"/>
      <c r="D16" s="6"/>
      <c r="E16" s="6"/>
      <c r="F16" s="6"/>
      <c r="G16" s="19"/>
      <c r="I16" s="73">
        <v>1</v>
      </c>
      <c r="J16" s="73">
        <f t="shared" si="2"/>
        <v>0</v>
      </c>
      <c r="K16" s="73">
        <f t="shared" si="3"/>
        <v>1</v>
      </c>
      <c r="L16" s="100">
        <f t="shared" si="4"/>
        <v>0.2</v>
      </c>
      <c r="M16" s="73">
        <f t="shared" si="1"/>
        <v>0.4</v>
      </c>
    </row>
    <row r="17" spans="1:13" ht="15.75" thickBot="1" x14ac:dyDescent="0.3">
      <c r="A17" s="5">
        <v>1.5</v>
      </c>
      <c r="B17" s="6"/>
      <c r="C17" s="6"/>
      <c r="D17" s="6"/>
      <c r="E17" s="6"/>
      <c r="F17" s="6"/>
      <c r="G17" s="19"/>
      <c r="I17" s="73">
        <v>1.5</v>
      </c>
      <c r="J17" s="73">
        <f t="shared" si="2"/>
        <v>0</v>
      </c>
      <c r="K17" s="73">
        <f t="shared" si="3"/>
        <v>1</v>
      </c>
      <c r="L17" s="100">
        <f t="shared" si="4"/>
        <v>0.2</v>
      </c>
      <c r="M17" s="73">
        <f t="shared" si="1"/>
        <v>0.30000000000000004</v>
      </c>
    </row>
    <row r="18" spans="1:13" x14ac:dyDescent="0.25">
      <c r="A18" s="18"/>
      <c r="B18" s="6"/>
      <c r="C18" s="6"/>
      <c r="D18" s="6"/>
      <c r="E18" s="6"/>
      <c r="F18" s="6"/>
      <c r="G18" s="19"/>
      <c r="I18" s="73">
        <v>2</v>
      </c>
      <c r="J18" s="73">
        <f t="shared" si="2"/>
        <v>0</v>
      </c>
      <c r="K18" s="73">
        <f t="shared" si="3"/>
        <v>1</v>
      </c>
      <c r="L18" s="100">
        <f t="shared" si="4"/>
        <v>0.2</v>
      </c>
      <c r="M18" s="73">
        <f t="shared" si="1"/>
        <v>0.2</v>
      </c>
    </row>
    <row r="19" spans="1:13" x14ac:dyDescent="0.25">
      <c r="A19" s="22" t="s">
        <v>3</v>
      </c>
      <c r="B19" s="6" t="s">
        <v>289</v>
      </c>
      <c r="C19" s="6"/>
      <c r="D19" s="6"/>
      <c r="E19" s="6"/>
      <c r="F19" s="6"/>
      <c r="G19" s="19"/>
      <c r="I19" s="73">
        <v>2.5</v>
      </c>
      <c r="J19" s="73">
        <f t="shared" si="2"/>
        <v>0</v>
      </c>
      <c r="K19" s="73">
        <f t="shared" si="3"/>
        <v>1</v>
      </c>
      <c r="L19" s="100">
        <f t="shared" si="4"/>
        <v>0.2</v>
      </c>
      <c r="M19" s="73">
        <f>M20+(I20-I19)*L19</f>
        <v>0.1</v>
      </c>
    </row>
    <row r="20" spans="1:13" ht="15.75" thickBot="1" x14ac:dyDescent="0.3">
      <c r="A20" s="21">
        <f>INDEX('Point Grid'!$C$8:$I$26,MATCH($A$1,'Point Grid'!$A$8:$A$26,0),MATCH(A19,'Point Grid'!$C$7:$I$7,0))</f>
        <v>1.5</v>
      </c>
      <c r="B20" s="6" t="s">
        <v>291</v>
      </c>
      <c r="C20" s="6"/>
      <c r="D20" s="6"/>
      <c r="E20" s="6"/>
      <c r="F20" s="59"/>
      <c r="G20" s="19"/>
      <c r="I20" s="73">
        <v>3</v>
      </c>
      <c r="J20" s="73">
        <f t="shared" si="2"/>
        <v>1</v>
      </c>
      <c r="K20" s="73">
        <f t="shared" si="3"/>
        <v>0</v>
      </c>
      <c r="L20" s="100">
        <f t="shared" si="4"/>
        <v>0</v>
      </c>
      <c r="M20" s="73">
        <v>0</v>
      </c>
    </row>
    <row r="21" spans="1:13" ht="15.75" thickBot="1" x14ac:dyDescent="0.3">
      <c r="A21" s="5">
        <v>1.5</v>
      </c>
      <c r="B21" s="6" t="s">
        <v>290</v>
      </c>
      <c r="C21" s="6"/>
      <c r="D21" s="6"/>
      <c r="E21" s="6"/>
      <c r="F21" s="6"/>
      <c r="G21" s="19"/>
    </row>
    <row r="22" spans="1:13" x14ac:dyDescent="0.25">
      <c r="A22" s="18"/>
      <c r="B22" s="6" t="s">
        <v>575</v>
      </c>
      <c r="C22" s="6"/>
      <c r="D22" s="6"/>
      <c r="E22" s="6"/>
      <c r="F22" s="6"/>
      <c r="G22" s="19"/>
      <c r="I22" s="4" t="s">
        <v>564</v>
      </c>
    </row>
    <row r="23" spans="1:13" x14ac:dyDescent="0.25">
      <c r="A23" s="18"/>
      <c r="B23" s="6" t="s">
        <v>292</v>
      </c>
      <c r="C23" s="6"/>
      <c r="D23" s="6"/>
      <c r="E23" s="6"/>
      <c r="F23" s="6"/>
      <c r="G23" s="19"/>
    </row>
    <row r="24" spans="1:13" x14ac:dyDescent="0.25">
      <c r="A24" s="18"/>
      <c r="B24" s="6"/>
      <c r="C24" s="6"/>
      <c r="D24" s="6"/>
      <c r="E24" s="6"/>
      <c r="F24" s="6"/>
      <c r="G24" s="19"/>
      <c r="H24" s="72" t="s">
        <v>3</v>
      </c>
      <c r="I24" s="4" t="s">
        <v>571</v>
      </c>
    </row>
    <row r="25" spans="1:13" x14ac:dyDescent="0.25">
      <c r="A25" s="18"/>
      <c r="B25" s="6" t="s">
        <v>47</v>
      </c>
      <c r="C25" s="6"/>
      <c r="D25" s="6"/>
      <c r="E25" s="6"/>
      <c r="F25" s="6"/>
      <c r="G25" s="19"/>
      <c r="I25" s="4" t="s">
        <v>572</v>
      </c>
    </row>
    <row r="26" spans="1:13" x14ac:dyDescent="0.25">
      <c r="A26" s="18"/>
      <c r="B26" s="6" t="s">
        <v>293</v>
      </c>
      <c r="C26" s="6"/>
      <c r="D26" s="6"/>
      <c r="E26" s="6"/>
      <c r="F26" s="6"/>
      <c r="G26" s="19"/>
      <c r="I26" s="4" t="s">
        <v>566</v>
      </c>
    </row>
    <row r="27" spans="1:13" x14ac:dyDescent="0.25">
      <c r="A27" s="18"/>
      <c r="B27" s="6" t="s">
        <v>294</v>
      </c>
      <c r="C27" s="6"/>
      <c r="D27" s="6"/>
      <c r="E27" s="6"/>
      <c r="F27" s="6"/>
      <c r="G27" s="19"/>
      <c r="I27" s="4" t="s">
        <v>567</v>
      </c>
    </row>
    <row r="28" spans="1:13" x14ac:dyDescent="0.25">
      <c r="A28" s="18"/>
      <c r="B28" s="6" t="s">
        <v>295</v>
      </c>
      <c r="C28" s="6"/>
      <c r="D28" s="6"/>
      <c r="E28" s="6"/>
      <c r="F28" s="6"/>
      <c r="G28" s="19"/>
      <c r="I28" s="4" t="s">
        <v>568</v>
      </c>
    </row>
    <row r="29" spans="1:13" x14ac:dyDescent="0.25">
      <c r="A29" s="18"/>
      <c r="B29" s="6"/>
      <c r="C29" s="6"/>
      <c r="D29" s="6"/>
      <c r="E29" s="6"/>
      <c r="F29" s="6"/>
      <c r="G29" s="19"/>
      <c r="I29" s="4" t="s">
        <v>569</v>
      </c>
    </row>
    <row r="30" spans="1:13" x14ac:dyDescent="0.25">
      <c r="A30" s="18"/>
      <c r="B30" s="6" t="s">
        <v>296</v>
      </c>
      <c r="C30" s="6"/>
      <c r="D30" s="6"/>
      <c r="E30" s="6"/>
      <c r="F30" s="6"/>
      <c r="G30" s="19"/>
      <c r="I30" s="4" t="s">
        <v>570</v>
      </c>
    </row>
    <row r="31" spans="1:13" ht="15.75" thickBot="1" x14ac:dyDescent="0.3">
      <c r="A31" s="23"/>
      <c r="B31" s="24" t="s">
        <v>297</v>
      </c>
      <c r="C31" s="24"/>
      <c r="D31" s="24"/>
      <c r="E31" s="24"/>
      <c r="F31" s="24"/>
      <c r="G31" s="25"/>
    </row>
  </sheetData>
  <sheetProtection formatCells="0" formatColumns="0" formatRows="0"/>
  <mergeCells count="4">
    <mergeCell ref="D4:D6"/>
    <mergeCell ref="E4:E6"/>
    <mergeCell ref="C4:C6"/>
    <mergeCell ref="F1:G1"/>
  </mergeCells>
  <conditionalFormatting sqref="B1">
    <cfRule type="cellIs" dxfId="21" priority="1" operator="equal">
      <formula>"Incomplete"</formula>
    </cfRule>
    <cfRule type="cellIs" dxfId="20" priority="2" operator="equal">
      <formula>"Flag for Review"</formula>
    </cfRule>
    <cfRule type="cellIs" dxfId="19" priority="3" operator="equal">
      <formula>"Finished"</formula>
    </cfRule>
  </conditionalFormatting>
  <dataValidations count="2">
    <dataValidation type="decimal" allowBlank="1" showInputMessage="1" showErrorMessage="1" sqref="A17 A21" xr:uid="{2AA5B510-CE0C-4E3D-AC6E-9D948A22F351}">
      <formula1>0</formula1>
      <formula2>A16</formula2>
    </dataValidation>
    <dataValidation type="list" allowBlank="1" showInputMessage="1" showErrorMessage="1" sqref="B1" xr:uid="{99F92B34-9DCD-4BE2-8076-3C3CA4D8E527}">
      <formula1>"Finished, Flag for Review, Incomplete"</formula1>
    </dataValidation>
  </dataValidations>
  <hyperlinks>
    <hyperlink ref="F1" location="Navigator!A1" display="Navigator" xr:uid="{D4857178-3BFA-496A-BB57-2D01FF5EF590}"/>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A6938-8AFD-4EA5-8E1E-494DC6AC0CBB}">
  <sheetPr codeName="Sheet19"/>
  <dimension ref="A1:N34"/>
  <sheetViews>
    <sheetView workbookViewId="0"/>
  </sheetViews>
  <sheetFormatPr defaultColWidth="9.140625" defaultRowHeight="15" x14ac:dyDescent="0.25"/>
  <cols>
    <col min="1" max="1" width="6.5703125" style="4" bestFit="1" customWidth="1"/>
    <col min="2" max="2" width="19.28515625" style="4" customWidth="1"/>
    <col min="3" max="3" width="12.42578125" style="4" customWidth="1"/>
    <col min="4" max="4" width="14.42578125" style="4" customWidth="1"/>
    <col min="5" max="5" width="18.28515625" style="4" customWidth="1"/>
    <col min="6" max="6" width="9.140625" style="4" customWidth="1"/>
    <col min="7" max="7" width="5.7109375" style="4" customWidth="1"/>
    <col min="8" max="8" width="3.7109375" style="72" customWidth="1"/>
    <col min="9" max="9" width="9.7109375" style="4" customWidth="1"/>
    <col min="10" max="10" width="9.7109375" style="4" bestFit="1" customWidth="1"/>
    <col min="11" max="11" width="20" style="4" bestFit="1" customWidth="1"/>
    <col min="12" max="12" width="10.7109375" style="4" bestFit="1" customWidth="1"/>
    <col min="13" max="13" width="21" style="4" bestFit="1" customWidth="1"/>
    <col min="14" max="14" width="10.7109375" style="4" bestFit="1" customWidth="1"/>
    <col min="15" max="16384" width="9.140625" style="4"/>
  </cols>
  <sheetData>
    <row r="1" spans="1:14" ht="15.75" x14ac:dyDescent="0.25">
      <c r="A1" s="16">
        <v>17</v>
      </c>
      <c r="B1" s="15" t="s">
        <v>362</v>
      </c>
      <c r="C1" s="139" t="s">
        <v>600</v>
      </c>
      <c r="D1" s="138" t="s">
        <v>648</v>
      </c>
      <c r="E1" s="17"/>
      <c r="F1" s="247" t="s">
        <v>596</v>
      </c>
      <c r="G1" s="248"/>
      <c r="H1" s="114"/>
      <c r="I1" s="130" t="s">
        <v>310</v>
      </c>
    </row>
    <row r="2" spans="1:14" x14ac:dyDescent="0.25">
      <c r="A2" s="18"/>
      <c r="B2" s="6"/>
      <c r="C2" s="6"/>
      <c r="D2" s="6"/>
      <c r="E2" s="6"/>
      <c r="F2" s="6"/>
      <c r="G2" s="19"/>
      <c r="H2" s="72" t="s">
        <v>2</v>
      </c>
      <c r="I2" t="s">
        <v>662</v>
      </c>
    </row>
    <row r="3" spans="1:14" x14ac:dyDescent="0.25">
      <c r="A3" s="20" t="s">
        <v>14</v>
      </c>
      <c r="B3" s="6" t="s">
        <v>649</v>
      </c>
      <c r="C3" s="6"/>
      <c r="D3" s="6"/>
      <c r="E3" s="6"/>
      <c r="F3" s="6"/>
      <c r="G3" s="19"/>
    </row>
    <row r="4" spans="1:14" x14ac:dyDescent="0.25">
      <c r="A4" s="21">
        <f>INDEX('Point Grid'!B:B,MATCH('17'!A1,'Point Grid'!A:A,0))</f>
        <v>3</v>
      </c>
      <c r="B4" s="6" t="s">
        <v>650</v>
      </c>
      <c r="C4" s="6"/>
      <c r="D4" s="6"/>
      <c r="E4" s="6"/>
      <c r="F4" s="6"/>
      <c r="G4" s="19"/>
      <c r="I4" t="s">
        <v>667</v>
      </c>
    </row>
    <row r="5" spans="1:14" x14ac:dyDescent="0.25">
      <c r="A5" s="18"/>
      <c r="B5" s="6"/>
      <c r="C5" s="6"/>
      <c r="D5" s="6"/>
      <c r="E5" s="6"/>
      <c r="F5" s="6"/>
      <c r="G5" s="19"/>
    </row>
    <row r="6" spans="1:14" x14ac:dyDescent="0.25">
      <c r="A6" s="18"/>
      <c r="B6" s="172"/>
      <c r="C6" s="136" t="s">
        <v>652</v>
      </c>
      <c r="D6" s="6"/>
      <c r="E6" s="6"/>
      <c r="F6" s="6"/>
      <c r="G6" s="19"/>
      <c r="I6" t="s">
        <v>674</v>
      </c>
    </row>
    <row r="7" spans="1:14" x14ac:dyDescent="0.25">
      <c r="A7" s="18"/>
      <c r="B7" s="52" t="s">
        <v>651</v>
      </c>
      <c r="C7" s="137" t="s">
        <v>653</v>
      </c>
      <c r="D7" s="6"/>
      <c r="E7" s="6"/>
      <c r="F7" s="6"/>
      <c r="G7" s="19"/>
      <c r="I7" t="s">
        <v>682</v>
      </c>
      <c r="J7"/>
      <c r="K7"/>
      <c r="L7"/>
      <c r="M7"/>
      <c r="N7"/>
    </row>
    <row r="8" spans="1:14" x14ac:dyDescent="0.25">
      <c r="A8" s="18"/>
      <c r="B8" s="50" t="s">
        <v>655</v>
      </c>
      <c r="C8" s="173">
        <v>250</v>
      </c>
      <c r="D8" s="6"/>
      <c r="E8" s="6"/>
      <c r="F8" s="6"/>
      <c r="G8" s="19"/>
      <c r="I8"/>
      <c r="J8"/>
      <c r="K8"/>
      <c r="L8"/>
      <c r="M8"/>
      <c r="N8"/>
    </row>
    <row r="9" spans="1:14" x14ac:dyDescent="0.25">
      <c r="A9" s="18"/>
      <c r="B9" s="51" t="s">
        <v>654</v>
      </c>
      <c r="C9" s="174">
        <v>750</v>
      </c>
      <c r="D9" s="6"/>
      <c r="E9" s="6"/>
      <c r="F9" s="6"/>
      <c r="G9" s="19"/>
      <c r="I9" t="s">
        <v>663</v>
      </c>
      <c r="J9"/>
      <c r="K9" s="171">
        <f>E15*E14</f>
        <v>325000</v>
      </c>
      <c r="L9"/>
      <c r="M9"/>
      <c r="N9"/>
    </row>
    <row r="10" spans="1:14" x14ac:dyDescent="0.25">
      <c r="A10" s="18"/>
      <c r="B10" s="52" t="s">
        <v>656</v>
      </c>
      <c r="C10" s="175">
        <v>2000</v>
      </c>
      <c r="D10" s="6"/>
      <c r="E10" s="6"/>
      <c r="F10" s="6"/>
      <c r="G10" s="19"/>
      <c r="I10" t="s">
        <v>664</v>
      </c>
      <c r="J10"/>
      <c r="K10"/>
      <c r="L10"/>
      <c r="M10"/>
      <c r="N10"/>
    </row>
    <row r="11" spans="1:14" x14ac:dyDescent="0.25">
      <c r="A11" s="18"/>
      <c r="B11" s="6"/>
      <c r="C11" s="6"/>
      <c r="D11" s="6"/>
      <c r="E11" s="6"/>
      <c r="F11" s="6"/>
      <c r="G11" s="19"/>
      <c r="I11" t="s">
        <v>665</v>
      </c>
      <c r="J11"/>
      <c r="K11"/>
      <c r="L11"/>
      <c r="M11"/>
      <c r="N11"/>
    </row>
    <row r="12" spans="1:14" x14ac:dyDescent="0.25">
      <c r="A12" s="18"/>
      <c r="B12" s="6" t="s">
        <v>657</v>
      </c>
      <c r="C12" s="6"/>
      <c r="D12" s="6"/>
      <c r="E12" s="6"/>
      <c r="F12" s="6"/>
      <c r="G12" s="19"/>
      <c r="I12" t="s">
        <v>666</v>
      </c>
      <c r="J12"/>
      <c r="K12" s="171">
        <f>K9*E16</f>
        <v>162500</v>
      </c>
      <c r="L12"/>
      <c r="M12"/>
      <c r="N12"/>
    </row>
    <row r="13" spans="1:14" x14ac:dyDescent="0.25">
      <c r="A13" s="18"/>
      <c r="B13" s="6"/>
      <c r="C13" s="6"/>
      <c r="D13" s="6"/>
      <c r="E13" s="6"/>
      <c r="F13" s="6"/>
      <c r="G13" s="19"/>
      <c r="I13" s="171" t="s">
        <v>683</v>
      </c>
      <c r="J13"/>
      <c r="K13"/>
      <c r="L13"/>
      <c r="M13"/>
      <c r="N13"/>
    </row>
    <row r="14" spans="1:14" x14ac:dyDescent="0.25">
      <c r="A14" s="18"/>
      <c r="B14" s="176" t="s">
        <v>658</v>
      </c>
      <c r="C14" s="177"/>
      <c r="D14" s="177"/>
      <c r="E14" s="50">
        <v>500</v>
      </c>
      <c r="F14" s="142"/>
      <c r="G14" s="19"/>
      <c r="I14"/>
      <c r="J14"/>
      <c r="K14"/>
      <c r="L14"/>
      <c r="M14"/>
      <c r="N14"/>
    </row>
    <row r="15" spans="1:14" x14ac:dyDescent="0.25">
      <c r="A15" s="18"/>
      <c r="B15" s="147" t="s">
        <v>659</v>
      </c>
      <c r="C15" s="6"/>
      <c r="D15" s="6"/>
      <c r="E15" s="178">
        <v>650</v>
      </c>
      <c r="F15" s="142"/>
      <c r="G15" s="19"/>
      <c r="I15" t="s">
        <v>684</v>
      </c>
      <c r="J15"/>
      <c r="K15"/>
      <c r="L15"/>
      <c r="M15"/>
      <c r="N15"/>
    </row>
    <row r="16" spans="1:14" x14ac:dyDescent="0.25">
      <c r="A16" s="18"/>
      <c r="B16" s="179" t="s">
        <v>660</v>
      </c>
      <c r="C16" s="180"/>
      <c r="D16" s="180"/>
      <c r="E16" s="52">
        <v>0.5</v>
      </c>
      <c r="F16" s="142"/>
      <c r="G16" s="19"/>
      <c r="I16" t="s">
        <v>668</v>
      </c>
      <c r="J16"/>
      <c r="K16"/>
      <c r="L16"/>
      <c r="M16"/>
      <c r="N16"/>
    </row>
    <row r="17" spans="1:14" x14ac:dyDescent="0.25">
      <c r="A17" s="18"/>
      <c r="B17" s="142"/>
      <c r="C17" s="6"/>
      <c r="D17" s="6"/>
      <c r="E17" s="6"/>
      <c r="F17" s="6"/>
      <c r="G17" s="19"/>
      <c r="I17" t="s">
        <v>669</v>
      </c>
      <c r="J17"/>
      <c r="K17"/>
      <c r="L17"/>
      <c r="M17"/>
      <c r="N17"/>
    </row>
    <row r="18" spans="1:14" x14ac:dyDescent="0.25">
      <c r="A18" s="22" t="s">
        <v>2</v>
      </c>
      <c r="B18" s="6" t="s">
        <v>661</v>
      </c>
      <c r="C18" s="6"/>
      <c r="D18" s="6"/>
      <c r="E18" s="6"/>
      <c r="F18" s="6"/>
      <c r="G18" s="19"/>
      <c r="I18" t="s">
        <v>670</v>
      </c>
      <c r="J18"/>
      <c r="K18"/>
      <c r="L18"/>
      <c r="M18"/>
      <c r="N18"/>
    </row>
    <row r="19" spans="1:14" ht="15.75" thickBot="1" x14ac:dyDescent="0.3">
      <c r="A19" s="21">
        <f>INDEX('Point Grid'!$C$8:$I$26,MATCH($A$1,'Point Grid'!$A$8:$A$26,0),MATCH(A18,'Point Grid'!$C$7:$I$7,0))</f>
        <v>3</v>
      </c>
      <c r="B19" s="142"/>
      <c r="C19" s="6"/>
      <c r="D19" s="6"/>
      <c r="E19" s="6"/>
      <c r="F19" s="6"/>
      <c r="G19" s="19"/>
      <c r="I19"/>
      <c r="J19"/>
      <c r="K19"/>
      <c r="L19"/>
      <c r="M19"/>
      <c r="N19"/>
    </row>
    <row r="20" spans="1:14" ht="15.75" thickBot="1" x14ac:dyDescent="0.3">
      <c r="A20" s="5">
        <v>3</v>
      </c>
      <c r="B20" s="6"/>
      <c r="C20" s="6"/>
      <c r="D20" s="6"/>
      <c r="E20" s="6"/>
      <c r="F20" s="6"/>
      <c r="G20" s="19"/>
      <c r="I20" t="s">
        <v>671</v>
      </c>
      <c r="J20"/>
      <c r="K20"/>
      <c r="L20"/>
      <c r="M20"/>
      <c r="N20"/>
    </row>
    <row r="21" spans="1:14" ht="15.75" thickBot="1" x14ac:dyDescent="0.3">
      <c r="A21" s="23"/>
      <c r="B21" s="24"/>
      <c r="C21" s="24"/>
      <c r="D21" s="24"/>
      <c r="E21" s="24"/>
      <c r="F21" s="24"/>
      <c r="G21" s="25"/>
      <c r="I21" t="s">
        <v>672</v>
      </c>
      <c r="J21"/>
      <c r="K21"/>
      <c r="L21"/>
      <c r="M21"/>
      <c r="N21"/>
    </row>
    <row r="22" spans="1:14" x14ac:dyDescent="0.25">
      <c r="B22"/>
      <c r="C22"/>
      <c r="D22"/>
      <c r="E22"/>
      <c r="F22"/>
      <c r="G22"/>
      <c r="I22" t="s">
        <v>673</v>
      </c>
      <c r="J22">
        <f>(K12-500*E14)/(C8-500)</f>
        <v>350</v>
      </c>
      <c r="K22"/>
      <c r="L22"/>
      <c r="M22"/>
      <c r="N22"/>
    </row>
    <row r="23" spans="1:14" x14ac:dyDescent="0.25">
      <c r="B23"/>
      <c r="C23"/>
      <c r="D23"/>
      <c r="E23"/>
      <c r="F23"/>
      <c r="G23"/>
      <c r="I23"/>
      <c r="J23"/>
      <c r="K23"/>
      <c r="L23"/>
      <c r="M23"/>
      <c r="N23"/>
    </row>
    <row r="24" spans="1:14" x14ac:dyDescent="0.25">
      <c r="B24"/>
      <c r="C24"/>
      <c r="D24"/>
      <c r="E24"/>
      <c r="F24"/>
      <c r="G24"/>
      <c r="I24" s="4" t="s">
        <v>676</v>
      </c>
      <c r="J24"/>
      <c r="K24"/>
      <c r="L24"/>
      <c r="M24"/>
      <c r="N24"/>
    </row>
    <row r="25" spans="1:14" x14ac:dyDescent="0.25">
      <c r="B25"/>
      <c r="C25"/>
      <c r="D25"/>
      <c r="E25"/>
      <c r="F25"/>
      <c r="G25"/>
      <c r="I25" s="4" t="s">
        <v>677</v>
      </c>
      <c r="J25"/>
      <c r="K25"/>
      <c r="L25"/>
      <c r="M25"/>
      <c r="N25"/>
    </row>
    <row r="26" spans="1:14" x14ac:dyDescent="0.25">
      <c r="I26" t="s">
        <v>675</v>
      </c>
      <c r="J26"/>
      <c r="K26"/>
      <c r="L26"/>
      <c r="M26"/>
      <c r="N26"/>
    </row>
    <row r="27" spans="1:14" x14ac:dyDescent="0.25">
      <c r="I27" s="4" t="s">
        <v>678</v>
      </c>
      <c r="J27"/>
      <c r="K27"/>
      <c r="L27"/>
      <c r="M27"/>
      <c r="N27"/>
    </row>
    <row r="28" spans="1:14" x14ac:dyDescent="0.25">
      <c r="I28" s="4" t="s">
        <v>679</v>
      </c>
      <c r="J28"/>
      <c r="K28"/>
      <c r="L28"/>
      <c r="M28"/>
      <c r="N28"/>
    </row>
    <row r="29" spans="1:14" x14ac:dyDescent="0.25">
      <c r="I29" s="4" t="s">
        <v>680</v>
      </c>
      <c r="J29">
        <f>(K9-J22*C8-150*C10)/(C9-C10)</f>
        <v>50</v>
      </c>
      <c r="K29"/>
      <c r="L29"/>
      <c r="M29"/>
      <c r="N29"/>
    </row>
    <row r="30" spans="1:14" x14ac:dyDescent="0.25">
      <c r="I30" s="4" t="s">
        <v>681</v>
      </c>
      <c r="J30">
        <f>E14-J22-J29</f>
        <v>100</v>
      </c>
      <c r="K30"/>
      <c r="L30"/>
      <c r="M30"/>
      <c r="N30"/>
    </row>
    <row r="31" spans="1:14" x14ac:dyDescent="0.25">
      <c r="L31"/>
      <c r="M31"/>
      <c r="N31"/>
    </row>
    <row r="32" spans="1:14" x14ac:dyDescent="0.25">
      <c r="I32" s="4" t="s">
        <v>685</v>
      </c>
      <c r="J32"/>
      <c r="K32"/>
      <c r="L32"/>
      <c r="M32"/>
      <c r="N32"/>
    </row>
    <row r="33" spans="9:10" x14ac:dyDescent="0.25">
      <c r="I33" s="4" t="s">
        <v>686</v>
      </c>
      <c r="J33" s="89">
        <f>J22*C8+J29*C9+J30*1000</f>
        <v>225000</v>
      </c>
    </row>
    <row r="34" spans="9:10" x14ac:dyDescent="0.25">
      <c r="I34" s="4" t="s">
        <v>687</v>
      </c>
      <c r="J34" s="181">
        <f>J33/K9</f>
        <v>0.69230769230769229</v>
      </c>
    </row>
  </sheetData>
  <sheetProtection formatCells="0" formatColumns="0" formatRows="0"/>
  <mergeCells count="1">
    <mergeCell ref="F1:G1"/>
  </mergeCells>
  <conditionalFormatting sqref="B1">
    <cfRule type="cellIs" dxfId="18" priority="1" operator="equal">
      <formula>"Incomplete"</formula>
    </cfRule>
    <cfRule type="cellIs" dxfId="17" priority="2" operator="equal">
      <formula>"Flag for Review"</formula>
    </cfRule>
    <cfRule type="cellIs" dxfId="16" priority="3" operator="equal">
      <formula>"Finished"</formula>
    </cfRule>
  </conditionalFormatting>
  <dataValidations count="2">
    <dataValidation type="list" allowBlank="1" showInputMessage="1" showErrorMessage="1" sqref="B1" xr:uid="{6BAE4AC5-3F5D-4A8F-A010-9345E50B3D5C}">
      <formula1>"Finished, Flag for Review, Incomplete"</formula1>
    </dataValidation>
    <dataValidation type="decimal" allowBlank="1" showInputMessage="1" showErrorMessage="1" sqref="A20" xr:uid="{CCA5247A-F6D2-401D-89E6-A673EFABBC88}">
      <formula1>0</formula1>
      <formula2>A19</formula2>
    </dataValidation>
  </dataValidations>
  <hyperlinks>
    <hyperlink ref="F1" location="Navigator!A1" display="Navigator" xr:uid="{4B2133B6-F4D4-47E6-9ADB-945E8A48B989}"/>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B1C06-A5A5-4CF9-B123-20755A8AB91D}">
  <sheetPr codeName="Sheet20"/>
  <dimension ref="A1:S70"/>
  <sheetViews>
    <sheetView workbookViewId="0"/>
  </sheetViews>
  <sheetFormatPr defaultColWidth="9.140625" defaultRowHeight="15" x14ac:dyDescent="0.25"/>
  <cols>
    <col min="1" max="1" width="6.5703125" style="4" bestFit="1" customWidth="1"/>
    <col min="2" max="2" width="16.7109375" style="4" customWidth="1"/>
    <col min="3" max="3" width="43.7109375" style="4" bestFit="1" customWidth="1"/>
    <col min="4" max="4" width="14" style="4" customWidth="1"/>
    <col min="5" max="5" width="13.85546875" style="4" bestFit="1" customWidth="1"/>
    <col min="6" max="6" width="9.5703125" style="4" customWidth="1"/>
    <col min="7" max="7" width="12.140625" style="4" bestFit="1" customWidth="1"/>
    <col min="8" max="8" width="2.7109375" style="4" customWidth="1"/>
    <col min="9" max="9" width="3.7109375" style="72" customWidth="1"/>
    <col min="10" max="10" width="13" style="4" customWidth="1"/>
    <col min="11" max="11" width="10.140625" style="4" bestFit="1" customWidth="1"/>
    <col min="12" max="12" width="10" style="4" bestFit="1" customWidth="1"/>
    <col min="13" max="13" width="9.140625" style="4"/>
    <col min="14" max="15" width="11.85546875" style="4" bestFit="1" customWidth="1"/>
    <col min="16" max="16" width="7.140625" style="4" bestFit="1" customWidth="1"/>
    <col min="17" max="17" width="12" style="4" bestFit="1" customWidth="1"/>
    <col min="18" max="16384" width="9.140625" style="4"/>
  </cols>
  <sheetData>
    <row r="1" spans="1:19" ht="15.75" x14ac:dyDescent="0.25">
      <c r="A1" s="16">
        <v>18</v>
      </c>
      <c r="B1" s="15" t="s">
        <v>362</v>
      </c>
      <c r="C1" s="139" t="s">
        <v>600</v>
      </c>
      <c r="D1" s="138" t="s">
        <v>745</v>
      </c>
      <c r="E1" s="17"/>
      <c r="F1" s="17"/>
      <c r="G1" s="247" t="s">
        <v>596</v>
      </c>
      <c r="H1" s="248"/>
      <c r="I1" s="114"/>
      <c r="J1" s="130" t="s">
        <v>310</v>
      </c>
    </row>
    <row r="2" spans="1:19" x14ac:dyDescent="0.25">
      <c r="A2" s="18"/>
      <c r="B2" s="6"/>
      <c r="C2" s="6"/>
      <c r="D2" s="6"/>
      <c r="E2" s="6"/>
      <c r="F2" s="6"/>
      <c r="G2" s="6"/>
      <c r="H2" s="19"/>
      <c r="I2" s="72" t="s">
        <v>2</v>
      </c>
      <c r="J2" t="s">
        <v>765</v>
      </c>
      <c r="K2"/>
      <c r="L2"/>
      <c r="M2"/>
      <c r="N2"/>
      <c r="O2"/>
      <c r="P2"/>
      <c r="Q2"/>
      <c r="R2"/>
      <c r="S2"/>
    </row>
    <row r="3" spans="1:19" x14ac:dyDescent="0.25">
      <c r="A3" s="20" t="s">
        <v>14</v>
      </c>
      <c r="B3" s="6" t="s">
        <v>746</v>
      </c>
      <c r="C3" s="6"/>
      <c r="D3" s="6"/>
      <c r="E3" s="6"/>
      <c r="F3" s="6"/>
      <c r="G3" s="6"/>
      <c r="H3" s="19"/>
      <c r="I3"/>
      <c r="J3" t="s">
        <v>766</v>
      </c>
      <c r="K3"/>
      <c r="L3"/>
      <c r="M3"/>
      <c r="N3"/>
      <c r="O3"/>
      <c r="P3"/>
      <c r="Q3"/>
      <c r="R3"/>
      <c r="S3"/>
    </row>
    <row r="4" spans="1:19" x14ac:dyDescent="0.25">
      <c r="A4" s="21">
        <f>INDEX('Point Grid'!B:B,MATCH('18'!A1,'Point Grid'!A:A,0))</f>
        <v>2.75</v>
      </c>
      <c r="B4" s="6" t="s">
        <v>747</v>
      </c>
      <c r="C4" s="6"/>
      <c r="D4" s="6"/>
      <c r="E4" s="6"/>
      <c r="F4" s="6"/>
      <c r="G4" s="6"/>
      <c r="H4" s="19"/>
      <c r="I4"/>
      <c r="J4"/>
      <c r="K4"/>
      <c r="L4"/>
      <c r="M4"/>
      <c r="N4"/>
      <c r="O4"/>
      <c r="P4"/>
      <c r="Q4"/>
      <c r="R4"/>
      <c r="S4"/>
    </row>
    <row r="5" spans="1:19" x14ac:dyDescent="0.25">
      <c r="A5" s="18"/>
      <c r="B5" s="6"/>
      <c r="C5" s="6"/>
      <c r="D5" s="6"/>
      <c r="E5" s="6"/>
      <c r="F5" s="6"/>
      <c r="G5" s="6"/>
      <c r="H5" s="19"/>
      <c r="I5"/>
      <c r="J5" s="4" t="s">
        <v>775</v>
      </c>
      <c r="K5"/>
      <c r="L5"/>
      <c r="M5"/>
      <c r="N5"/>
      <c r="O5"/>
      <c r="P5"/>
      <c r="Q5"/>
      <c r="R5"/>
      <c r="S5"/>
    </row>
    <row r="6" spans="1:19" x14ac:dyDescent="0.25">
      <c r="A6" s="18"/>
      <c r="B6" s="135" t="s">
        <v>748</v>
      </c>
      <c r="C6" s="135" t="s">
        <v>774</v>
      </c>
      <c r="D6" s="135" t="s">
        <v>767</v>
      </c>
      <c r="E6" s="135" t="s">
        <v>749</v>
      </c>
      <c r="F6" s="135" t="s">
        <v>750</v>
      </c>
      <c r="G6" s="135" t="s">
        <v>751</v>
      </c>
      <c r="H6" s="19"/>
      <c r="I6"/>
      <c r="J6" s="4" t="s">
        <v>776</v>
      </c>
      <c r="K6"/>
      <c r="L6"/>
      <c r="M6"/>
      <c r="N6"/>
      <c r="O6"/>
      <c r="P6"/>
      <c r="Q6"/>
      <c r="R6"/>
      <c r="S6"/>
    </row>
    <row r="7" spans="1:19" x14ac:dyDescent="0.25">
      <c r="A7" s="18"/>
      <c r="B7" s="8">
        <v>1</v>
      </c>
      <c r="C7" s="8" t="s">
        <v>771</v>
      </c>
      <c r="D7" s="232">
        <v>5</v>
      </c>
      <c r="E7" s="233">
        <v>-47704</v>
      </c>
      <c r="F7" s="233">
        <v>95418</v>
      </c>
      <c r="G7" s="234">
        <v>95473.611820000006</v>
      </c>
      <c r="H7" s="19"/>
      <c r="I7"/>
      <c r="K7"/>
      <c r="L7"/>
      <c r="M7"/>
      <c r="N7"/>
      <c r="O7"/>
      <c r="P7"/>
      <c r="Q7"/>
      <c r="R7"/>
      <c r="S7"/>
    </row>
    <row r="8" spans="1:19" x14ac:dyDescent="0.25">
      <c r="A8" s="18"/>
      <c r="B8" s="8">
        <v>2</v>
      </c>
      <c r="C8" s="8" t="s">
        <v>772</v>
      </c>
      <c r="D8" s="232">
        <v>9</v>
      </c>
      <c r="E8" s="233">
        <v>-47495</v>
      </c>
      <c r="F8" s="232">
        <f>K12</f>
        <v>95008</v>
      </c>
      <c r="G8" s="239">
        <f>K19</f>
        <v>95108.101276000016</v>
      </c>
      <c r="H8" s="19"/>
      <c r="I8"/>
      <c r="J8" s="237" t="s">
        <v>769</v>
      </c>
      <c r="K8"/>
      <c r="L8"/>
      <c r="M8"/>
      <c r="N8"/>
      <c r="O8"/>
      <c r="P8"/>
      <c r="Q8"/>
      <c r="R8"/>
      <c r="S8"/>
    </row>
    <row r="9" spans="1:19" x14ac:dyDescent="0.25">
      <c r="A9" s="18"/>
      <c r="B9" s="7">
        <v>3</v>
      </c>
      <c r="C9" s="7" t="s">
        <v>773</v>
      </c>
      <c r="D9" s="7">
        <v>10</v>
      </c>
      <c r="E9" s="236">
        <v>-47365</v>
      </c>
      <c r="F9" s="236">
        <v>94750</v>
      </c>
      <c r="G9" s="239">
        <f>K25</f>
        <v>94861.223640000011</v>
      </c>
      <c r="H9" s="19"/>
      <c r="I9"/>
      <c r="J9" t="s">
        <v>770</v>
      </c>
      <c r="K9"/>
      <c r="L9"/>
      <c r="M9"/>
      <c r="N9"/>
      <c r="O9"/>
      <c r="P9"/>
      <c r="Q9"/>
      <c r="R9"/>
      <c r="S9"/>
    </row>
    <row r="10" spans="1:19" x14ac:dyDescent="0.25">
      <c r="A10" s="18"/>
      <c r="B10" s="6"/>
      <c r="C10" s="6"/>
      <c r="D10" s="6"/>
      <c r="E10" s="6"/>
      <c r="F10" s="6"/>
      <c r="G10" s="6"/>
      <c r="H10" s="19"/>
      <c r="I10"/>
      <c r="J10" t="s">
        <v>777</v>
      </c>
      <c r="K10"/>
      <c r="L10"/>
      <c r="M10"/>
      <c r="N10"/>
      <c r="O10"/>
      <c r="P10"/>
      <c r="Q10"/>
      <c r="R10"/>
      <c r="S10"/>
    </row>
    <row r="11" spans="1:19" x14ac:dyDescent="0.25">
      <c r="A11" s="18"/>
      <c r="B11" s="6" t="s">
        <v>753</v>
      </c>
      <c r="C11" s="6"/>
      <c r="D11" s="6"/>
      <c r="E11" s="6"/>
      <c r="F11" s="6"/>
      <c r="G11" s="6"/>
      <c r="H11" s="19"/>
      <c r="I11"/>
      <c r="K11"/>
      <c r="L11"/>
      <c r="M11"/>
      <c r="N11"/>
      <c r="O11"/>
      <c r="P11"/>
      <c r="Q11"/>
      <c r="R11"/>
      <c r="S11"/>
    </row>
    <row r="12" spans="1:19" x14ac:dyDescent="0.25">
      <c r="A12" s="18"/>
      <c r="B12" s="6" t="s">
        <v>752</v>
      </c>
      <c r="C12" s="6"/>
      <c r="D12" s="6"/>
      <c r="E12" s="6"/>
      <c r="F12" s="6"/>
      <c r="G12" s="6"/>
      <c r="H12" s="19"/>
      <c r="I12"/>
      <c r="J12" t="s">
        <v>778</v>
      </c>
      <c r="K12">
        <f>-2*E8+2*D8</f>
        <v>95008</v>
      </c>
      <c r="L12"/>
      <c r="M12"/>
      <c r="N12"/>
      <c r="O12"/>
      <c r="P12"/>
      <c r="Q12"/>
      <c r="R12"/>
      <c r="S12"/>
    </row>
    <row r="13" spans="1:19" x14ac:dyDescent="0.25">
      <c r="A13" s="18"/>
      <c r="B13" s="6" t="s">
        <v>754</v>
      </c>
      <c r="C13" s="6"/>
      <c r="D13" s="6"/>
      <c r="E13" s="6"/>
      <c r="F13" s="6"/>
      <c r="G13" s="6"/>
      <c r="H13" s="19"/>
      <c r="I13"/>
      <c r="J13"/>
      <c r="K13"/>
      <c r="L13"/>
      <c r="M13"/>
      <c r="N13"/>
      <c r="O13"/>
      <c r="P13"/>
      <c r="Q13"/>
      <c r="R13"/>
      <c r="S13"/>
    </row>
    <row r="14" spans="1:19" x14ac:dyDescent="0.25">
      <c r="A14" s="18"/>
      <c r="B14" s="6" t="s">
        <v>768</v>
      </c>
      <c r="C14" s="6"/>
      <c r="D14" s="6"/>
      <c r="E14" s="6"/>
      <c r="F14" s="6"/>
      <c r="G14" s="6"/>
      <c r="H14" s="19"/>
      <c r="I14"/>
      <c r="J14" t="s">
        <v>779</v>
      </c>
      <c r="K14"/>
      <c r="L14"/>
      <c r="M14"/>
      <c r="N14"/>
      <c r="O14"/>
      <c r="P14"/>
      <c r="Q14"/>
      <c r="R14"/>
      <c r="S14"/>
    </row>
    <row r="15" spans="1:19" x14ac:dyDescent="0.25">
      <c r="A15" s="18"/>
      <c r="B15" s="6"/>
      <c r="C15" s="6"/>
      <c r="D15" s="6"/>
      <c r="E15" s="6"/>
      <c r="F15" s="6"/>
      <c r="G15" s="6"/>
      <c r="H15" s="19"/>
      <c r="I15"/>
      <c r="J15" t="s">
        <v>780</v>
      </c>
      <c r="K15">
        <f>(G7+2*E7)/D7</f>
        <v>13.122364000001108</v>
      </c>
      <c r="L15"/>
      <c r="M15"/>
      <c r="N15"/>
      <c r="O15"/>
      <c r="P15"/>
      <c r="Q15"/>
      <c r="R15"/>
      <c r="S15"/>
    </row>
    <row r="16" spans="1:19" x14ac:dyDescent="0.25">
      <c r="A16" s="22" t="s">
        <v>2</v>
      </c>
      <c r="B16" s="6" t="s">
        <v>755</v>
      </c>
      <c r="C16" s="6"/>
      <c r="D16" s="6"/>
      <c r="E16" s="6"/>
      <c r="F16" s="6"/>
      <c r="G16" s="6"/>
      <c r="H16" s="19"/>
      <c r="I16"/>
      <c r="J16" t="s">
        <v>781</v>
      </c>
      <c r="K16" s="238">
        <f>EXP(K15)</f>
        <v>500000.31129848637</v>
      </c>
      <c r="L16"/>
      <c r="M16"/>
      <c r="N16"/>
      <c r="O16"/>
      <c r="P16"/>
      <c r="Q16"/>
      <c r="R16"/>
      <c r="S16"/>
    </row>
    <row r="17" spans="1:19" ht="15.75" thickBot="1" x14ac:dyDescent="0.3">
      <c r="A17" s="21">
        <f>INDEX('Point Grid'!$C$8:$I$26,MATCH($A$1,'Point Grid'!$A$8:$A$26,0),MATCH(A16,'Point Grid'!$C$7:$I$7,0))</f>
        <v>2</v>
      </c>
      <c r="B17" s="6"/>
      <c r="C17" s="6"/>
      <c r="D17" s="6"/>
      <c r="E17" s="6"/>
      <c r="F17" s="6"/>
      <c r="G17" s="6"/>
      <c r="H17" s="19"/>
      <c r="I17"/>
      <c r="J17"/>
      <c r="K17"/>
      <c r="L17"/>
      <c r="M17"/>
      <c r="N17"/>
      <c r="O17"/>
      <c r="P17"/>
      <c r="Q17"/>
      <c r="R17"/>
      <c r="S17"/>
    </row>
    <row r="18" spans="1:19" ht="15.75" thickBot="1" x14ac:dyDescent="0.3">
      <c r="A18" s="5">
        <v>2</v>
      </c>
      <c r="B18" s="6"/>
      <c r="C18" s="6"/>
      <c r="D18" s="6"/>
      <c r="E18" s="6"/>
      <c r="F18" s="6"/>
      <c r="G18" s="6"/>
      <c r="H18" s="19"/>
      <c r="I18"/>
      <c r="J18" t="s">
        <v>782</v>
      </c>
      <c r="K18"/>
      <c r="L18"/>
      <c r="M18"/>
      <c r="N18"/>
      <c r="O18"/>
      <c r="P18"/>
      <c r="Q18"/>
      <c r="R18"/>
      <c r="S18"/>
    </row>
    <row r="19" spans="1:19" x14ac:dyDescent="0.25">
      <c r="A19" s="18"/>
      <c r="B19" s="6"/>
      <c r="C19" s="6"/>
      <c r="D19" s="6"/>
      <c r="E19" s="6"/>
      <c r="F19" s="6"/>
      <c r="G19" s="6"/>
      <c r="H19" s="19"/>
      <c r="I19"/>
      <c r="J19" t="s">
        <v>783</v>
      </c>
      <c r="K19" s="240">
        <f>-2*E8+D8*K15</f>
        <v>95108.101276000016</v>
      </c>
      <c r="L19"/>
      <c r="M19"/>
      <c r="N19"/>
      <c r="O19"/>
      <c r="P19"/>
      <c r="Q19"/>
      <c r="R19"/>
      <c r="S19"/>
    </row>
    <row r="20" spans="1:19" x14ac:dyDescent="0.25">
      <c r="A20" s="22" t="s">
        <v>3</v>
      </c>
      <c r="B20" s="142" t="s">
        <v>784</v>
      </c>
      <c r="C20" s="142"/>
      <c r="D20" s="142"/>
      <c r="E20" s="142"/>
      <c r="F20" s="142"/>
      <c r="G20" s="142"/>
      <c r="H20" s="155"/>
      <c r="I20"/>
      <c r="J20"/>
      <c r="K20"/>
      <c r="L20"/>
      <c r="M20"/>
      <c r="N20"/>
      <c r="O20"/>
      <c r="P20"/>
      <c r="Q20"/>
      <c r="R20"/>
      <c r="S20"/>
    </row>
    <row r="21" spans="1:19" ht="15.75" thickBot="1" x14ac:dyDescent="0.3">
      <c r="A21" s="21">
        <f>INDEX('Point Grid'!$C$8:$I$26,MATCH($A$1,'Point Grid'!$A$8:$A$26,0),MATCH(A20,'Point Grid'!$C$7:$I$7,0))</f>
        <v>0.5</v>
      </c>
      <c r="B21" s="142"/>
      <c r="C21" s="142"/>
      <c r="D21" s="142"/>
      <c r="E21" s="142"/>
      <c r="F21" s="142"/>
      <c r="G21" s="142"/>
      <c r="H21" s="155"/>
      <c r="I21"/>
      <c r="J21" t="s">
        <v>785</v>
      </c>
      <c r="K21"/>
      <c r="L21"/>
      <c r="M21"/>
      <c r="N21"/>
      <c r="O21"/>
      <c r="P21"/>
      <c r="Q21"/>
      <c r="R21"/>
      <c r="S21"/>
    </row>
    <row r="22" spans="1:19" ht="15.75" thickBot="1" x14ac:dyDescent="0.3">
      <c r="A22" s="5">
        <v>0.5</v>
      </c>
      <c r="B22" s="142"/>
      <c r="C22" s="142"/>
      <c r="D22" s="142"/>
      <c r="E22" s="142"/>
      <c r="F22" s="142"/>
      <c r="G22" s="142"/>
      <c r="H22" s="155"/>
      <c r="I22"/>
      <c r="J22" s="141">
        <f>ABS(F8-G8)</f>
        <v>100.10127600001579</v>
      </c>
      <c r="K22"/>
      <c r="L22"/>
      <c r="M22"/>
      <c r="N22"/>
      <c r="O22"/>
      <c r="P22"/>
      <c r="Q22"/>
      <c r="R22"/>
      <c r="S22"/>
    </row>
    <row r="23" spans="1:19" x14ac:dyDescent="0.25">
      <c r="A23" s="18"/>
      <c r="B23" s="142"/>
      <c r="C23" s="142"/>
      <c r="D23" s="142"/>
      <c r="E23" s="142"/>
      <c r="F23" s="142"/>
      <c r="G23" s="142"/>
      <c r="H23" s="155"/>
      <c r="I23"/>
      <c r="J23"/>
      <c r="K23"/>
      <c r="L23"/>
      <c r="M23"/>
      <c r="N23"/>
      <c r="O23"/>
      <c r="P23"/>
      <c r="Q23"/>
      <c r="R23"/>
      <c r="S23"/>
    </row>
    <row r="24" spans="1:19" x14ac:dyDescent="0.25">
      <c r="A24" s="22" t="s">
        <v>4</v>
      </c>
      <c r="B24" s="6" t="s">
        <v>756</v>
      </c>
      <c r="C24" s="6"/>
      <c r="D24" s="6"/>
      <c r="E24" s="6"/>
      <c r="F24" s="6"/>
      <c r="G24" s="6"/>
      <c r="H24" s="19"/>
      <c r="I24" t="s">
        <v>3</v>
      </c>
      <c r="J24" t="s">
        <v>786</v>
      </c>
      <c r="K24"/>
      <c r="L24"/>
      <c r="M24"/>
      <c r="N24"/>
      <c r="O24"/>
      <c r="P24"/>
      <c r="Q24"/>
      <c r="R24"/>
      <c r="S24"/>
    </row>
    <row r="25" spans="1:19" ht="15.75" thickBot="1" x14ac:dyDescent="0.3">
      <c r="A25" s="21">
        <f>INDEX('Point Grid'!$C$8:$I$26,MATCH($A$1,'Point Grid'!$A$8:$A$26,0),MATCH(A24,'Point Grid'!$C$7:$I$7,0))</f>
        <v>0.25</v>
      </c>
      <c r="B25" s="6" t="s">
        <v>762</v>
      </c>
      <c r="C25" s="6"/>
      <c r="D25" s="6"/>
      <c r="E25" s="6"/>
      <c r="F25" s="6"/>
      <c r="G25" s="6"/>
      <c r="H25" s="19"/>
      <c r="I25"/>
      <c r="J25" t="s">
        <v>787</v>
      </c>
      <c r="K25" s="240">
        <f>-2*E9+D9*K15</f>
        <v>94861.223640000011</v>
      </c>
      <c r="L25"/>
      <c r="M25"/>
      <c r="N25"/>
      <c r="O25"/>
      <c r="P25"/>
      <c r="Q25"/>
      <c r="R25"/>
      <c r="S25"/>
    </row>
    <row r="26" spans="1:19" ht="15.75" thickBot="1" x14ac:dyDescent="0.3">
      <c r="A26" s="5">
        <v>0.25</v>
      </c>
      <c r="B26" s="6" t="s">
        <v>763</v>
      </c>
      <c r="C26" s="6"/>
      <c r="D26" s="6"/>
      <c r="E26" s="6"/>
      <c r="F26" s="6"/>
      <c r="G26" s="6"/>
      <c r="H26" s="19"/>
      <c r="I26"/>
      <c r="J26"/>
      <c r="K26"/>
      <c r="L26"/>
      <c r="M26"/>
      <c r="N26"/>
      <c r="O26"/>
      <c r="P26"/>
      <c r="Q26"/>
      <c r="R26"/>
      <c r="S26"/>
    </row>
    <row r="27" spans="1:19" x14ac:dyDescent="0.25">
      <c r="A27" s="142"/>
      <c r="B27" s="6" t="s">
        <v>757</v>
      </c>
      <c r="C27" s="6"/>
      <c r="D27" s="6"/>
      <c r="E27" s="6"/>
      <c r="F27" s="6"/>
      <c r="G27" s="6"/>
      <c r="H27" s="19"/>
      <c r="I27"/>
      <c r="J27" t="s">
        <v>788</v>
      </c>
      <c r="K27"/>
      <c r="L27"/>
      <c r="M27"/>
      <c r="N27"/>
      <c r="O27"/>
      <c r="P27"/>
      <c r="Q27"/>
      <c r="R27"/>
      <c r="S27"/>
    </row>
    <row r="28" spans="1:19" x14ac:dyDescent="0.25">
      <c r="A28" s="142"/>
      <c r="B28" s="6" t="s">
        <v>758</v>
      </c>
      <c r="C28" s="6"/>
      <c r="D28" s="6"/>
      <c r="E28" s="6"/>
      <c r="F28" s="6"/>
      <c r="G28" s="6"/>
      <c r="H28" s="19"/>
      <c r="I28"/>
      <c r="J28"/>
      <c r="K28"/>
      <c r="L28"/>
      <c r="M28"/>
      <c r="N28"/>
      <c r="O28"/>
      <c r="P28"/>
      <c r="Q28"/>
      <c r="R28"/>
      <c r="S28"/>
    </row>
    <row r="29" spans="1:19" x14ac:dyDescent="0.25">
      <c r="A29" s="6"/>
      <c r="B29" s="235" t="s">
        <v>761</v>
      </c>
      <c r="C29" s="6"/>
      <c r="D29" s="6"/>
      <c r="E29" s="6"/>
      <c r="F29" s="6"/>
      <c r="G29" s="6"/>
      <c r="H29" s="19"/>
      <c r="I29" t="s">
        <v>4</v>
      </c>
      <c r="J29" t="s">
        <v>794</v>
      </c>
      <c r="K29"/>
      <c r="L29"/>
      <c r="M29"/>
      <c r="N29"/>
      <c r="O29"/>
      <c r="P29"/>
      <c r="Q29"/>
      <c r="R29"/>
      <c r="S29"/>
    </row>
    <row r="30" spans="1:19" x14ac:dyDescent="0.25">
      <c r="A30" s="6"/>
      <c r="B30" s="6" t="s">
        <v>759</v>
      </c>
      <c r="C30" s="6"/>
      <c r="D30" s="6"/>
      <c r="E30" s="6"/>
      <c r="F30" s="6"/>
      <c r="G30" s="6"/>
      <c r="H30" s="19"/>
      <c r="I30"/>
      <c r="J30" t="s">
        <v>791</v>
      </c>
      <c r="K30"/>
      <c r="L30"/>
      <c r="M30"/>
      <c r="N30"/>
      <c r="O30"/>
      <c r="P30"/>
      <c r="Q30"/>
      <c r="R30"/>
      <c r="S30"/>
    </row>
    <row r="31" spans="1:19" x14ac:dyDescent="0.25">
      <c r="A31" s="158"/>
      <c r="B31" s="235" t="s">
        <v>760</v>
      </c>
      <c r="C31" s="6"/>
      <c r="D31" s="6"/>
      <c r="E31" s="6"/>
      <c r="F31" s="6"/>
      <c r="G31" s="6"/>
      <c r="H31" s="19"/>
      <c r="I31"/>
      <c r="J31" t="s">
        <v>789</v>
      </c>
      <c r="K31"/>
      <c r="L31"/>
      <c r="M31"/>
      <c r="N31"/>
      <c r="O31"/>
      <c r="P31"/>
      <c r="Q31"/>
      <c r="R31"/>
      <c r="S31"/>
    </row>
    <row r="32" spans="1:19" ht="15.75" thickBot="1" x14ac:dyDescent="0.3">
      <c r="A32" s="23"/>
      <c r="B32" s="24"/>
      <c r="C32" s="24"/>
      <c r="D32" s="24"/>
      <c r="E32" s="24"/>
      <c r="F32" s="24"/>
      <c r="G32" s="24"/>
      <c r="H32" s="25"/>
      <c r="I32"/>
      <c r="J32" t="s">
        <v>790</v>
      </c>
      <c r="K32"/>
      <c r="L32"/>
      <c r="M32"/>
      <c r="N32"/>
      <c r="O32"/>
      <c r="P32"/>
      <c r="Q32"/>
      <c r="R32"/>
      <c r="S32"/>
    </row>
    <row r="33" spans="1:19" x14ac:dyDescent="0.25">
      <c r="A33"/>
      <c r="B33"/>
      <c r="C33"/>
      <c r="D33"/>
      <c r="E33"/>
      <c r="F33"/>
      <c r="G33"/>
      <c r="H33"/>
      <c r="I33"/>
      <c r="J33" t="s">
        <v>792</v>
      </c>
      <c r="K33"/>
      <c r="L33"/>
      <c r="M33"/>
      <c r="N33"/>
      <c r="O33"/>
      <c r="P33"/>
      <c r="Q33"/>
      <c r="R33"/>
      <c r="S33"/>
    </row>
    <row r="34" spans="1:19" x14ac:dyDescent="0.25">
      <c r="A34"/>
      <c r="B34"/>
      <c r="C34"/>
      <c r="D34"/>
      <c r="E34"/>
      <c r="F34"/>
      <c r="G34"/>
      <c r="H34"/>
      <c r="I34"/>
      <c r="J34"/>
      <c r="K34"/>
      <c r="L34"/>
      <c r="M34"/>
      <c r="N34"/>
      <c r="O34"/>
      <c r="P34"/>
      <c r="Q34"/>
      <c r="R34"/>
      <c r="S34"/>
    </row>
    <row r="35" spans="1:19" x14ac:dyDescent="0.25">
      <c r="A35"/>
      <c r="B35"/>
      <c r="C35"/>
      <c r="D35"/>
      <c r="E35"/>
      <c r="F35"/>
      <c r="G35"/>
      <c r="H35"/>
      <c r="I35"/>
      <c r="J35"/>
      <c r="K35"/>
      <c r="L35"/>
      <c r="M35"/>
      <c r="N35"/>
      <c r="O35"/>
      <c r="P35"/>
      <c r="Q35"/>
      <c r="R35"/>
      <c r="S35"/>
    </row>
    <row r="36" spans="1:19" x14ac:dyDescent="0.25">
      <c r="A36"/>
      <c r="B36"/>
      <c r="C36"/>
      <c r="D36"/>
      <c r="E36"/>
      <c r="F36"/>
      <c r="G36"/>
      <c r="H36"/>
      <c r="I36"/>
      <c r="J36"/>
      <c r="K36"/>
      <c r="L36"/>
      <c r="M36"/>
      <c r="N36"/>
      <c r="O36"/>
      <c r="P36"/>
      <c r="Q36"/>
      <c r="R36"/>
      <c r="S36"/>
    </row>
    <row r="37" spans="1:19" x14ac:dyDescent="0.25">
      <c r="A37"/>
      <c r="B37"/>
      <c r="C37"/>
      <c r="D37"/>
      <c r="E37"/>
      <c r="F37"/>
      <c r="G37"/>
      <c r="H37"/>
      <c r="I37"/>
      <c r="J37"/>
      <c r="K37"/>
      <c r="L37"/>
      <c r="M37"/>
      <c r="N37"/>
      <c r="O37"/>
      <c r="P37"/>
      <c r="Q37"/>
      <c r="R37"/>
      <c r="S37"/>
    </row>
    <row r="38" spans="1:19" x14ac:dyDescent="0.25">
      <c r="A38"/>
      <c r="B38"/>
      <c r="C38"/>
      <c r="D38"/>
      <c r="E38"/>
      <c r="F38"/>
      <c r="G38"/>
      <c r="H38"/>
      <c r="I38"/>
      <c r="J38"/>
      <c r="K38"/>
      <c r="L38"/>
      <c r="M38"/>
      <c r="N38"/>
      <c r="O38"/>
      <c r="P38"/>
      <c r="Q38"/>
      <c r="R38"/>
      <c r="S38"/>
    </row>
    <row r="39" spans="1:19" x14ac:dyDescent="0.25">
      <c r="A39"/>
      <c r="B39"/>
      <c r="C39"/>
      <c r="D39"/>
      <c r="E39"/>
      <c r="F39"/>
      <c r="G39"/>
      <c r="H39"/>
      <c r="I39"/>
      <c r="J39"/>
      <c r="K39"/>
      <c r="L39"/>
      <c r="M39"/>
      <c r="N39"/>
      <c r="O39"/>
      <c r="P39"/>
      <c r="Q39"/>
      <c r="R39"/>
      <c r="S39"/>
    </row>
    <row r="40" spans="1:19" x14ac:dyDescent="0.25">
      <c r="A40"/>
      <c r="B40"/>
      <c r="C40"/>
      <c r="D40"/>
      <c r="E40"/>
      <c r="F40"/>
      <c r="G40"/>
      <c r="H40"/>
      <c r="I40"/>
      <c r="J40"/>
      <c r="K40"/>
      <c r="L40"/>
      <c r="M40"/>
      <c r="N40"/>
      <c r="O40"/>
      <c r="P40"/>
      <c r="Q40"/>
      <c r="R40"/>
      <c r="S40"/>
    </row>
    <row r="41" spans="1:19" x14ac:dyDescent="0.25">
      <c r="A41"/>
      <c r="B41"/>
      <c r="C41"/>
      <c r="D41"/>
      <c r="E41"/>
      <c r="F41"/>
      <c r="G41"/>
      <c r="H41"/>
      <c r="I41"/>
      <c r="J41"/>
      <c r="K41"/>
      <c r="L41"/>
      <c r="M41"/>
      <c r="N41"/>
      <c r="O41"/>
      <c r="P41"/>
      <c r="Q41"/>
      <c r="R41"/>
      <c r="S41"/>
    </row>
    <row r="42" spans="1:19" x14ac:dyDescent="0.25">
      <c r="A42"/>
      <c r="B42"/>
      <c r="C42"/>
      <c r="D42"/>
      <c r="E42"/>
      <c r="F42"/>
      <c r="G42"/>
      <c r="H42"/>
      <c r="I42"/>
      <c r="J42"/>
      <c r="K42"/>
      <c r="L42"/>
      <c r="M42"/>
      <c r="N42"/>
      <c r="O42"/>
      <c r="P42"/>
      <c r="Q42"/>
      <c r="R42"/>
      <c r="S42"/>
    </row>
    <row r="43" spans="1:19" x14ac:dyDescent="0.25">
      <c r="A43"/>
      <c r="B43"/>
      <c r="C43"/>
      <c r="D43"/>
      <c r="E43"/>
      <c r="F43"/>
      <c r="G43"/>
      <c r="H43"/>
      <c r="I43"/>
      <c r="J43"/>
      <c r="K43"/>
      <c r="L43"/>
      <c r="M43"/>
      <c r="N43"/>
      <c r="O43"/>
      <c r="P43"/>
      <c r="Q43"/>
      <c r="R43"/>
      <c r="S43"/>
    </row>
    <row r="44" spans="1:19" x14ac:dyDescent="0.25">
      <c r="A44"/>
      <c r="B44"/>
      <c r="C44"/>
      <c r="D44"/>
      <c r="E44"/>
      <c r="F44"/>
      <c r="G44"/>
      <c r="H44"/>
      <c r="I44"/>
      <c r="J44"/>
      <c r="K44"/>
      <c r="L44"/>
      <c r="M44"/>
      <c r="N44"/>
      <c r="O44"/>
      <c r="P44"/>
      <c r="Q44"/>
      <c r="R44"/>
      <c r="S44"/>
    </row>
    <row r="45" spans="1:19" x14ac:dyDescent="0.25">
      <c r="A45"/>
      <c r="B45"/>
      <c r="C45"/>
      <c r="D45"/>
      <c r="E45"/>
      <c r="F45"/>
      <c r="G45"/>
      <c r="H45"/>
      <c r="I45"/>
      <c r="J45"/>
      <c r="K45"/>
      <c r="L45"/>
      <c r="M45"/>
      <c r="N45"/>
      <c r="O45"/>
      <c r="P45"/>
      <c r="Q45"/>
      <c r="R45"/>
      <c r="S45"/>
    </row>
    <row r="46" spans="1:19" x14ac:dyDescent="0.25">
      <c r="A46"/>
      <c r="B46"/>
      <c r="C46"/>
      <c r="D46"/>
      <c r="E46"/>
      <c r="F46"/>
      <c r="G46"/>
      <c r="H46"/>
      <c r="I46"/>
      <c r="J46"/>
      <c r="K46"/>
      <c r="L46"/>
      <c r="M46"/>
      <c r="N46"/>
      <c r="O46"/>
      <c r="P46"/>
      <c r="Q46"/>
      <c r="R46"/>
      <c r="S46"/>
    </row>
    <row r="47" spans="1:19" x14ac:dyDescent="0.25">
      <c r="A47"/>
      <c r="B47"/>
      <c r="C47"/>
      <c r="D47"/>
      <c r="E47"/>
      <c r="F47"/>
      <c r="G47"/>
      <c r="H47"/>
      <c r="I47"/>
      <c r="J47"/>
      <c r="K47"/>
      <c r="L47"/>
      <c r="M47"/>
      <c r="N47"/>
      <c r="O47"/>
      <c r="P47"/>
      <c r="Q47"/>
      <c r="R47"/>
      <c r="S47"/>
    </row>
    <row r="48" spans="1:19" x14ac:dyDescent="0.25">
      <c r="A48"/>
      <c r="B48"/>
      <c r="C48"/>
      <c r="D48"/>
      <c r="E48"/>
      <c r="F48"/>
      <c r="G48"/>
      <c r="H48"/>
      <c r="I48"/>
      <c r="J48"/>
      <c r="K48"/>
      <c r="L48"/>
      <c r="M48"/>
      <c r="N48"/>
      <c r="O48"/>
      <c r="P48"/>
      <c r="Q48"/>
      <c r="R48"/>
      <c r="S48"/>
    </row>
    <row r="49" spans="1:19" x14ac:dyDescent="0.25">
      <c r="A49"/>
      <c r="B49"/>
      <c r="C49"/>
      <c r="D49"/>
      <c r="E49"/>
      <c r="F49"/>
      <c r="G49"/>
      <c r="H49"/>
      <c r="I49"/>
      <c r="J49"/>
      <c r="K49"/>
      <c r="L49"/>
      <c r="M49"/>
      <c r="N49"/>
      <c r="O49"/>
      <c r="P49"/>
      <c r="Q49"/>
      <c r="R49"/>
      <c r="S49"/>
    </row>
    <row r="50" spans="1:19" x14ac:dyDescent="0.25">
      <c r="A50"/>
      <c r="B50"/>
      <c r="C50"/>
      <c r="D50"/>
      <c r="E50"/>
      <c r="F50"/>
      <c r="G50"/>
      <c r="H50"/>
      <c r="I50"/>
      <c r="J50"/>
      <c r="K50"/>
      <c r="L50"/>
      <c r="M50"/>
      <c r="N50"/>
      <c r="O50"/>
      <c r="P50"/>
      <c r="Q50"/>
      <c r="R50"/>
      <c r="S50"/>
    </row>
    <row r="51" spans="1:19" x14ac:dyDescent="0.25">
      <c r="A51"/>
      <c r="B51"/>
      <c r="C51"/>
      <c r="D51"/>
      <c r="E51"/>
      <c r="F51"/>
      <c r="G51"/>
      <c r="H51"/>
      <c r="I51"/>
      <c r="J51"/>
      <c r="K51"/>
      <c r="L51"/>
      <c r="M51"/>
      <c r="N51"/>
      <c r="O51"/>
      <c r="P51"/>
      <c r="Q51"/>
      <c r="R51"/>
      <c r="S51"/>
    </row>
    <row r="52" spans="1:19" x14ac:dyDescent="0.25">
      <c r="A52"/>
      <c r="B52"/>
      <c r="C52"/>
      <c r="D52"/>
      <c r="E52"/>
      <c r="F52"/>
      <c r="G52"/>
      <c r="H52"/>
      <c r="I52"/>
      <c r="J52"/>
      <c r="K52"/>
      <c r="L52"/>
      <c r="M52"/>
      <c r="N52"/>
      <c r="O52"/>
      <c r="P52"/>
      <c r="Q52"/>
      <c r="R52"/>
      <c r="S52"/>
    </row>
    <row r="53" spans="1:19" x14ac:dyDescent="0.25">
      <c r="A53"/>
      <c r="B53"/>
      <c r="C53"/>
      <c r="D53"/>
      <c r="E53"/>
      <c r="F53"/>
      <c r="G53"/>
      <c r="H53"/>
      <c r="I53"/>
      <c r="J53"/>
      <c r="K53"/>
      <c r="L53"/>
      <c r="M53"/>
      <c r="N53"/>
      <c r="O53"/>
      <c r="P53"/>
      <c r="Q53"/>
      <c r="R53"/>
      <c r="S53"/>
    </row>
    <row r="54" spans="1:19" x14ac:dyDescent="0.25">
      <c r="A54"/>
      <c r="B54"/>
      <c r="C54"/>
      <c r="D54"/>
      <c r="E54"/>
      <c r="F54"/>
      <c r="G54"/>
      <c r="H54"/>
      <c r="I54"/>
      <c r="J54"/>
      <c r="K54"/>
      <c r="L54"/>
      <c r="M54"/>
      <c r="N54"/>
      <c r="O54"/>
      <c r="P54"/>
      <c r="Q54"/>
      <c r="R54"/>
      <c r="S54"/>
    </row>
    <row r="55" spans="1:19" x14ac:dyDescent="0.25">
      <c r="A55"/>
      <c r="B55"/>
      <c r="C55"/>
      <c r="D55"/>
      <c r="E55"/>
      <c r="F55"/>
      <c r="G55"/>
      <c r="H55"/>
      <c r="I55"/>
      <c r="J55"/>
      <c r="K55"/>
      <c r="L55"/>
      <c r="M55"/>
      <c r="N55"/>
      <c r="O55"/>
      <c r="P55"/>
      <c r="Q55"/>
      <c r="R55"/>
      <c r="S55"/>
    </row>
    <row r="56" spans="1:19" x14ac:dyDescent="0.25">
      <c r="A56"/>
      <c r="B56"/>
      <c r="C56"/>
      <c r="D56"/>
      <c r="E56"/>
      <c r="F56"/>
      <c r="G56"/>
      <c r="H56"/>
      <c r="I56"/>
      <c r="J56"/>
      <c r="K56"/>
      <c r="L56"/>
      <c r="M56"/>
      <c r="N56"/>
      <c r="O56"/>
      <c r="P56"/>
      <c r="Q56"/>
      <c r="R56"/>
      <c r="S56"/>
    </row>
    <row r="57" spans="1:19" x14ac:dyDescent="0.25">
      <c r="A57"/>
      <c r="B57"/>
      <c r="C57"/>
      <c r="D57"/>
      <c r="E57"/>
      <c r="F57"/>
      <c r="G57"/>
      <c r="H57"/>
      <c r="I57"/>
      <c r="J57"/>
      <c r="K57"/>
      <c r="L57"/>
      <c r="M57"/>
      <c r="N57"/>
      <c r="O57"/>
      <c r="P57"/>
      <c r="Q57"/>
      <c r="R57"/>
      <c r="S57"/>
    </row>
    <row r="58" spans="1:19" x14ac:dyDescent="0.25">
      <c r="A58"/>
      <c r="B58"/>
      <c r="C58"/>
      <c r="D58"/>
      <c r="E58"/>
      <c r="F58"/>
      <c r="G58"/>
      <c r="H58"/>
      <c r="I58"/>
      <c r="J58"/>
      <c r="K58"/>
      <c r="L58"/>
      <c r="M58"/>
      <c r="N58"/>
      <c r="O58"/>
      <c r="P58"/>
      <c r="Q58"/>
      <c r="R58"/>
      <c r="S58"/>
    </row>
    <row r="59" spans="1:19" x14ac:dyDescent="0.25">
      <c r="A59"/>
      <c r="B59"/>
      <c r="C59"/>
      <c r="D59"/>
      <c r="E59"/>
      <c r="F59"/>
      <c r="G59"/>
      <c r="H59"/>
      <c r="I59"/>
      <c r="J59"/>
      <c r="K59"/>
      <c r="L59"/>
      <c r="M59"/>
      <c r="N59"/>
      <c r="O59"/>
      <c r="P59"/>
      <c r="Q59"/>
      <c r="R59"/>
      <c r="S59"/>
    </row>
    <row r="60" spans="1:19" x14ac:dyDescent="0.25">
      <c r="A60"/>
      <c r="B60"/>
      <c r="C60"/>
      <c r="D60"/>
      <c r="E60"/>
      <c r="F60"/>
      <c r="G60"/>
      <c r="H60"/>
      <c r="I60"/>
      <c r="J60"/>
      <c r="K60"/>
      <c r="L60"/>
      <c r="M60"/>
      <c r="N60"/>
      <c r="O60"/>
      <c r="P60"/>
      <c r="Q60"/>
      <c r="R60"/>
      <c r="S60"/>
    </row>
    <row r="61" spans="1:19" x14ac:dyDescent="0.25">
      <c r="B61"/>
      <c r="C61"/>
      <c r="D61"/>
      <c r="E61"/>
      <c r="F61"/>
      <c r="G61"/>
      <c r="H61"/>
      <c r="I61"/>
      <c r="J61"/>
      <c r="K61"/>
      <c r="L61"/>
      <c r="M61"/>
      <c r="N61"/>
      <c r="O61"/>
      <c r="P61"/>
      <c r="Q61"/>
      <c r="R61"/>
      <c r="S61"/>
    </row>
    <row r="62" spans="1:19" x14ac:dyDescent="0.25">
      <c r="B62"/>
      <c r="C62"/>
      <c r="D62"/>
      <c r="E62"/>
      <c r="F62"/>
      <c r="G62"/>
      <c r="H62"/>
      <c r="I62"/>
      <c r="J62"/>
      <c r="K62"/>
      <c r="L62"/>
      <c r="M62"/>
      <c r="N62"/>
      <c r="O62"/>
      <c r="P62"/>
      <c r="Q62"/>
      <c r="R62"/>
      <c r="S62"/>
    </row>
    <row r="63" spans="1:19" x14ac:dyDescent="0.25">
      <c r="B63"/>
      <c r="C63"/>
      <c r="D63"/>
      <c r="E63"/>
      <c r="F63"/>
      <c r="G63"/>
      <c r="H63"/>
      <c r="I63"/>
      <c r="J63"/>
      <c r="K63"/>
      <c r="L63"/>
      <c r="M63"/>
      <c r="N63"/>
      <c r="O63"/>
      <c r="P63"/>
      <c r="Q63"/>
      <c r="R63"/>
      <c r="S63"/>
    </row>
    <row r="64" spans="1:19" x14ac:dyDescent="0.25">
      <c r="B64"/>
      <c r="C64"/>
      <c r="D64"/>
      <c r="E64"/>
      <c r="F64"/>
      <c r="G64"/>
      <c r="H64"/>
      <c r="I64"/>
      <c r="J64"/>
      <c r="K64"/>
      <c r="L64"/>
      <c r="M64"/>
      <c r="N64"/>
      <c r="O64"/>
      <c r="P64"/>
      <c r="Q64"/>
      <c r="R64"/>
      <c r="S64"/>
    </row>
    <row r="65" spans="2:19" x14ac:dyDescent="0.25">
      <c r="B65"/>
      <c r="C65"/>
      <c r="D65"/>
      <c r="E65"/>
      <c r="F65"/>
      <c r="G65"/>
      <c r="H65"/>
      <c r="I65"/>
      <c r="J65"/>
      <c r="K65"/>
      <c r="L65"/>
      <c r="M65"/>
      <c r="N65"/>
      <c r="O65"/>
      <c r="P65"/>
      <c r="Q65"/>
      <c r="R65"/>
      <c r="S65"/>
    </row>
    <row r="66" spans="2:19" x14ac:dyDescent="0.25">
      <c r="B66"/>
      <c r="C66"/>
      <c r="D66"/>
      <c r="E66"/>
      <c r="F66"/>
      <c r="G66"/>
      <c r="H66"/>
      <c r="I66"/>
      <c r="J66"/>
      <c r="K66"/>
      <c r="L66"/>
      <c r="M66"/>
      <c r="N66"/>
      <c r="O66"/>
      <c r="P66"/>
      <c r="Q66"/>
      <c r="R66"/>
      <c r="S66"/>
    </row>
    <row r="67" spans="2:19" x14ac:dyDescent="0.25">
      <c r="J67"/>
      <c r="K67"/>
      <c r="L67"/>
      <c r="M67"/>
      <c r="N67"/>
      <c r="O67"/>
      <c r="P67"/>
      <c r="Q67"/>
      <c r="R67"/>
      <c r="S67"/>
    </row>
    <row r="68" spans="2:19" x14ac:dyDescent="0.25">
      <c r="J68"/>
      <c r="K68"/>
      <c r="L68"/>
      <c r="M68"/>
      <c r="N68"/>
      <c r="O68"/>
      <c r="P68"/>
      <c r="Q68"/>
      <c r="R68"/>
      <c r="S68"/>
    </row>
    <row r="69" spans="2:19" x14ac:dyDescent="0.25">
      <c r="J69"/>
      <c r="K69"/>
      <c r="L69"/>
      <c r="M69"/>
      <c r="N69"/>
      <c r="O69"/>
      <c r="P69"/>
      <c r="Q69"/>
      <c r="R69"/>
      <c r="S69"/>
    </row>
    <row r="70" spans="2:19" x14ac:dyDescent="0.25">
      <c r="J70"/>
      <c r="K70"/>
      <c r="L70"/>
      <c r="M70"/>
      <c r="N70"/>
      <c r="O70"/>
      <c r="P70"/>
      <c r="Q70"/>
      <c r="R70"/>
      <c r="S70"/>
    </row>
  </sheetData>
  <sheetProtection formatCells="0" formatColumns="0" formatRows="0"/>
  <mergeCells count="1">
    <mergeCell ref="G1:H1"/>
  </mergeCells>
  <conditionalFormatting sqref="B1">
    <cfRule type="cellIs" dxfId="15" priority="1" operator="equal">
      <formula>"Incomplete"</formula>
    </cfRule>
    <cfRule type="cellIs" dxfId="14" priority="2" operator="equal">
      <formula>"Flag for Review"</formula>
    </cfRule>
    <cfRule type="cellIs" dxfId="13" priority="3" operator="equal">
      <formula>"Finished"</formula>
    </cfRule>
  </conditionalFormatting>
  <dataValidations count="2">
    <dataValidation type="decimal" allowBlank="1" showInputMessage="1" showErrorMessage="1" sqref="A18 A22 A26" xr:uid="{EE061112-41CD-4419-90B2-B0FA0CA10E26}">
      <formula1>0</formula1>
      <formula2>A17</formula2>
    </dataValidation>
    <dataValidation type="list" allowBlank="1" showInputMessage="1" showErrorMessage="1" sqref="B1" xr:uid="{56F1E708-C4EC-497E-8BE8-A8619ECAECA1}">
      <formula1>"Finished, Flag for Review, Incomplete"</formula1>
    </dataValidation>
  </dataValidations>
  <hyperlinks>
    <hyperlink ref="G1" location="Navigator!A1" display="Navigator" xr:uid="{AA09F4CC-F387-4C7D-A156-8A6534060E60}"/>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2A7F8-A8FA-44E6-A968-BD5F81EB92F0}">
  <sheetPr codeName="Sheet21"/>
  <dimension ref="A1:V60"/>
  <sheetViews>
    <sheetView workbookViewId="0"/>
  </sheetViews>
  <sheetFormatPr defaultColWidth="9.140625" defaultRowHeight="15" x14ac:dyDescent="0.25"/>
  <cols>
    <col min="1" max="1" width="6.5703125" style="4" bestFit="1" customWidth="1"/>
    <col min="2" max="2" width="17.42578125" style="4" customWidth="1"/>
    <col min="3" max="7" width="9.140625" style="4" customWidth="1"/>
    <col min="8" max="8" width="12.140625" style="4" customWidth="1"/>
    <col min="9" max="9" width="2.85546875" style="4" customWidth="1"/>
    <col min="10" max="10" width="3.7109375" style="72" customWidth="1"/>
    <col min="11" max="11" width="10.7109375" style="4" customWidth="1"/>
    <col min="12" max="12" width="9.5703125" style="4" customWidth="1"/>
    <col min="13" max="13" width="9.5703125" style="4" bestFit="1" customWidth="1"/>
    <col min="14" max="16384" width="9.140625" style="4"/>
  </cols>
  <sheetData>
    <row r="1" spans="1:17" ht="15.75" x14ac:dyDescent="0.25">
      <c r="A1" s="16">
        <v>19</v>
      </c>
      <c r="B1" s="15" t="s">
        <v>362</v>
      </c>
      <c r="C1" s="139" t="s">
        <v>600</v>
      </c>
      <c r="D1" s="138" t="s">
        <v>693</v>
      </c>
      <c r="E1" s="17"/>
      <c r="F1" s="17"/>
      <c r="G1" s="17"/>
      <c r="H1" s="247" t="s">
        <v>596</v>
      </c>
      <c r="I1" s="248"/>
      <c r="J1" s="114"/>
      <c r="K1" s="130" t="s">
        <v>310</v>
      </c>
    </row>
    <row r="2" spans="1:17" x14ac:dyDescent="0.25">
      <c r="A2" s="18"/>
      <c r="B2" s="6"/>
      <c r="C2" s="6"/>
      <c r="D2" s="6"/>
      <c r="E2" s="6"/>
      <c r="F2" s="6"/>
      <c r="G2" s="6"/>
      <c r="H2" s="6"/>
      <c r="I2" s="19"/>
      <c r="J2" s="72" t="s">
        <v>708</v>
      </c>
      <c r="K2" t="s">
        <v>709</v>
      </c>
      <c r="L2"/>
      <c r="M2"/>
      <c r="N2"/>
      <c r="O2"/>
    </row>
    <row r="3" spans="1:17" x14ac:dyDescent="0.25">
      <c r="A3" s="20" t="s">
        <v>14</v>
      </c>
      <c r="B3" s="6" t="s">
        <v>694</v>
      </c>
      <c r="C3" s="6"/>
      <c r="D3" s="6"/>
      <c r="E3" s="6"/>
      <c r="F3" s="6"/>
      <c r="G3" s="6"/>
      <c r="H3" s="6"/>
      <c r="I3" s="19"/>
      <c r="K3" t="s">
        <v>711</v>
      </c>
      <c r="L3"/>
      <c r="M3"/>
      <c r="N3"/>
      <c r="O3"/>
    </row>
    <row r="4" spans="1:17" x14ac:dyDescent="0.25">
      <c r="A4" s="21">
        <f>INDEX('Point Grid'!B:B,MATCH('19'!A1,'Point Grid'!A:A,0))</f>
        <v>3.5</v>
      </c>
      <c r="B4" s="6"/>
      <c r="C4" s="142"/>
      <c r="D4" s="142"/>
      <c r="E4" s="142"/>
      <c r="F4" s="142"/>
      <c r="G4" s="6"/>
      <c r="H4" s="6"/>
      <c r="I4" s="19"/>
      <c r="K4" s="4" t="s">
        <v>712</v>
      </c>
      <c r="M4"/>
      <c r="N4"/>
      <c r="O4"/>
    </row>
    <row r="5" spans="1:17" x14ac:dyDescent="0.25">
      <c r="A5" s="18"/>
      <c r="B5" s="6"/>
      <c r="C5" s="13" t="s">
        <v>695</v>
      </c>
      <c r="D5" s="135" t="s">
        <v>696</v>
      </c>
      <c r="E5" s="135" t="s">
        <v>697</v>
      </c>
      <c r="F5" s="29" t="s">
        <v>698</v>
      </c>
      <c r="G5" s="6"/>
      <c r="H5" s="6"/>
      <c r="I5" s="19"/>
      <c r="K5"/>
      <c r="L5"/>
      <c r="M5"/>
      <c r="N5"/>
      <c r="O5"/>
    </row>
    <row r="6" spans="1:17" x14ac:dyDescent="0.25">
      <c r="A6" s="18"/>
      <c r="B6" s="6"/>
      <c r="C6" s="51">
        <v>2012</v>
      </c>
      <c r="D6" s="183">
        <v>0.63100000000000001</v>
      </c>
      <c r="E6" s="183">
        <v>0.72499999999999998</v>
      </c>
      <c r="F6" s="184">
        <v>0.52300000000000002</v>
      </c>
      <c r="G6" s="6"/>
      <c r="H6" s="6"/>
      <c r="I6" s="19"/>
      <c r="J6"/>
      <c r="K6" t="s">
        <v>710</v>
      </c>
      <c r="L6">
        <v>0.6</v>
      </c>
      <c r="M6"/>
      <c r="N6"/>
      <c r="O6"/>
    </row>
    <row r="7" spans="1:17" x14ac:dyDescent="0.25">
      <c r="A7" s="158"/>
      <c r="B7" s="6"/>
      <c r="C7" s="51">
        <f t="shared" ref="C7:C14" si="0">C6+1</f>
        <v>2013</v>
      </c>
      <c r="D7" s="183">
        <v>0.59</v>
      </c>
      <c r="E7" s="183">
        <v>0.52600000000000002</v>
      </c>
      <c r="F7" s="184">
        <v>0.48899999999999999</v>
      </c>
      <c r="G7" s="6"/>
      <c r="H7" s="6"/>
      <c r="I7" s="19"/>
      <c r="J7"/>
      <c r="K7"/>
      <c r="L7" s="63" t="s">
        <v>713</v>
      </c>
      <c r="M7" s="63"/>
      <c r="N7" s="63"/>
      <c r="O7" s="63" t="s">
        <v>715</v>
      </c>
      <c r="P7" s="63"/>
      <c r="Q7" s="63"/>
    </row>
    <row r="8" spans="1:17" x14ac:dyDescent="0.25">
      <c r="A8" s="158"/>
      <c r="B8" s="6"/>
      <c r="C8" s="51">
        <f t="shared" si="0"/>
        <v>2014</v>
      </c>
      <c r="D8" s="183">
        <v>0.63500000000000001</v>
      </c>
      <c r="E8" s="183">
        <v>0.69699999999999995</v>
      </c>
      <c r="F8" s="184">
        <v>0.53900000000000003</v>
      </c>
      <c r="G8" s="6"/>
      <c r="H8" s="6"/>
      <c r="I8" s="19"/>
      <c r="J8"/>
      <c r="K8" s="195" t="s">
        <v>695</v>
      </c>
      <c r="L8" s="193" t="s">
        <v>696</v>
      </c>
      <c r="M8" s="193" t="s">
        <v>697</v>
      </c>
      <c r="N8" s="194" t="s">
        <v>698</v>
      </c>
      <c r="O8" s="193" t="s">
        <v>696</v>
      </c>
      <c r="P8" s="193" t="s">
        <v>697</v>
      </c>
      <c r="Q8" s="194" t="s">
        <v>698</v>
      </c>
    </row>
    <row r="9" spans="1:17" x14ac:dyDescent="0.25">
      <c r="A9" s="158"/>
      <c r="B9" s="6"/>
      <c r="C9" s="51">
        <f t="shared" si="0"/>
        <v>2015</v>
      </c>
      <c r="D9" s="183">
        <v>0.74299999999999999</v>
      </c>
      <c r="E9" s="183">
        <v>0.73799999999999999</v>
      </c>
      <c r="F9" s="184">
        <v>0.501</v>
      </c>
      <c r="G9" s="6"/>
      <c r="H9" s="6"/>
      <c r="I9" s="19"/>
      <c r="J9"/>
      <c r="K9" s="51">
        <v>2015</v>
      </c>
      <c r="L9" s="206">
        <f>$L$6/3*D6+$L$6/3*D7+$L$6/3*D8+(1-$L$6)*$C$16</f>
        <v>0.59919999999999995</v>
      </c>
      <c r="M9" s="207">
        <f t="shared" ref="M9:N9" si="1">$L$6/3*E6+$L$6/3*E7+$L$6/3*E8+(1-$L$6)*$C$16</f>
        <v>0.61759999999999993</v>
      </c>
      <c r="N9" s="208">
        <f t="shared" si="1"/>
        <v>0.53820000000000001</v>
      </c>
      <c r="O9" s="215">
        <f>(L9-D9)^2</f>
        <v>2.067844000000001E-2</v>
      </c>
      <c r="P9" s="216">
        <f t="shared" ref="P9:P14" si="2">(M9-E9)^2</f>
        <v>1.4496160000000015E-2</v>
      </c>
      <c r="Q9" s="217">
        <f t="shared" ref="Q9:Q14" si="3">(N9-F9)^2</f>
        <v>1.3838400000000008E-3</v>
      </c>
    </row>
    <row r="10" spans="1:17" x14ac:dyDescent="0.25">
      <c r="A10" s="18"/>
      <c r="B10" s="6"/>
      <c r="C10" s="51">
        <f t="shared" si="0"/>
        <v>2016</v>
      </c>
      <c r="D10" s="183">
        <v>0.45900000000000002</v>
      </c>
      <c r="E10" s="183">
        <v>0.61699999999999999</v>
      </c>
      <c r="F10" s="184">
        <v>0.50900000000000001</v>
      </c>
      <c r="G10" s="6"/>
      <c r="H10" s="6"/>
      <c r="I10" s="19"/>
      <c r="J10"/>
      <c r="K10" s="51">
        <v>2016</v>
      </c>
      <c r="L10" s="209">
        <f t="shared" ref="L10:N10" si="4">$L$6/3*D7+$L$6/3*D8+$L$6/3*D9+(1-$L$6)*$C$16</f>
        <v>0.62159999999999993</v>
      </c>
      <c r="M10" s="210">
        <f t="shared" si="4"/>
        <v>0.62019999999999997</v>
      </c>
      <c r="N10" s="211">
        <f t="shared" si="4"/>
        <v>0.53379999999999994</v>
      </c>
      <c r="O10" s="218">
        <f t="shared" ref="O10:O14" si="5">(L10-D10)^2</f>
        <v>2.6438759999999971E-2</v>
      </c>
      <c r="P10" s="219">
        <f t="shared" si="2"/>
        <v>1.0239999999999877E-5</v>
      </c>
      <c r="Q10" s="220">
        <f t="shared" si="3"/>
        <v>6.1503999999999671E-4</v>
      </c>
    </row>
    <row r="11" spans="1:17" x14ac:dyDescent="0.25">
      <c r="A11" s="158"/>
      <c r="B11" s="6"/>
      <c r="C11" s="51">
        <f t="shared" si="0"/>
        <v>2017</v>
      </c>
      <c r="D11" s="183">
        <v>0.42299999999999999</v>
      </c>
      <c r="E11" s="183">
        <v>0.57799999999999996</v>
      </c>
      <c r="F11" s="184">
        <v>0.46600000000000003</v>
      </c>
      <c r="G11" s="6"/>
      <c r="H11" s="6"/>
      <c r="I11" s="19"/>
      <c r="J11"/>
      <c r="K11" s="51">
        <v>2017</v>
      </c>
      <c r="L11" s="209">
        <f t="shared" ref="L11:N11" si="6">$L$6/3*D8+$L$6/3*D9+$L$6/3*D10+(1-$L$6)*$C$16</f>
        <v>0.59539999999999993</v>
      </c>
      <c r="M11" s="210">
        <f t="shared" si="6"/>
        <v>0.63839999999999986</v>
      </c>
      <c r="N11" s="211">
        <f t="shared" si="6"/>
        <v>0.53779999999999994</v>
      </c>
      <c r="O11" s="218">
        <f t="shared" si="5"/>
        <v>2.9721759999999979E-2</v>
      </c>
      <c r="P11" s="219">
        <f t="shared" si="2"/>
        <v>3.6481599999999875E-3</v>
      </c>
      <c r="Q11" s="220">
        <f t="shared" si="3"/>
        <v>5.155239999999988E-3</v>
      </c>
    </row>
    <row r="12" spans="1:17" x14ac:dyDescent="0.25">
      <c r="A12" s="158"/>
      <c r="B12" s="6"/>
      <c r="C12" s="51">
        <f t="shared" si="0"/>
        <v>2018</v>
      </c>
      <c r="D12" s="183">
        <v>0.58899999999999997</v>
      </c>
      <c r="E12" s="183">
        <v>0.67200000000000004</v>
      </c>
      <c r="F12" s="184">
        <v>0.48599999999999999</v>
      </c>
      <c r="G12" s="6"/>
      <c r="H12" s="6"/>
      <c r="I12" s="19"/>
      <c r="J12"/>
      <c r="K12" s="51">
        <v>2018</v>
      </c>
      <c r="L12" s="209">
        <f t="shared" ref="L12:N12" si="7">$L$6/3*D9+$L$6/3*D10+$L$6/3*D11+(1-$L$6)*$C$16</f>
        <v>0.55299999999999994</v>
      </c>
      <c r="M12" s="210">
        <f t="shared" si="7"/>
        <v>0.61459999999999992</v>
      </c>
      <c r="N12" s="211">
        <f t="shared" si="7"/>
        <v>0.52319999999999989</v>
      </c>
      <c r="O12" s="218">
        <f t="shared" si="5"/>
        <v>1.2960000000000022E-3</v>
      </c>
      <c r="P12" s="219">
        <f t="shared" si="2"/>
        <v>3.2947600000000133E-3</v>
      </c>
      <c r="Q12" s="220">
        <f t="shared" si="3"/>
        <v>1.3838399999999925E-3</v>
      </c>
    </row>
    <row r="13" spans="1:17" x14ac:dyDescent="0.25">
      <c r="A13" s="158"/>
      <c r="B13" s="6"/>
      <c r="C13" s="51">
        <f t="shared" si="0"/>
        <v>2019</v>
      </c>
      <c r="D13" s="183">
        <v>0.60199999999999998</v>
      </c>
      <c r="E13" s="183">
        <v>0.56499999999999995</v>
      </c>
      <c r="F13" s="184">
        <v>0.50700000000000001</v>
      </c>
      <c r="G13" s="6"/>
      <c r="H13" s="6"/>
      <c r="I13" s="19"/>
      <c r="J13"/>
      <c r="K13" s="51">
        <v>2019</v>
      </c>
      <c r="L13" s="209">
        <f t="shared" ref="L13:N13" si="8">$L$6/3*D10+$L$6/3*D11+$L$6/3*D12+(1-$L$6)*$C$16</f>
        <v>0.5222</v>
      </c>
      <c r="M13" s="210">
        <f t="shared" si="8"/>
        <v>0.60139999999999993</v>
      </c>
      <c r="N13" s="211">
        <f t="shared" si="8"/>
        <v>0.5202</v>
      </c>
      <c r="O13" s="218">
        <f t="shared" si="5"/>
        <v>6.3680399999999976E-3</v>
      </c>
      <c r="P13" s="219">
        <f t="shared" si="2"/>
        <v>1.3249599999999992E-3</v>
      </c>
      <c r="Q13" s="220">
        <f t="shared" si="3"/>
        <v>1.7423999999999971E-4</v>
      </c>
    </row>
    <row r="14" spans="1:17" x14ac:dyDescent="0.25">
      <c r="A14" s="158"/>
      <c r="B14" s="6"/>
      <c r="C14" s="52">
        <f t="shared" si="0"/>
        <v>2020</v>
      </c>
      <c r="D14" s="189">
        <v>0.52800000000000002</v>
      </c>
      <c r="E14" s="189">
        <v>0.58299999999999996</v>
      </c>
      <c r="F14" s="190">
        <v>0.46100000000000002</v>
      </c>
      <c r="G14" s="6"/>
      <c r="H14" s="6"/>
      <c r="I14" s="19"/>
      <c r="J14"/>
      <c r="K14" s="52">
        <v>2020</v>
      </c>
      <c r="L14" s="212">
        <f t="shared" ref="L14:N14" si="9">$L$6/3*D11+$L$6/3*D12+$L$6/3*D13+(1-$L$6)*$C$16</f>
        <v>0.55079999999999996</v>
      </c>
      <c r="M14" s="213">
        <f t="shared" si="9"/>
        <v>0.59099999999999997</v>
      </c>
      <c r="N14" s="214">
        <f t="shared" si="9"/>
        <v>0.51979999999999993</v>
      </c>
      <c r="O14" s="221">
        <f t="shared" si="5"/>
        <v>5.1983999999999689E-4</v>
      </c>
      <c r="P14" s="198">
        <f t="shared" si="2"/>
        <v>6.4000000000000119E-5</v>
      </c>
      <c r="Q14" s="222">
        <f t="shared" si="3"/>
        <v>3.4574399999999892E-3</v>
      </c>
    </row>
    <row r="15" spans="1:17" x14ac:dyDescent="0.25">
      <c r="A15" s="158"/>
      <c r="B15" s="6"/>
      <c r="C15" s="6"/>
      <c r="D15" s="6"/>
      <c r="E15" s="6"/>
      <c r="F15" s="6"/>
      <c r="G15" s="6"/>
      <c r="H15" s="6"/>
      <c r="I15" s="19"/>
      <c r="J15"/>
      <c r="K15"/>
      <c r="L15"/>
      <c r="M15"/>
      <c r="N15"/>
      <c r="O15"/>
    </row>
    <row r="16" spans="1:17" x14ac:dyDescent="0.25">
      <c r="A16" s="158"/>
      <c r="B16" s="6" t="s">
        <v>699</v>
      </c>
      <c r="C16" s="192">
        <v>0.56999999999999995</v>
      </c>
      <c r="D16" s="6"/>
      <c r="E16" s="6"/>
      <c r="F16" s="6"/>
      <c r="G16" s="6"/>
      <c r="H16" s="6"/>
      <c r="I16" s="19"/>
      <c r="J16"/>
      <c r="K16" t="s">
        <v>716</v>
      </c>
      <c r="L16"/>
      <c r="M16" s="197">
        <f>SUM(O9:Q14)/COUNT(O9:Q14)</f>
        <v>6.6683755555555519E-3</v>
      </c>
      <c r="N16"/>
      <c r="O16"/>
    </row>
    <row r="17" spans="1:22" x14ac:dyDescent="0.25">
      <c r="A17" s="158"/>
      <c r="B17" s="6"/>
      <c r="C17" s="6"/>
      <c r="D17" s="6"/>
      <c r="E17" s="6"/>
      <c r="F17" s="6"/>
      <c r="G17" s="6"/>
      <c r="H17" s="6"/>
      <c r="I17" s="19"/>
      <c r="J17"/>
      <c r="K17"/>
      <c r="L17"/>
      <c r="M17" s="196"/>
      <c r="N17"/>
      <c r="O17"/>
    </row>
    <row r="18" spans="1:22" x14ac:dyDescent="0.25">
      <c r="A18" s="158"/>
      <c r="B18" s="6" t="s">
        <v>700</v>
      </c>
      <c r="C18" s="6"/>
      <c r="D18" s="6"/>
      <c r="E18" s="6"/>
      <c r="F18" s="6"/>
      <c r="G18" s="6"/>
      <c r="H18" s="6"/>
      <c r="I18" s="19"/>
      <c r="J18"/>
      <c r="K18" s="202" t="s">
        <v>717</v>
      </c>
      <c r="L18" s="193">
        <v>0</v>
      </c>
      <c r="M18" s="193">
        <v>0.1</v>
      </c>
      <c r="N18" s="193">
        <v>0.2</v>
      </c>
      <c r="O18" s="193">
        <v>0.3</v>
      </c>
      <c r="P18" s="203">
        <v>0.4</v>
      </c>
      <c r="Q18" s="203">
        <v>0.5</v>
      </c>
      <c r="R18" s="203">
        <v>0.6</v>
      </c>
      <c r="S18" s="203">
        <v>0.7</v>
      </c>
      <c r="T18" s="203">
        <v>0.8</v>
      </c>
      <c r="U18" s="203">
        <v>0.9</v>
      </c>
      <c r="V18" s="204">
        <v>1</v>
      </c>
    </row>
    <row r="19" spans="1:22" x14ac:dyDescent="0.25">
      <c r="A19" s="158"/>
      <c r="B19" s="6" t="s">
        <v>701</v>
      </c>
      <c r="C19" s="6"/>
      <c r="D19" s="6"/>
      <c r="E19" s="6"/>
      <c r="F19" s="6"/>
      <c r="G19" s="6"/>
      <c r="H19" s="6"/>
      <c r="I19" s="19"/>
      <c r="J19"/>
      <c r="K19" s="201" t="s">
        <v>718</v>
      </c>
      <c r="L19" s="198">
        <v>8.3503888888888864E-3</v>
      </c>
      <c r="M19" s="198">
        <v>7.8344656790123469E-3</v>
      </c>
      <c r="N19" s="198">
        <v>7.4127775308641935E-3</v>
      </c>
      <c r="O19" s="198">
        <v>7.0853244444444418E-3</v>
      </c>
      <c r="P19" s="199">
        <v>6.8521064197530866E-3</v>
      </c>
      <c r="Q19" s="199">
        <v>6.713123456790121E-3</v>
      </c>
      <c r="R19" s="199">
        <v>6.6683755555555519E-3</v>
      </c>
      <c r="S19" s="199">
        <v>6.717862716049381E-3</v>
      </c>
      <c r="T19" s="199">
        <v>6.8615849382716058E-3</v>
      </c>
      <c r="U19" s="199">
        <v>7.0995422222222193E-3</v>
      </c>
      <c r="V19" s="200">
        <v>7.431734567901231E-3</v>
      </c>
    </row>
    <row r="20" spans="1:22" x14ac:dyDescent="0.25">
      <c r="A20" s="158"/>
      <c r="B20" s="6" t="s">
        <v>714</v>
      </c>
      <c r="C20" s="6"/>
      <c r="D20" s="6"/>
      <c r="E20" s="6"/>
      <c r="F20" s="6"/>
      <c r="G20" s="6"/>
      <c r="H20" s="6"/>
      <c r="I20" s="19"/>
      <c r="J20"/>
      <c r="K20"/>
      <c r="L20"/>
      <c r="M20"/>
      <c r="N20"/>
      <c r="O20"/>
    </row>
    <row r="21" spans="1:22" x14ac:dyDescent="0.25">
      <c r="A21" s="158"/>
      <c r="B21" s="6"/>
      <c r="C21" s="6"/>
      <c r="D21" s="6"/>
      <c r="E21" s="6"/>
      <c r="F21" s="6"/>
      <c r="G21" s="6"/>
      <c r="H21" s="6"/>
      <c r="I21" s="19"/>
      <c r="J21"/>
      <c r="K21" t="s">
        <v>719</v>
      </c>
      <c r="L21" s="205">
        <f>INDEX(L18:V18,MATCH(MIN(L19:V19),L19:V19,0))</f>
        <v>0.6</v>
      </c>
      <c r="M21"/>
    </row>
    <row r="22" spans="1:22" x14ac:dyDescent="0.25">
      <c r="A22" s="22" t="s">
        <v>2</v>
      </c>
      <c r="B22" s="6" t="s">
        <v>702</v>
      </c>
      <c r="C22" s="6"/>
      <c r="D22" s="6"/>
      <c r="E22" s="6"/>
      <c r="F22" s="6"/>
      <c r="G22" s="6"/>
      <c r="H22" s="6"/>
      <c r="I22" s="19"/>
      <c r="J22"/>
      <c r="K22"/>
      <c r="L22"/>
      <c r="M22"/>
    </row>
    <row r="23" spans="1:22" ht="15.75" thickBot="1" x14ac:dyDescent="0.3">
      <c r="A23" s="21">
        <f>INDEX('Point Grid'!$C$8:$I$26,MATCH($A$1,'Point Grid'!$A$8:$A$26,0),MATCH(A22,'Point Grid'!$C$7:$I$7,0))</f>
        <v>1.5</v>
      </c>
      <c r="B23" s="6" t="s">
        <v>703</v>
      </c>
      <c r="C23" s="6"/>
      <c r="D23" s="6"/>
      <c r="E23" s="6"/>
      <c r="F23" s="6"/>
      <c r="G23" s="6"/>
      <c r="H23" s="6"/>
      <c r="I23" s="19"/>
      <c r="J23" t="s">
        <v>720</v>
      </c>
      <c r="K23" t="s">
        <v>721</v>
      </c>
      <c r="L23" s="191">
        <v>0.05</v>
      </c>
      <c r="M23"/>
      <c r="N23" s="4" t="s">
        <v>723</v>
      </c>
    </row>
    <row r="24" spans="1:22" ht="15.75" thickBot="1" x14ac:dyDescent="0.3">
      <c r="A24" s="5">
        <v>1.5</v>
      </c>
      <c r="B24" s="6"/>
      <c r="C24" s="6"/>
      <c r="D24" s="6"/>
      <c r="E24" s="6"/>
      <c r="F24" s="6"/>
      <c r="G24" s="6"/>
      <c r="H24" s="6"/>
      <c r="I24" s="19"/>
      <c r="J24"/>
      <c r="K24" t="s">
        <v>722</v>
      </c>
      <c r="L24" s="182">
        <f>COUNTIF(L27:N32,"&gt;"&amp;L23)/COUNT(L27:N32)</f>
        <v>0.72222222222222221</v>
      </c>
      <c r="M24"/>
      <c r="N24" s="4" t="s">
        <v>725</v>
      </c>
    </row>
    <row r="25" spans="1:22" x14ac:dyDescent="0.25">
      <c r="A25" s="158"/>
      <c r="B25" s="6"/>
      <c r="C25" s="6"/>
      <c r="D25" s="6"/>
      <c r="E25" s="6"/>
      <c r="F25" s="6"/>
      <c r="G25" s="6"/>
      <c r="H25" s="6"/>
      <c r="I25" s="19"/>
      <c r="J25"/>
      <c r="K25"/>
      <c r="L25" s="63" t="s">
        <v>724</v>
      </c>
      <c r="M25" s="63"/>
      <c r="N25" s="63"/>
    </row>
    <row r="26" spans="1:22" x14ac:dyDescent="0.25">
      <c r="A26" s="22" t="s">
        <v>3</v>
      </c>
      <c r="B26" s="6" t="s">
        <v>704</v>
      </c>
      <c r="C26" s="6"/>
      <c r="D26" s="6"/>
      <c r="E26" s="6"/>
      <c r="F26" s="6"/>
      <c r="G26" s="6"/>
      <c r="H26" s="6"/>
      <c r="I26" s="19"/>
      <c r="J26"/>
      <c r="K26" s="195" t="s">
        <v>695</v>
      </c>
      <c r="L26" s="193" t="s">
        <v>696</v>
      </c>
      <c r="M26" s="193" t="s">
        <v>697</v>
      </c>
      <c r="N26" s="194" t="s">
        <v>698</v>
      </c>
      <c r="P26" s="223"/>
    </row>
    <row r="27" spans="1:22" ht="15.75" thickBot="1" x14ac:dyDescent="0.3">
      <c r="A27" s="21">
        <f>INDEX('Point Grid'!$C$8:$I$26,MATCH($A$1,'Point Grid'!$A$8:$A$26,0),MATCH(A26,'Point Grid'!$C$7:$I$7,0))</f>
        <v>1</v>
      </c>
      <c r="B27" s="6" t="s">
        <v>705</v>
      </c>
      <c r="C27" s="6"/>
      <c r="D27" s="6"/>
      <c r="E27" s="6"/>
      <c r="F27" s="6"/>
      <c r="G27" s="6"/>
      <c r="H27" s="6"/>
      <c r="I27" s="19"/>
      <c r="J27"/>
      <c r="K27" s="51">
        <v>2015</v>
      </c>
      <c r="L27" s="224">
        <f>ABS(L9-D9)/D9</f>
        <v>0.19353970390309561</v>
      </c>
      <c r="M27" s="225">
        <f>ABS(M9-E9)/E9</f>
        <v>0.16314363143631444</v>
      </c>
      <c r="N27" s="226">
        <f>ABS(N9-F9)/F9</f>
        <v>7.4251497005988043E-2</v>
      </c>
      <c r="P27" s="223"/>
    </row>
    <row r="28" spans="1:22" ht="15.75" thickBot="1" x14ac:dyDescent="0.3">
      <c r="A28" s="5">
        <v>1</v>
      </c>
      <c r="B28" s="6"/>
      <c r="C28" s="6"/>
      <c r="D28" s="6"/>
      <c r="E28" s="6"/>
      <c r="F28" s="6"/>
      <c r="G28" s="6"/>
      <c r="H28" s="6"/>
      <c r="I28" s="19"/>
      <c r="J28"/>
      <c r="K28" s="51">
        <v>2016</v>
      </c>
      <c r="L28" s="227">
        <f t="shared" ref="L28:N32" si="10">ABS(L10-D10)/D10</f>
        <v>0.35424836601307169</v>
      </c>
      <c r="M28" s="185">
        <f t="shared" si="10"/>
        <v>5.1863857374391904E-3</v>
      </c>
      <c r="N28" s="186">
        <f t="shared" si="10"/>
        <v>4.8722986247544071E-2</v>
      </c>
    </row>
    <row r="29" spans="1:22" x14ac:dyDescent="0.25">
      <c r="A29" s="18"/>
      <c r="B29" s="6"/>
      <c r="C29" s="6"/>
      <c r="D29" s="6"/>
      <c r="E29" s="6"/>
      <c r="F29" s="6"/>
      <c r="G29" s="6"/>
      <c r="H29" s="6"/>
      <c r="I29" s="19"/>
      <c r="J29"/>
      <c r="K29" s="51">
        <v>2017</v>
      </c>
      <c r="L29" s="227">
        <f t="shared" si="10"/>
        <v>0.40756501182033084</v>
      </c>
      <c r="M29" s="185">
        <f t="shared" si="10"/>
        <v>0.1044982698961936</v>
      </c>
      <c r="N29" s="186">
        <f t="shared" si="10"/>
        <v>0.15407725321888394</v>
      </c>
    </row>
    <row r="30" spans="1:22" x14ac:dyDescent="0.25">
      <c r="A30" s="22" t="s">
        <v>4</v>
      </c>
      <c r="B30" s="6" t="s">
        <v>727</v>
      </c>
      <c r="C30" s="6"/>
      <c r="D30" s="6"/>
      <c r="E30" s="6"/>
      <c r="F30" s="6"/>
      <c r="G30" s="6"/>
      <c r="H30" s="6"/>
      <c r="I30" s="19"/>
      <c r="J30"/>
      <c r="K30" s="51">
        <v>2018</v>
      </c>
      <c r="L30" s="227">
        <f t="shared" si="10"/>
        <v>6.1120543293718223E-2</v>
      </c>
      <c r="M30" s="185">
        <f t="shared" si="10"/>
        <v>8.5416666666666835E-2</v>
      </c>
      <c r="N30" s="186">
        <f t="shared" si="10"/>
        <v>7.6543209876543006E-2</v>
      </c>
    </row>
    <row r="31" spans="1:22" ht="15.75" thickBot="1" x14ac:dyDescent="0.3">
      <c r="A31" s="21">
        <f>INDEX('Point Grid'!$C$8:$I$26,MATCH($A$1,'Point Grid'!$A$8:$A$26,0),MATCH(A30,'Point Grid'!$C$7:$I$7,0))</f>
        <v>0.75</v>
      </c>
      <c r="B31" s="6" t="s">
        <v>728</v>
      </c>
      <c r="C31" s="6"/>
      <c r="D31" s="6"/>
      <c r="E31" s="6"/>
      <c r="F31" s="6"/>
      <c r="G31" s="6"/>
      <c r="H31" s="6"/>
      <c r="I31" s="19"/>
      <c r="J31"/>
      <c r="K31" s="51">
        <v>2019</v>
      </c>
      <c r="L31" s="227">
        <f t="shared" si="10"/>
        <v>0.13255813953488368</v>
      </c>
      <c r="M31" s="185">
        <f t="shared" si="10"/>
        <v>6.4424778761061938E-2</v>
      </c>
      <c r="N31" s="186">
        <f t="shared" si="10"/>
        <v>2.603550295857986E-2</v>
      </c>
    </row>
    <row r="32" spans="1:22" ht="15.75" thickBot="1" x14ac:dyDescent="0.3">
      <c r="A32" s="5">
        <v>0.75</v>
      </c>
      <c r="B32" s="6"/>
      <c r="C32" s="6"/>
      <c r="D32" s="6"/>
      <c r="E32" s="6"/>
      <c r="F32" s="6"/>
      <c r="G32" s="6"/>
      <c r="H32" s="6"/>
      <c r="I32" s="19"/>
      <c r="J32"/>
      <c r="K32" s="52">
        <v>2020</v>
      </c>
      <c r="L32" s="228">
        <f t="shared" si="10"/>
        <v>4.318181818181805E-2</v>
      </c>
      <c r="M32" s="187">
        <f t="shared" si="10"/>
        <v>1.3722126929674113E-2</v>
      </c>
      <c r="N32" s="188">
        <f t="shared" si="10"/>
        <v>0.12754880694143148</v>
      </c>
    </row>
    <row r="33" spans="1:22" x14ac:dyDescent="0.25">
      <c r="A33" s="6"/>
      <c r="B33" s="6"/>
      <c r="C33" s="6"/>
      <c r="D33" s="6"/>
      <c r="E33" s="6"/>
      <c r="F33" s="6"/>
      <c r="G33" s="6"/>
      <c r="H33" s="6"/>
      <c r="I33" s="19"/>
      <c r="J33"/>
      <c r="K33"/>
      <c r="L33"/>
      <c r="M33"/>
    </row>
    <row r="34" spans="1:22" x14ac:dyDescent="0.25">
      <c r="A34" s="22" t="s">
        <v>5</v>
      </c>
      <c r="B34" s="6" t="s">
        <v>706</v>
      </c>
      <c r="C34" s="6"/>
      <c r="D34" s="6"/>
      <c r="E34" s="6"/>
      <c r="F34" s="6"/>
      <c r="G34" s="6"/>
      <c r="H34" s="6"/>
      <c r="I34" s="19"/>
      <c r="J34"/>
      <c r="K34" s="202" t="s">
        <v>717</v>
      </c>
      <c r="L34" s="193">
        <v>0</v>
      </c>
      <c r="M34" s="193">
        <v>0.1</v>
      </c>
      <c r="N34" s="193">
        <v>0.2</v>
      </c>
      <c r="O34" s="193">
        <v>0.3</v>
      </c>
      <c r="P34" s="203">
        <v>0.4</v>
      </c>
      <c r="Q34" s="203">
        <v>0.5</v>
      </c>
      <c r="R34" s="203">
        <v>0.6</v>
      </c>
      <c r="S34" s="203">
        <v>0.7</v>
      </c>
      <c r="T34" s="203">
        <v>0.8</v>
      </c>
      <c r="U34" s="203">
        <v>0.9</v>
      </c>
      <c r="V34" s="204">
        <v>1</v>
      </c>
    </row>
    <row r="35" spans="1:22" ht="15.75" thickBot="1" x14ac:dyDescent="0.3">
      <c r="A35" s="21">
        <f>INDEX('Point Grid'!$C$8:$I$26,MATCH($A$1,'Point Grid'!$A$8:$A$26,0),MATCH(A34,'Point Grid'!$C$7:$I$7,0))</f>
        <v>0.25</v>
      </c>
      <c r="B35" s="6" t="s">
        <v>707</v>
      </c>
      <c r="C35" s="6"/>
      <c r="D35" s="6"/>
      <c r="E35" s="6"/>
      <c r="F35" s="6"/>
      <c r="G35" s="6"/>
      <c r="H35" s="6"/>
      <c r="I35" s="19"/>
      <c r="J35"/>
      <c r="K35" s="201" t="s">
        <v>722</v>
      </c>
      <c r="L35" s="187">
        <v>0.77777777777777779</v>
      </c>
      <c r="M35" s="187">
        <v>0.77777777777777779</v>
      </c>
      <c r="N35" s="187">
        <v>0.72222222222222221</v>
      </c>
      <c r="O35" s="187">
        <v>0.72222222222222221</v>
      </c>
      <c r="P35" s="229">
        <v>0.83333333333333337</v>
      </c>
      <c r="Q35" s="229">
        <v>0.77777777777777779</v>
      </c>
      <c r="R35" s="229">
        <v>0.72222222222222221</v>
      </c>
      <c r="S35" s="229">
        <v>0.72222222222222221</v>
      </c>
      <c r="T35" s="229">
        <v>0.66666666666666663</v>
      </c>
      <c r="U35" s="229">
        <v>0.61111111111111116</v>
      </c>
      <c r="V35" s="230">
        <v>0.61111111111111116</v>
      </c>
    </row>
    <row r="36" spans="1:22" ht="15.75" thickBot="1" x14ac:dyDescent="0.3">
      <c r="A36" s="5">
        <v>0.25</v>
      </c>
      <c r="B36" s="6"/>
      <c r="C36" s="6"/>
      <c r="D36" s="6"/>
      <c r="E36" s="6"/>
      <c r="F36" s="6"/>
      <c r="G36" s="6"/>
      <c r="H36" s="6"/>
      <c r="I36" s="19"/>
      <c r="L36"/>
      <c r="M36"/>
    </row>
    <row r="37" spans="1:22" ht="15.75" thickBot="1" x14ac:dyDescent="0.3">
      <c r="A37" s="24"/>
      <c r="B37" s="24"/>
      <c r="C37" s="24"/>
      <c r="D37" s="24"/>
      <c r="E37" s="24"/>
      <c r="F37" s="24"/>
      <c r="G37" s="24"/>
      <c r="H37" s="24"/>
      <c r="I37" s="25"/>
      <c r="J37"/>
      <c r="K37" s="182" t="s">
        <v>730</v>
      </c>
      <c r="L37"/>
      <c r="M37"/>
    </row>
    <row r="38" spans="1:22" x14ac:dyDescent="0.25">
      <c r="A38"/>
      <c r="B38"/>
      <c r="C38"/>
      <c r="D38"/>
      <c r="E38"/>
      <c r="F38"/>
      <c r="G38"/>
      <c r="H38"/>
      <c r="I38"/>
    </row>
    <row r="39" spans="1:22" x14ac:dyDescent="0.25">
      <c r="A39"/>
      <c r="B39"/>
      <c r="C39"/>
      <c r="D39"/>
      <c r="E39"/>
      <c r="F39"/>
      <c r="G39"/>
      <c r="H39"/>
      <c r="I39"/>
      <c r="J39" t="s">
        <v>726</v>
      </c>
      <c r="K39" t="s">
        <v>729</v>
      </c>
    </row>
    <row r="40" spans="1:22" x14ac:dyDescent="0.25">
      <c r="A40"/>
      <c r="B40"/>
      <c r="C40"/>
      <c r="D40"/>
      <c r="E40"/>
      <c r="F40"/>
      <c r="G40"/>
      <c r="H40"/>
      <c r="I40"/>
      <c r="J40"/>
      <c r="L40" s="72" t="s">
        <v>696</v>
      </c>
      <c r="M40" s="72" t="s">
        <v>697</v>
      </c>
      <c r="N40" s="72" t="s">
        <v>698</v>
      </c>
    </row>
    <row r="41" spans="1:22" x14ac:dyDescent="0.25">
      <c r="A41"/>
      <c r="B41"/>
      <c r="C41"/>
      <c r="D41"/>
      <c r="E41"/>
      <c r="F41"/>
      <c r="G41"/>
      <c r="H41"/>
      <c r="I41"/>
      <c r="J41"/>
      <c r="K41">
        <v>2021</v>
      </c>
      <c r="L41" s="231">
        <f>SUM(D12:D14)/3*$L$21+(1-$L$21)*$C$16</f>
        <v>0.57179999999999986</v>
      </c>
      <c r="M41" s="231">
        <f>SUM(E12:E14)/3*$L$21+(1-$L$21)*$C$16</f>
        <v>0.59199999999999997</v>
      </c>
      <c r="N41" s="231">
        <f>SUM(F12:F14)/3*$L$21+(1-$L$21)*$C$16</f>
        <v>0.51879999999999993</v>
      </c>
    </row>
    <row r="42" spans="1:22" x14ac:dyDescent="0.25">
      <c r="A42"/>
      <c r="B42"/>
      <c r="C42"/>
      <c r="D42"/>
      <c r="E42"/>
      <c r="F42"/>
      <c r="G42"/>
      <c r="H42"/>
      <c r="I42"/>
      <c r="J42"/>
      <c r="K42"/>
    </row>
    <row r="43" spans="1:22" x14ac:dyDescent="0.25">
      <c r="B43"/>
      <c r="C43"/>
      <c r="D43"/>
      <c r="E43"/>
      <c r="F43"/>
      <c r="G43"/>
      <c r="H43"/>
      <c r="I43"/>
      <c r="J43"/>
      <c r="K43" s="4" t="s">
        <v>732</v>
      </c>
    </row>
    <row r="44" spans="1:22" x14ac:dyDescent="0.25">
      <c r="B44"/>
      <c r="C44"/>
      <c r="D44"/>
      <c r="E44"/>
      <c r="F44"/>
      <c r="G44"/>
      <c r="H44"/>
      <c r="I44"/>
      <c r="J44"/>
      <c r="K44" s="4" t="s">
        <v>733</v>
      </c>
    </row>
    <row r="45" spans="1:22" x14ac:dyDescent="0.25">
      <c r="B45"/>
      <c r="C45"/>
      <c r="D45"/>
      <c r="E45"/>
      <c r="F45"/>
      <c r="G45"/>
      <c r="H45"/>
      <c r="I45"/>
      <c r="J45"/>
      <c r="K45" s="4" t="s">
        <v>734</v>
      </c>
    </row>
    <row r="46" spans="1:22" x14ac:dyDescent="0.25">
      <c r="B46"/>
      <c r="C46"/>
      <c r="D46"/>
      <c r="E46"/>
      <c r="F46"/>
      <c r="G46"/>
      <c r="H46"/>
      <c r="I46"/>
      <c r="J46"/>
      <c r="K46" s="4" t="s">
        <v>735</v>
      </c>
    </row>
    <row r="47" spans="1:22" x14ac:dyDescent="0.25">
      <c r="B47"/>
      <c r="C47"/>
      <c r="D47"/>
      <c r="E47"/>
      <c r="F47"/>
      <c r="G47"/>
      <c r="H47"/>
      <c r="I47"/>
      <c r="J47"/>
    </row>
    <row r="48" spans="1:22" x14ac:dyDescent="0.25">
      <c r="B48"/>
      <c r="C48"/>
      <c r="D48"/>
      <c r="E48"/>
      <c r="F48"/>
      <c r="G48"/>
      <c r="H48"/>
      <c r="I48"/>
      <c r="J48"/>
      <c r="K48" s="4" t="s">
        <v>731</v>
      </c>
    </row>
    <row r="49" spans="2:14" x14ac:dyDescent="0.25">
      <c r="B49"/>
      <c r="C49"/>
      <c r="D49"/>
      <c r="E49"/>
      <c r="F49"/>
      <c r="G49"/>
      <c r="H49"/>
      <c r="I49"/>
      <c r="J49"/>
      <c r="L49" s="72" t="s">
        <v>696</v>
      </c>
      <c r="M49" s="72" t="s">
        <v>697</v>
      </c>
      <c r="N49" s="72" t="s">
        <v>698</v>
      </c>
    </row>
    <row r="50" spans="2:14" x14ac:dyDescent="0.25">
      <c r="K50">
        <v>2021</v>
      </c>
      <c r="L50" s="231">
        <f>SUM(D12:D14)/3*$U$34+(1-$U$34)*$C$16</f>
        <v>0.57269999999999988</v>
      </c>
      <c r="M50" s="231">
        <f>SUM(E12:E14)/3*$U$34+(1-$U$34)*$C$16</f>
        <v>0.60299999999999998</v>
      </c>
      <c r="N50" s="231">
        <f>SUM(F12:F14)/3*$U$34+(1-$U$34)*$C$16</f>
        <v>0.49319999999999997</v>
      </c>
    </row>
    <row r="52" spans="2:14" x14ac:dyDescent="0.25">
      <c r="K52" s="4" t="s">
        <v>738</v>
      </c>
    </row>
    <row r="53" spans="2:14" x14ac:dyDescent="0.25">
      <c r="K53" s="4" t="s">
        <v>736</v>
      </c>
    </row>
    <row r="54" spans="2:14" x14ac:dyDescent="0.25">
      <c r="K54" s="4" t="s">
        <v>737</v>
      </c>
    </row>
    <row r="56" spans="2:14" x14ac:dyDescent="0.25">
      <c r="J56" s="72" t="s">
        <v>739</v>
      </c>
      <c r="K56" s="4" t="s">
        <v>740</v>
      </c>
    </row>
    <row r="57" spans="2:14" x14ac:dyDescent="0.25">
      <c r="K57" s="4" t="s">
        <v>741</v>
      </c>
    </row>
    <row r="59" spans="2:14" x14ac:dyDescent="0.25">
      <c r="K59" s="4" t="s">
        <v>742</v>
      </c>
    </row>
    <row r="60" spans="2:14" x14ac:dyDescent="0.25">
      <c r="K60" s="4" t="s">
        <v>743</v>
      </c>
    </row>
  </sheetData>
  <sheetProtection formatCells="0" formatColumns="0" formatRows="0"/>
  <mergeCells count="1">
    <mergeCell ref="H1:I1"/>
  </mergeCells>
  <conditionalFormatting sqref="B1">
    <cfRule type="cellIs" dxfId="12" priority="1" operator="equal">
      <formula>"Incomplete"</formula>
    </cfRule>
    <cfRule type="cellIs" dxfId="11" priority="2" operator="equal">
      <formula>"Flag for Review"</formula>
    </cfRule>
    <cfRule type="cellIs" dxfId="10" priority="3" operator="equal">
      <formula>"Finished"</formula>
    </cfRule>
  </conditionalFormatting>
  <dataValidations disablePrompts="1" count="2">
    <dataValidation type="list" allowBlank="1" showInputMessage="1" showErrorMessage="1" sqref="B1" xr:uid="{26F07DA3-57BA-47DC-A424-C3B01ED05F07}">
      <formula1>"Finished, Flag for Review, Incomplete"</formula1>
    </dataValidation>
    <dataValidation type="decimal" allowBlank="1" showInputMessage="1" showErrorMessage="1" sqref="A24 A28 A32 A36" xr:uid="{1807BC19-996B-49B5-A2C4-A826BDACECBC}">
      <formula1>0</formula1>
      <formula2>A23</formula2>
    </dataValidation>
  </dataValidations>
  <hyperlinks>
    <hyperlink ref="H1" location="Navigator!A1" display="Navigator" xr:uid="{6FBDD753-EA5E-492F-B102-AE4D38DDAFAE}"/>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06D1E-3D3B-4A65-84B9-B857ADDC32A6}">
  <dimension ref="A1:K26"/>
  <sheetViews>
    <sheetView workbookViewId="0"/>
  </sheetViews>
  <sheetFormatPr defaultRowHeight="15" x14ac:dyDescent="0.25"/>
  <cols>
    <col min="10" max="10" width="3.7109375" customWidth="1"/>
  </cols>
  <sheetData>
    <row r="1" spans="1:11" ht="15.75" x14ac:dyDescent="0.25">
      <c r="A1" s="16">
        <v>20</v>
      </c>
      <c r="B1" s="15" t="s">
        <v>362</v>
      </c>
      <c r="C1" s="139" t="s">
        <v>600</v>
      </c>
      <c r="D1" s="138" t="s">
        <v>795</v>
      </c>
      <c r="E1" s="17"/>
      <c r="F1" s="17"/>
      <c r="G1" s="17"/>
      <c r="H1" s="247" t="s">
        <v>596</v>
      </c>
      <c r="I1" s="248"/>
      <c r="K1" s="130" t="s">
        <v>310</v>
      </c>
    </row>
    <row r="2" spans="1:11" x14ac:dyDescent="0.25">
      <c r="A2" s="18"/>
      <c r="B2" s="268"/>
      <c r="C2" s="268"/>
      <c r="D2" s="268"/>
      <c r="E2" s="268"/>
      <c r="F2" s="268"/>
      <c r="G2" s="268"/>
      <c r="H2" s="268"/>
      <c r="I2" s="19"/>
      <c r="J2" t="s">
        <v>623</v>
      </c>
      <c r="K2" t="s">
        <v>800</v>
      </c>
    </row>
    <row r="3" spans="1:11" x14ac:dyDescent="0.25">
      <c r="A3" s="20" t="s">
        <v>14</v>
      </c>
      <c r="B3" s="268" t="s">
        <v>796</v>
      </c>
      <c r="C3" s="268"/>
      <c r="D3" s="268"/>
      <c r="E3" s="268"/>
      <c r="F3" s="268"/>
      <c r="G3" s="268"/>
      <c r="H3" s="268"/>
      <c r="I3" s="19"/>
      <c r="K3" t="s">
        <v>801</v>
      </c>
    </row>
    <row r="4" spans="1:11" x14ac:dyDescent="0.25">
      <c r="A4" s="21">
        <f>INDEX('Point Grid'!B:B,MATCH(A1,'Point Grid'!A:A,0))</f>
        <v>2.5</v>
      </c>
      <c r="B4" s="268" t="s">
        <v>797</v>
      </c>
      <c r="C4" s="269"/>
      <c r="D4" s="269"/>
      <c r="E4" s="269"/>
      <c r="F4" s="269"/>
      <c r="G4" s="268"/>
      <c r="H4" s="268"/>
      <c r="I4" s="19"/>
      <c r="K4" t="s">
        <v>802</v>
      </c>
    </row>
    <row r="5" spans="1:11" x14ac:dyDescent="0.25">
      <c r="A5" s="18"/>
      <c r="B5" s="268"/>
      <c r="C5" s="268"/>
      <c r="D5" s="268"/>
      <c r="E5" s="268"/>
      <c r="F5" s="268"/>
      <c r="G5" s="268"/>
      <c r="H5" s="268"/>
      <c r="I5" s="19"/>
      <c r="K5" t="s">
        <v>803</v>
      </c>
    </row>
    <row r="6" spans="1:11" x14ac:dyDescent="0.25">
      <c r="A6" s="22" t="s">
        <v>2</v>
      </c>
      <c r="B6" s="268" t="s">
        <v>798</v>
      </c>
      <c r="C6" s="268"/>
      <c r="D6" s="268"/>
      <c r="E6" s="268"/>
      <c r="F6" s="268"/>
      <c r="G6" s="268"/>
      <c r="H6" s="268"/>
      <c r="I6" s="19"/>
    </row>
    <row r="7" spans="1:11" ht="15.75" thickBot="1" x14ac:dyDescent="0.3">
      <c r="A7" s="21">
        <f>INDEX('Point Grid'!$C$8:$I$27,MATCH($A$1,'Point Grid'!$A$8:$A$27,0),MATCH(A6,'Point Grid'!$C$7:$I$7,0))</f>
        <v>1</v>
      </c>
      <c r="B7" s="268" t="s">
        <v>799</v>
      </c>
      <c r="C7" s="268"/>
      <c r="D7" s="268"/>
      <c r="E7" s="268"/>
      <c r="F7" s="268"/>
      <c r="G7" s="268"/>
      <c r="H7" s="268"/>
      <c r="I7" s="19"/>
    </row>
    <row r="8" spans="1:11" ht="15.75" thickBot="1" x14ac:dyDescent="0.3">
      <c r="A8" s="5">
        <v>1</v>
      </c>
      <c r="B8" s="268"/>
      <c r="C8" s="268"/>
      <c r="D8" s="268"/>
      <c r="E8" s="268"/>
      <c r="F8" s="268"/>
      <c r="G8" s="268"/>
      <c r="H8" s="268"/>
      <c r="I8" s="19"/>
      <c r="J8" t="s">
        <v>638</v>
      </c>
      <c r="K8" t="s">
        <v>806</v>
      </c>
    </row>
    <row r="9" spans="1:11" x14ac:dyDescent="0.25">
      <c r="A9" s="18"/>
      <c r="B9" s="268"/>
      <c r="C9" s="268"/>
      <c r="D9" s="268"/>
      <c r="E9" s="268"/>
      <c r="F9" s="268"/>
      <c r="G9" s="268"/>
      <c r="H9" s="268"/>
      <c r="I9" s="19"/>
    </row>
    <row r="10" spans="1:11" x14ac:dyDescent="0.25">
      <c r="A10" s="22" t="s">
        <v>3</v>
      </c>
      <c r="B10" s="268" t="s">
        <v>804</v>
      </c>
      <c r="C10" s="268"/>
      <c r="D10" s="268"/>
      <c r="E10" s="268"/>
      <c r="F10" s="268"/>
      <c r="G10" s="268"/>
      <c r="H10" s="268"/>
      <c r="I10" s="19"/>
      <c r="J10" t="s">
        <v>645</v>
      </c>
      <c r="K10" t="s">
        <v>810</v>
      </c>
    </row>
    <row r="11" spans="1:11" ht="15.75" thickBot="1" x14ac:dyDescent="0.3">
      <c r="A11" s="21">
        <f>INDEX('Point Grid'!$C$8:$I$27,MATCH($A$1,'Point Grid'!$A$8:$A$27,0),MATCH(A10,'Point Grid'!$C$7:$I$7,0))</f>
        <v>0.5</v>
      </c>
      <c r="B11" s="268" t="s">
        <v>805</v>
      </c>
      <c r="C11" s="268"/>
      <c r="D11" s="268"/>
      <c r="E11" s="268"/>
      <c r="F11" s="268"/>
      <c r="G11" s="268"/>
      <c r="H11" s="268"/>
      <c r="I11" s="19"/>
    </row>
    <row r="12" spans="1:11" ht="15.75" thickBot="1" x14ac:dyDescent="0.3">
      <c r="A12" s="5">
        <v>0.5</v>
      </c>
      <c r="B12" s="268"/>
      <c r="C12" s="268"/>
      <c r="D12" s="268"/>
      <c r="E12" s="268"/>
      <c r="F12" s="268"/>
      <c r="G12" s="268"/>
      <c r="H12" s="268"/>
      <c r="I12" s="19"/>
      <c r="J12" t="s">
        <v>815</v>
      </c>
      <c r="K12" t="s">
        <v>816</v>
      </c>
    </row>
    <row r="13" spans="1:11" x14ac:dyDescent="0.25">
      <c r="A13" s="18"/>
      <c r="B13" s="268"/>
      <c r="C13" s="268"/>
      <c r="D13" s="268"/>
      <c r="E13" s="268"/>
      <c r="F13" s="268"/>
      <c r="G13" s="268"/>
      <c r="H13" s="268"/>
      <c r="I13" s="19"/>
      <c r="K13" t="s">
        <v>817</v>
      </c>
    </row>
    <row r="14" spans="1:11" x14ac:dyDescent="0.25">
      <c r="A14" s="18"/>
      <c r="B14" s="268" t="s">
        <v>807</v>
      </c>
      <c r="C14" s="268"/>
      <c r="D14" s="268"/>
      <c r="E14" s="268"/>
      <c r="F14" s="268"/>
      <c r="G14" s="268"/>
      <c r="H14" s="268"/>
      <c r="I14" s="19"/>
    </row>
    <row r="15" spans="1:11" x14ac:dyDescent="0.25">
      <c r="A15" s="18"/>
      <c r="B15" s="268"/>
      <c r="C15" s="268"/>
      <c r="D15" s="268"/>
      <c r="E15" s="268"/>
      <c r="F15" s="268"/>
      <c r="G15" s="268"/>
      <c r="H15" s="268"/>
      <c r="I15" s="19"/>
    </row>
    <row r="16" spans="1:11" x14ac:dyDescent="0.25">
      <c r="A16" s="22" t="s">
        <v>4</v>
      </c>
      <c r="B16" s="268" t="s">
        <v>808</v>
      </c>
      <c r="C16" s="268"/>
      <c r="D16" s="268"/>
      <c r="E16" s="268"/>
      <c r="F16" s="268"/>
      <c r="G16" s="268"/>
      <c r="H16" s="268"/>
      <c r="I16" s="19"/>
    </row>
    <row r="17" spans="1:9" ht="15.75" thickBot="1" x14ac:dyDescent="0.3">
      <c r="A17" s="21">
        <f>INDEX('Point Grid'!$C$8:$I$27,MATCH($A$1,'Point Grid'!$A$8:$A$27,0),MATCH(A16,'Point Grid'!$C$7:$I$7,0))</f>
        <v>0.5</v>
      </c>
      <c r="B17" s="268" t="s">
        <v>809</v>
      </c>
      <c r="C17" s="268"/>
      <c r="D17" s="268"/>
      <c r="E17" s="268"/>
      <c r="F17" s="268"/>
      <c r="G17" s="268"/>
      <c r="H17" s="268"/>
      <c r="I17" s="19"/>
    </row>
    <row r="18" spans="1:9" ht="15.75" thickBot="1" x14ac:dyDescent="0.3">
      <c r="A18" s="5">
        <v>0.5</v>
      </c>
      <c r="B18" s="268"/>
      <c r="C18" s="268"/>
      <c r="D18" s="268"/>
      <c r="E18" s="268"/>
      <c r="F18" s="268"/>
      <c r="G18" s="268"/>
      <c r="H18" s="268"/>
      <c r="I18" s="19"/>
    </row>
    <row r="19" spans="1:9" x14ac:dyDescent="0.25">
      <c r="A19" s="18"/>
      <c r="B19" s="268"/>
      <c r="C19" s="268"/>
      <c r="D19" s="268"/>
      <c r="E19" s="268"/>
      <c r="F19" s="268"/>
      <c r="G19" s="268"/>
      <c r="H19" s="268"/>
      <c r="I19" s="19"/>
    </row>
    <row r="20" spans="1:9" x14ac:dyDescent="0.25">
      <c r="A20" s="18"/>
      <c r="B20" s="268" t="s">
        <v>811</v>
      </c>
      <c r="C20" s="268"/>
      <c r="D20" s="268"/>
      <c r="E20" s="268"/>
      <c r="F20" s="268"/>
      <c r="G20" s="268"/>
      <c r="H20" s="268"/>
      <c r="I20" s="19"/>
    </row>
    <row r="21" spans="1:9" x14ac:dyDescent="0.25">
      <c r="A21" s="18"/>
      <c r="B21" s="268" t="s">
        <v>812</v>
      </c>
      <c r="C21" s="268"/>
      <c r="D21" s="268"/>
      <c r="E21" s="268"/>
      <c r="F21" s="268"/>
      <c r="G21" s="268"/>
      <c r="H21" s="268"/>
      <c r="I21" s="19"/>
    </row>
    <row r="22" spans="1:9" x14ac:dyDescent="0.25">
      <c r="A22" s="18"/>
      <c r="B22" s="268"/>
      <c r="C22" s="268"/>
      <c r="D22" s="268"/>
      <c r="E22" s="268"/>
      <c r="F22" s="268"/>
      <c r="G22" s="268"/>
      <c r="H22" s="268"/>
      <c r="I22" s="19"/>
    </row>
    <row r="23" spans="1:9" x14ac:dyDescent="0.25">
      <c r="A23" s="22" t="s">
        <v>5</v>
      </c>
      <c r="B23" s="268" t="s">
        <v>813</v>
      </c>
      <c r="C23" s="268"/>
      <c r="D23" s="268"/>
      <c r="E23" s="268"/>
      <c r="F23" s="268"/>
      <c r="G23" s="268"/>
      <c r="H23" s="268"/>
      <c r="I23" s="19"/>
    </row>
    <row r="24" spans="1:9" ht="15.75" thickBot="1" x14ac:dyDescent="0.3">
      <c r="A24" s="21">
        <f>INDEX('Point Grid'!$C$8:$I$27,MATCH($A$1,'Point Grid'!$A$8:$A$27,0),MATCH(A23,'Point Grid'!$C$7:$I$7,0))</f>
        <v>0.5</v>
      </c>
      <c r="B24" s="268" t="s">
        <v>814</v>
      </c>
      <c r="C24" s="268"/>
      <c r="D24" s="268"/>
      <c r="E24" s="268"/>
      <c r="F24" s="268"/>
      <c r="G24" s="268"/>
      <c r="H24" s="268"/>
      <c r="I24" s="19"/>
    </row>
    <row r="25" spans="1:9" ht="15.75" thickBot="1" x14ac:dyDescent="0.3">
      <c r="A25" s="5">
        <v>0.5</v>
      </c>
      <c r="B25" s="268"/>
      <c r="C25" s="268"/>
      <c r="D25" s="268"/>
      <c r="E25" s="268"/>
      <c r="F25" s="268"/>
      <c r="G25" s="268"/>
      <c r="H25" s="268"/>
      <c r="I25" s="19"/>
    </row>
    <row r="26" spans="1:9" ht="15.75" thickBot="1" x14ac:dyDescent="0.3">
      <c r="A26" s="23"/>
      <c r="B26" s="24"/>
      <c r="C26" s="24"/>
      <c r="D26" s="24"/>
      <c r="E26" s="24"/>
      <c r="F26" s="24"/>
      <c r="G26" s="24"/>
      <c r="H26" s="24"/>
      <c r="I26" s="25"/>
    </row>
  </sheetData>
  <mergeCells count="1">
    <mergeCell ref="H1:I1"/>
  </mergeCells>
  <conditionalFormatting sqref="B1">
    <cfRule type="cellIs" dxfId="5" priority="1" operator="equal">
      <formula>"Incomplete"</formula>
    </cfRule>
    <cfRule type="cellIs" dxfId="4" priority="2" operator="equal">
      <formula>"Flag for Review"</formula>
    </cfRule>
    <cfRule type="cellIs" dxfId="3" priority="3" operator="equal">
      <formula>"Finished"</formula>
    </cfRule>
  </conditionalFormatting>
  <dataValidations count="2">
    <dataValidation type="list" allowBlank="1" showInputMessage="1" showErrorMessage="1" sqref="B1" xr:uid="{9F286C06-68BE-4229-ABB1-2DCAE236C99F}">
      <formula1>"Finished, Flag for Review, Incomplete"</formula1>
    </dataValidation>
    <dataValidation type="decimal" allowBlank="1" showInputMessage="1" showErrorMessage="1" sqref="A8 A12 A18 A25" xr:uid="{5DEAEA80-F67D-4E2D-8E1B-618975182E4D}">
      <formula1>0</formula1>
      <formula2>A7</formula2>
    </dataValidation>
  </dataValidations>
  <hyperlinks>
    <hyperlink ref="H1" location="Navigator!A1" display="Navigator" xr:uid="{D852F672-914F-4170-8A7B-D333842B4157}"/>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C8A39-862A-44C3-A552-34B04FBF5624}">
  <sheetPr codeName="Sheet2"/>
  <dimension ref="A5:S31"/>
  <sheetViews>
    <sheetView zoomScale="90" zoomScaleNormal="90" workbookViewId="0"/>
  </sheetViews>
  <sheetFormatPr defaultRowHeight="15" x14ac:dyDescent="0.25"/>
  <cols>
    <col min="2" max="2" width="10.42578125" customWidth="1"/>
    <col min="3" max="9" width="7.28515625" customWidth="1"/>
    <col min="10" max="10" width="14.140625" bestFit="1" customWidth="1"/>
    <col min="11" max="11" width="2.7109375" customWidth="1"/>
    <col min="12" max="12" width="13.5703125" bestFit="1" customWidth="1"/>
    <col min="13" max="19" width="7.28515625" customWidth="1"/>
  </cols>
  <sheetData>
    <row r="5" spans="1:19" ht="23.25" x14ac:dyDescent="0.35">
      <c r="A5" s="66" t="s">
        <v>764</v>
      </c>
      <c r="B5" s="63"/>
      <c r="C5" s="63"/>
      <c r="D5" s="63"/>
      <c r="E5" s="63"/>
      <c r="F5" s="63"/>
      <c r="G5" s="63"/>
      <c r="H5" s="63"/>
      <c r="I5" s="63"/>
      <c r="J5" s="63"/>
      <c r="K5" s="63"/>
      <c r="L5" s="63"/>
      <c r="M5" s="63"/>
      <c r="N5" s="63"/>
      <c r="O5" s="63"/>
      <c r="P5" s="63"/>
      <c r="Q5" s="63"/>
      <c r="R5" s="63"/>
      <c r="S5" s="63"/>
    </row>
    <row r="6" spans="1:19" ht="15.75" x14ac:dyDescent="0.25">
      <c r="A6" s="2"/>
      <c r="B6" s="241" t="s">
        <v>9</v>
      </c>
      <c r="C6" s="3" t="s">
        <v>1</v>
      </c>
      <c r="D6" s="3"/>
      <c r="E6" s="3"/>
      <c r="F6" s="3"/>
      <c r="G6" s="3"/>
      <c r="H6" s="3"/>
      <c r="I6" s="3"/>
      <c r="J6" s="2"/>
      <c r="L6" s="103" t="s">
        <v>12</v>
      </c>
      <c r="M6" s="3" t="s">
        <v>1</v>
      </c>
      <c r="N6" s="3"/>
      <c r="O6" s="3"/>
      <c r="P6" s="3"/>
      <c r="Q6" s="3"/>
      <c r="R6" s="3"/>
      <c r="S6" s="3"/>
    </row>
    <row r="7" spans="1:19" x14ac:dyDescent="0.25">
      <c r="A7" s="108" t="s">
        <v>0</v>
      </c>
      <c r="B7" s="242"/>
      <c r="C7" s="108" t="s">
        <v>2</v>
      </c>
      <c r="D7" s="108" t="s">
        <v>3</v>
      </c>
      <c r="E7" s="108" t="s">
        <v>4</v>
      </c>
      <c r="F7" s="108" t="s">
        <v>5</v>
      </c>
      <c r="G7" s="108" t="s">
        <v>6</v>
      </c>
      <c r="H7" s="108" t="s">
        <v>7</v>
      </c>
      <c r="I7" s="108" t="s">
        <v>8</v>
      </c>
      <c r="J7" s="108" t="s">
        <v>11</v>
      </c>
      <c r="L7" s="107" t="s">
        <v>0</v>
      </c>
      <c r="M7" s="108" t="s">
        <v>2</v>
      </c>
      <c r="N7" s="108" t="s">
        <v>3</v>
      </c>
      <c r="O7" s="108" t="s">
        <v>4</v>
      </c>
      <c r="P7" s="108" t="s">
        <v>5</v>
      </c>
      <c r="Q7" s="108" t="s">
        <v>6</v>
      </c>
      <c r="R7" s="108" t="s">
        <v>7</v>
      </c>
      <c r="S7" s="108" t="s">
        <v>8</v>
      </c>
    </row>
    <row r="8" spans="1:19" x14ac:dyDescent="0.25">
      <c r="A8" s="109">
        <v>1</v>
      </c>
      <c r="B8" s="110">
        <f>SUM(C8:I8)</f>
        <v>2.25</v>
      </c>
      <c r="C8" s="106">
        <v>1.5</v>
      </c>
      <c r="D8" s="106">
        <v>0.75</v>
      </c>
      <c r="E8" s="106"/>
      <c r="F8" s="106"/>
      <c r="G8" s="106"/>
      <c r="H8" s="106"/>
      <c r="I8" s="106"/>
      <c r="J8" s="112" t="str">
        <f ca="1">INDIRECT("'"&amp;A8&amp;"'!B1")</f>
        <v>Finished</v>
      </c>
      <c r="L8" s="105">
        <f>A8</f>
        <v>1</v>
      </c>
      <c r="M8" s="106">
        <f t="shared" ref="M8:S17" ca="1" si="0">_xlfn.IFNA(IF(ISBLANK(INDEX(INDIRECT("'"&amp;$L8&amp;"'!$A:$A"),MATCH(M$7,INDIRECT("'"&amp;$L8&amp;"'!$A:$A"),0)+2)),"",INDEX(INDIRECT("'"&amp;$L8&amp;"'!$A:$A"),MATCH(M$7,INDIRECT("'"&amp;$L8&amp;"'!$A:$A"),0)+2)),"")</f>
        <v>1.5</v>
      </c>
      <c r="N8" s="106">
        <f t="shared" ca="1" si="0"/>
        <v>0.75</v>
      </c>
      <c r="O8" s="106" t="str">
        <f t="shared" ca="1" si="0"/>
        <v/>
      </c>
      <c r="P8" s="106" t="str">
        <f t="shared" ca="1" si="0"/>
        <v/>
      </c>
      <c r="Q8" s="106" t="str">
        <f t="shared" ca="1" si="0"/>
        <v/>
      </c>
      <c r="R8" s="106" t="str">
        <f t="shared" ca="1" si="0"/>
        <v/>
      </c>
      <c r="S8" s="106" t="str">
        <f t="shared" ca="1" si="0"/>
        <v/>
      </c>
    </row>
    <row r="9" spans="1:19" x14ac:dyDescent="0.25">
      <c r="A9" s="65">
        <v>2</v>
      </c>
      <c r="B9" s="111">
        <f t="shared" ref="B9:B26" si="1">SUM(C9:I9)</f>
        <v>2.75</v>
      </c>
      <c r="C9" s="106">
        <v>1</v>
      </c>
      <c r="D9" s="106">
        <v>0.75</v>
      </c>
      <c r="E9" s="106">
        <v>1</v>
      </c>
      <c r="F9" s="106"/>
      <c r="G9" s="106"/>
      <c r="H9" s="106"/>
      <c r="I9" s="106"/>
      <c r="J9" s="112" t="str">
        <f t="shared" ref="J9:J27" ca="1" si="2">INDIRECT("'"&amp;A9&amp;"'!B1")</f>
        <v>Finished</v>
      </c>
      <c r="L9" s="104">
        <f t="shared" ref="L9:L26" si="3">A9</f>
        <v>2</v>
      </c>
      <c r="M9" s="106">
        <f t="shared" ca="1" si="0"/>
        <v>1</v>
      </c>
      <c r="N9" s="106">
        <f t="shared" ca="1" si="0"/>
        <v>0.75</v>
      </c>
      <c r="O9" s="106">
        <f t="shared" ca="1" si="0"/>
        <v>1</v>
      </c>
      <c r="P9" s="106" t="str">
        <f t="shared" ca="1" si="0"/>
        <v/>
      </c>
      <c r="Q9" s="106" t="str">
        <f t="shared" ca="1" si="0"/>
        <v/>
      </c>
      <c r="R9" s="106" t="str">
        <f t="shared" ca="1" si="0"/>
        <v/>
      </c>
      <c r="S9" s="106" t="str">
        <f t="shared" ca="1" si="0"/>
        <v/>
      </c>
    </row>
    <row r="10" spans="1:19" x14ac:dyDescent="0.25">
      <c r="A10" s="65">
        <v>3</v>
      </c>
      <c r="B10" s="111">
        <f t="shared" si="1"/>
        <v>1.75</v>
      </c>
      <c r="C10" s="106">
        <v>1.25</v>
      </c>
      <c r="D10" s="106">
        <v>0.5</v>
      </c>
      <c r="E10" s="106"/>
      <c r="F10" s="106"/>
      <c r="G10" s="106"/>
      <c r="H10" s="106"/>
      <c r="I10" s="106"/>
      <c r="J10" s="112" t="str">
        <f t="shared" ca="1" si="2"/>
        <v>Finished</v>
      </c>
      <c r="L10" s="104">
        <f t="shared" si="3"/>
        <v>3</v>
      </c>
      <c r="M10" s="106">
        <f t="shared" ca="1" si="0"/>
        <v>1.25</v>
      </c>
      <c r="N10" s="106">
        <f t="shared" ca="1" si="0"/>
        <v>0.5</v>
      </c>
      <c r="O10" s="106" t="str">
        <f t="shared" ca="1" si="0"/>
        <v/>
      </c>
      <c r="P10" s="106" t="str">
        <f t="shared" ca="1" si="0"/>
        <v/>
      </c>
      <c r="Q10" s="106" t="str">
        <f t="shared" ca="1" si="0"/>
        <v/>
      </c>
      <c r="R10" s="106" t="str">
        <f t="shared" ca="1" si="0"/>
        <v/>
      </c>
      <c r="S10" s="106" t="str">
        <f t="shared" ca="1" si="0"/>
        <v/>
      </c>
    </row>
    <row r="11" spans="1:19" x14ac:dyDescent="0.25">
      <c r="A11" s="65">
        <v>4</v>
      </c>
      <c r="B11" s="111">
        <f t="shared" si="1"/>
        <v>3</v>
      </c>
      <c r="C11" s="106">
        <v>2</v>
      </c>
      <c r="D11" s="106">
        <v>0.5</v>
      </c>
      <c r="E11" s="106">
        <v>0.5</v>
      </c>
      <c r="F11" s="106"/>
      <c r="G11" s="106"/>
      <c r="H11" s="106"/>
      <c r="I11" s="106"/>
      <c r="J11" s="112" t="str">
        <f t="shared" ca="1" si="2"/>
        <v>Finished</v>
      </c>
      <c r="L11" s="104">
        <f t="shared" si="3"/>
        <v>4</v>
      </c>
      <c r="M11" s="106">
        <f t="shared" ca="1" si="0"/>
        <v>2</v>
      </c>
      <c r="N11" s="106">
        <f t="shared" ca="1" si="0"/>
        <v>0.5</v>
      </c>
      <c r="O11" s="106">
        <f t="shared" ca="1" si="0"/>
        <v>0.5</v>
      </c>
      <c r="P11" s="106" t="str">
        <f t="shared" ca="1" si="0"/>
        <v/>
      </c>
      <c r="Q11" s="106" t="str">
        <f t="shared" ca="1" si="0"/>
        <v/>
      </c>
      <c r="R11" s="106" t="str">
        <f t="shared" ca="1" si="0"/>
        <v/>
      </c>
      <c r="S11" s="106" t="str">
        <f t="shared" ca="1" si="0"/>
        <v/>
      </c>
    </row>
    <row r="12" spans="1:19" x14ac:dyDescent="0.25">
      <c r="A12" s="65">
        <v>5</v>
      </c>
      <c r="B12" s="111">
        <f t="shared" si="1"/>
        <v>2.75</v>
      </c>
      <c r="C12" s="106">
        <v>0.5</v>
      </c>
      <c r="D12" s="106">
        <v>0.5</v>
      </c>
      <c r="E12" s="106">
        <v>1.5</v>
      </c>
      <c r="F12" s="106">
        <v>0.25</v>
      </c>
      <c r="G12" s="106"/>
      <c r="H12" s="106"/>
      <c r="I12" s="106"/>
      <c r="J12" s="112" t="str">
        <f t="shared" ca="1" si="2"/>
        <v>Finished</v>
      </c>
      <c r="L12" s="104">
        <f t="shared" si="3"/>
        <v>5</v>
      </c>
      <c r="M12" s="106">
        <f t="shared" ca="1" si="0"/>
        <v>0.5</v>
      </c>
      <c r="N12" s="106">
        <f t="shared" ca="1" si="0"/>
        <v>0.5</v>
      </c>
      <c r="O12" s="106">
        <f t="shared" ca="1" si="0"/>
        <v>1.5</v>
      </c>
      <c r="P12" s="106">
        <f t="shared" ca="1" si="0"/>
        <v>0.25</v>
      </c>
      <c r="Q12" s="106" t="str">
        <f t="shared" ca="1" si="0"/>
        <v/>
      </c>
      <c r="R12" s="106" t="str">
        <f t="shared" ca="1" si="0"/>
        <v/>
      </c>
      <c r="S12" s="106" t="str">
        <f t="shared" ca="1" si="0"/>
        <v/>
      </c>
    </row>
    <row r="13" spans="1:19" x14ac:dyDescent="0.25">
      <c r="A13" s="65">
        <v>6</v>
      </c>
      <c r="B13" s="111">
        <f t="shared" si="1"/>
        <v>2</v>
      </c>
      <c r="C13" s="106">
        <v>0.75</v>
      </c>
      <c r="D13" s="106">
        <v>0.75</v>
      </c>
      <c r="E13" s="106">
        <v>0.5</v>
      </c>
      <c r="F13" s="106"/>
      <c r="G13" s="106"/>
      <c r="H13" s="106"/>
      <c r="I13" s="106"/>
      <c r="J13" s="112" t="str">
        <f t="shared" ca="1" si="2"/>
        <v>Finished</v>
      </c>
      <c r="L13" s="104">
        <f t="shared" si="3"/>
        <v>6</v>
      </c>
      <c r="M13" s="106">
        <f t="shared" ca="1" si="0"/>
        <v>0.75</v>
      </c>
      <c r="N13" s="106">
        <f t="shared" ca="1" si="0"/>
        <v>0.75</v>
      </c>
      <c r="O13" s="106">
        <f t="shared" ca="1" si="0"/>
        <v>0.5</v>
      </c>
      <c r="P13" s="106" t="str">
        <f t="shared" ca="1" si="0"/>
        <v/>
      </c>
      <c r="Q13" s="106" t="str">
        <f t="shared" ca="1" si="0"/>
        <v/>
      </c>
      <c r="R13" s="106" t="str">
        <f t="shared" ca="1" si="0"/>
        <v/>
      </c>
      <c r="S13" s="106" t="str">
        <f t="shared" ca="1" si="0"/>
        <v/>
      </c>
    </row>
    <row r="14" spans="1:19" x14ac:dyDescent="0.25">
      <c r="A14" s="65">
        <v>7</v>
      </c>
      <c r="B14" s="111">
        <f t="shared" si="1"/>
        <v>7.5</v>
      </c>
      <c r="C14" s="106">
        <v>2.25</v>
      </c>
      <c r="D14" s="106">
        <v>1.5</v>
      </c>
      <c r="E14" s="106">
        <v>0.25</v>
      </c>
      <c r="F14" s="106">
        <v>0.5</v>
      </c>
      <c r="G14" s="106">
        <v>1.5</v>
      </c>
      <c r="H14" s="106">
        <v>1</v>
      </c>
      <c r="I14" s="106">
        <v>0.5</v>
      </c>
      <c r="J14" s="112" t="str">
        <f t="shared" ca="1" si="2"/>
        <v>Finished</v>
      </c>
      <c r="L14" s="104">
        <f t="shared" si="3"/>
        <v>7</v>
      </c>
      <c r="M14" s="106">
        <f t="shared" ca="1" si="0"/>
        <v>2.25</v>
      </c>
      <c r="N14" s="106">
        <f t="shared" ca="1" si="0"/>
        <v>1.5</v>
      </c>
      <c r="O14" s="106">
        <f t="shared" ca="1" si="0"/>
        <v>0.25</v>
      </c>
      <c r="P14" s="106">
        <f t="shared" ca="1" si="0"/>
        <v>0.5</v>
      </c>
      <c r="Q14" s="106">
        <f t="shared" ca="1" si="0"/>
        <v>1.5</v>
      </c>
      <c r="R14" s="106">
        <f t="shared" ca="1" si="0"/>
        <v>1</v>
      </c>
      <c r="S14" s="106">
        <f t="shared" ca="1" si="0"/>
        <v>0.5</v>
      </c>
    </row>
    <row r="15" spans="1:19" x14ac:dyDescent="0.25">
      <c r="A15" s="65">
        <v>8</v>
      </c>
      <c r="B15" s="111">
        <f t="shared" si="1"/>
        <v>1.5</v>
      </c>
      <c r="C15" s="106">
        <v>1.5</v>
      </c>
      <c r="D15" s="106"/>
      <c r="E15" s="106"/>
      <c r="F15" s="106"/>
      <c r="G15" s="106"/>
      <c r="H15" s="106"/>
      <c r="I15" s="106"/>
      <c r="J15" s="112" t="str">
        <f t="shared" ca="1" si="2"/>
        <v>Finished</v>
      </c>
      <c r="L15" s="104">
        <f t="shared" si="3"/>
        <v>8</v>
      </c>
      <c r="M15" s="106">
        <f t="shared" ca="1" si="0"/>
        <v>1.5</v>
      </c>
      <c r="N15" s="106" t="str">
        <f t="shared" ca="1" si="0"/>
        <v/>
      </c>
      <c r="O15" s="106" t="str">
        <f t="shared" ca="1" si="0"/>
        <v/>
      </c>
      <c r="P15" s="106" t="str">
        <f t="shared" ca="1" si="0"/>
        <v/>
      </c>
      <c r="Q15" s="106" t="str">
        <f t="shared" ca="1" si="0"/>
        <v/>
      </c>
      <c r="R15" s="106" t="str">
        <f t="shared" ca="1" si="0"/>
        <v/>
      </c>
      <c r="S15" s="106" t="str">
        <f t="shared" ca="1" si="0"/>
        <v/>
      </c>
    </row>
    <row r="16" spans="1:19" x14ac:dyDescent="0.25">
      <c r="A16" s="65">
        <v>9</v>
      </c>
      <c r="B16" s="111">
        <f t="shared" si="1"/>
        <v>1</v>
      </c>
      <c r="C16" s="106">
        <v>1</v>
      </c>
      <c r="D16" s="106"/>
      <c r="E16" s="106"/>
      <c r="F16" s="106"/>
      <c r="G16" s="106"/>
      <c r="H16" s="106"/>
      <c r="I16" s="106"/>
      <c r="J16" s="112" t="str">
        <f t="shared" ca="1" si="2"/>
        <v>Finished</v>
      </c>
      <c r="L16" s="104">
        <f t="shared" si="3"/>
        <v>9</v>
      </c>
      <c r="M16" s="106">
        <f t="shared" ca="1" si="0"/>
        <v>1</v>
      </c>
      <c r="N16" s="106" t="str">
        <f t="shared" ca="1" si="0"/>
        <v/>
      </c>
      <c r="O16" s="106" t="str">
        <f t="shared" ca="1" si="0"/>
        <v/>
      </c>
      <c r="P16" s="106" t="str">
        <f t="shared" ca="1" si="0"/>
        <v/>
      </c>
      <c r="Q16" s="106" t="str">
        <f t="shared" ca="1" si="0"/>
        <v/>
      </c>
      <c r="R16" s="106" t="str">
        <f t="shared" ca="1" si="0"/>
        <v/>
      </c>
      <c r="S16" s="106" t="str">
        <f t="shared" ca="1" si="0"/>
        <v/>
      </c>
    </row>
    <row r="17" spans="1:19" x14ac:dyDescent="0.25">
      <c r="A17" s="65">
        <v>10</v>
      </c>
      <c r="B17" s="111">
        <f t="shared" si="1"/>
        <v>1.5</v>
      </c>
      <c r="C17" s="106">
        <v>0.5</v>
      </c>
      <c r="D17" s="106">
        <v>0.5</v>
      </c>
      <c r="E17" s="106">
        <v>0.5</v>
      </c>
      <c r="F17" s="106"/>
      <c r="G17" s="106"/>
      <c r="H17" s="106"/>
      <c r="I17" s="106"/>
      <c r="J17" s="112" t="str">
        <f t="shared" ca="1" si="2"/>
        <v>Finished</v>
      </c>
      <c r="L17" s="104">
        <f t="shared" si="3"/>
        <v>10</v>
      </c>
      <c r="M17" s="106">
        <f t="shared" ca="1" si="0"/>
        <v>0.5</v>
      </c>
      <c r="N17" s="106">
        <f t="shared" ca="1" si="0"/>
        <v>0.5</v>
      </c>
      <c r="O17" s="106">
        <f t="shared" ca="1" si="0"/>
        <v>0.5</v>
      </c>
      <c r="P17" s="106" t="str">
        <f t="shared" ca="1" si="0"/>
        <v/>
      </c>
      <c r="Q17" s="106" t="str">
        <f t="shared" ca="1" si="0"/>
        <v/>
      </c>
      <c r="R17" s="106" t="str">
        <f t="shared" ca="1" si="0"/>
        <v/>
      </c>
      <c r="S17" s="106" t="str">
        <f t="shared" ca="1" si="0"/>
        <v/>
      </c>
    </row>
    <row r="18" spans="1:19" x14ac:dyDescent="0.25">
      <c r="A18" s="65">
        <v>11</v>
      </c>
      <c r="B18" s="111">
        <f t="shared" si="1"/>
        <v>3.75</v>
      </c>
      <c r="C18" s="106">
        <v>0.5</v>
      </c>
      <c r="D18" s="106">
        <v>0.5</v>
      </c>
      <c r="E18" s="106">
        <v>2.75</v>
      </c>
      <c r="F18" s="106"/>
      <c r="G18" s="106"/>
      <c r="H18" s="106"/>
      <c r="I18" s="106"/>
      <c r="J18" s="112" t="str">
        <f t="shared" ca="1" si="2"/>
        <v>Finished</v>
      </c>
      <c r="L18" s="104">
        <f t="shared" si="3"/>
        <v>11</v>
      </c>
      <c r="M18" s="106">
        <f t="shared" ref="M18:Z27" ca="1" si="4">_xlfn.IFNA(IF(ISBLANK(INDEX(INDIRECT("'"&amp;$L18&amp;"'!$A:$A"),MATCH(M$7,INDIRECT("'"&amp;$L18&amp;"'!$A:$A"),0)+2)),"",INDEX(INDIRECT("'"&amp;$L18&amp;"'!$A:$A"),MATCH(M$7,INDIRECT("'"&amp;$L18&amp;"'!$A:$A"),0)+2)),"")</f>
        <v>0.5</v>
      </c>
      <c r="N18" s="106">
        <f t="shared" ca="1" si="4"/>
        <v>0.5</v>
      </c>
      <c r="O18" s="106">
        <f t="shared" ca="1" si="4"/>
        <v>2.75</v>
      </c>
      <c r="P18" s="106" t="str">
        <f t="shared" ca="1" si="4"/>
        <v/>
      </c>
      <c r="Q18" s="106" t="str">
        <f t="shared" ca="1" si="4"/>
        <v/>
      </c>
      <c r="R18" s="106" t="str">
        <f t="shared" ca="1" si="4"/>
        <v/>
      </c>
      <c r="S18" s="106" t="str">
        <f t="shared" ca="1" si="4"/>
        <v/>
      </c>
    </row>
    <row r="19" spans="1:19" x14ac:dyDescent="0.25">
      <c r="A19" s="65">
        <v>12</v>
      </c>
      <c r="B19" s="111">
        <f t="shared" si="1"/>
        <v>2</v>
      </c>
      <c r="C19" s="106">
        <v>0.5</v>
      </c>
      <c r="D19" s="106">
        <v>1</v>
      </c>
      <c r="E19" s="106">
        <v>0.5</v>
      </c>
      <c r="F19" s="106"/>
      <c r="G19" s="106"/>
      <c r="H19" s="106"/>
      <c r="I19" s="106"/>
      <c r="J19" s="112" t="str">
        <f t="shared" ca="1" si="2"/>
        <v>Finished</v>
      </c>
      <c r="L19" s="104">
        <f t="shared" si="3"/>
        <v>12</v>
      </c>
      <c r="M19" s="106">
        <f t="shared" ca="1" si="4"/>
        <v>0.5</v>
      </c>
      <c r="N19" s="106">
        <f t="shared" ca="1" si="4"/>
        <v>1</v>
      </c>
      <c r="O19" s="106">
        <f t="shared" ca="1" si="4"/>
        <v>0.5</v>
      </c>
      <c r="P19" s="106" t="str">
        <f t="shared" ca="1" si="4"/>
        <v/>
      </c>
      <c r="Q19" s="106" t="str">
        <f t="shared" ca="1" si="4"/>
        <v/>
      </c>
      <c r="R19" s="106" t="str">
        <f t="shared" ca="1" si="4"/>
        <v/>
      </c>
      <c r="S19" s="106" t="str">
        <f t="shared" ca="1" si="4"/>
        <v/>
      </c>
    </row>
    <row r="20" spans="1:19" x14ac:dyDescent="0.25">
      <c r="A20" s="65">
        <v>13</v>
      </c>
      <c r="B20" s="111">
        <f t="shared" si="1"/>
        <v>2</v>
      </c>
      <c r="C20" s="106">
        <v>1.5</v>
      </c>
      <c r="D20" s="106">
        <v>0.5</v>
      </c>
      <c r="E20" s="106"/>
      <c r="F20" s="106"/>
      <c r="G20" s="106"/>
      <c r="H20" s="106"/>
      <c r="I20" s="106"/>
      <c r="J20" s="112" t="str">
        <f t="shared" ca="1" si="2"/>
        <v>Finished</v>
      </c>
      <c r="L20" s="104">
        <f t="shared" si="3"/>
        <v>13</v>
      </c>
      <c r="M20" s="106">
        <f t="shared" ca="1" si="4"/>
        <v>1.5</v>
      </c>
      <c r="N20" s="106">
        <f t="shared" ca="1" si="4"/>
        <v>0.5</v>
      </c>
      <c r="O20" s="106" t="str">
        <f t="shared" ca="1" si="4"/>
        <v/>
      </c>
      <c r="P20" s="106" t="str">
        <f t="shared" ca="1" si="4"/>
        <v/>
      </c>
      <c r="Q20" s="106" t="str">
        <f t="shared" ca="1" si="4"/>
        <v/>
      </c>
      <c r="R20" s="106" t="str">
        <f t="shared" ca="1" si="4"/>
        <v/>
      </c>
      <c r="S20" s="106" t="str">
        <f t="shared" ca="1" si="4"/>
        <v/>
      </c>
    </row>
    <row r="21" spans="1:19" x14ac:dyDescent="0.25">
      <c r="A21" s="65">
        <v>14</v>
      </c>
      <c r="B21" s="111">
        <f t="shared" si="1"/>
        <v>2</v>
      </c>
      <c r="C21" s="106">
        <v>1</v>
      </c>
      <c r="D21" s="106">
        <v>1</v>
      </c>
      <c r="E21" s="106"/>
      <c r="F21" s="106"/>
      <c r="G21" s="106"/>
      <c r="H21" s="106"/>
      <c r="I21" s="106"/>
      <c r="J21" s="112" t="str">
        <f t="shared" ca="1" si="2"/>
        <v>Finished</v>
      </c>
      <c r="L21" s="104">
        <f t="shared" si="3"/>
        <v>14</v>
      </c>
      <c r="M21" s="106">
        <f t="shared" ca="1" si="4"/>
        <v>1</v>
      </c>
      <c r="N21" s="106">
        <f t="shared" ca="1" si="4"/>
        <v>1</v>
      </c>
      <c r="O21" s="106" t="str">
        <f t="shared" ca="1" si="4"/>
        <v/>
      </c>
      <c r="P21" s="106" t="str">
        <f t="shared" ca="1" si="4"/>
        <v/>
      </c>
      <c r="Q21" s="106" t="str">
        <f t="shared" ca="1" si="4"/>
        <v/>
      </c>
      <c r="R21" s="106" t="str">
        <f t="shared" ca="1" si="4"/>
        <v/>
      </c>
      <c r="S21" s="106" t="str">
        <f t="shared" ca="1" si="4"/>
        <v/>
      </c>
    </row>
    <row r="22" spans="1:19" x14ac:dyDescent="0.25">
      <c r="A22" s="65">
        <v>15</v>
      </c>
      <c r="B22" s="111">
        <f t="shared" si="1"/>
        <v>3.5</v>
      </c>
      <c r="C22" s="106">
        <v>2</v>
      </c>
      <c r="D22" s="106">
        <v>1</v>
      </c>
      <c r="E22" s="106">
        <v>0.5</v>
      </c>
      <c r="F22" s="106"/>
      <c r="G22" s="106"/>
      <c r="H22" s="106"/>
      <c r="I22" s="106"/>
      <c r="J22" s="112" t="str">
        <f t="shared" ca="1" si="2"/>
        <v>Finished</v>
      </c>
      <c r="L22" s="104">
        <f t="shared" si="3"/>
        <v>15</v>
      </c>
      <c r="M22" s="106">
        <f t="shared" ca="1" si="4"/>
        <v>2</v>
      </c>
      <c r="N22" s="106">
        <f t="shared" ca="1" si="4"/>
        <v>1</v>
      </c>
      <c r="O22" s="106">
        <f t="shared" ca="1" si="4"/>
        <v>0.5</v>
      </c>
      <c r="P22" s="106" t="str">
        <f t="shared" ca="1" si="4"/>
        <v/>
      </c>
      <c r="Q22" s="106" t="str">
        <f t="shared" ca="1" si="4"/>
        <v/>
      </c>
      <c r="R22" s="106" t="str">
        <f t="shared" ca="1" si="4"/>
        <v/>
      </c>
      <c r="S22" s="106" t="str">
        <f t="shared" ca="1" si="4"/>
        <v/>
      </c>
    </row>
    <row r="23" spans="1:19" x14ac:dyDescent="0.25">
      <c r="A23" s="65">
        <v>16</v>
      </c>
      <c r="B23" s="111">
        <f t="shared" si="1"/>
        <v>3</v>
      </c>
      <c r="C23" s="106">
        <v>1.5</v>
      </c>
      <c r="D23" s="106">
        <v>1.5</v>
      </c>
      <c r="E23" s="106"/>
      <c r="F23" s="106"/>
      <c r="G23" s="106"/>
      <c r="H23" s="106"/>
      <c r="I23" s="106"/>
      <c r="J23" s="112" t="str">
        <f t="shared" ca="1" si="2"/>
        <v>Finished</v>
      </c>
      <c r="L23" s="104">
        <f t="shared" si="3"/>
        <v>16</v>
      </c>
      <c r="M23" s="106">
        <f t="shared" ca="1" si="4"/>
        <v>1.5</v>
      </c>
      <c r="N23" s="106">
        <f t="shared" ca="1" si="4"/>
        <v>1.5</v>
      </c>
      <c r="O23" s="106" t="str">
        <f t="shared" ca="1" si="4"/>
        <v/>
      </c>
      <c r="P23" s="106" t="str">
        <f t="shared" ca="1" si="4"/>
        <v/>
      </c>
      <c r="Q23" s="106" t="str">
        <f t="shared" ca="1" si="4"/>
        <v/>
      </c>
      <c r="R23" s="106" t="str">
        <f t="shared" ca="1" si="4"/>
        <v/>
      </c>
      <c r="S23" s="106" t="str">
        <f t="shared" ca="1" si="4"/>
        <v/>
      </c>
    </row>
    <row r="24" spans="1:19" x14ac:dyDescent="0.25">
      <c r="A24" s="65">
        <v>17</v>
      </c>
      <c r="B24" s="111">
        <f t="shared" si="1"/>
        <v>3</v>
      </c>
      <c r="C24" s="106">
        <v>3</v>
      </c>
      <c r="D24" s="106"/>
      <c r="E24" s="106"/>
      <c r="F24" s="106"/>
      <c r="G24" s="106"/>
      <c r="H24" s="106"/>
      <c r="I24" s="106"/>
      <c r="J24" s="112" t="str">
        <f t="shared" ca="1" si="2"/>
        <v>Finished</v>
      </c>
      <c r="L24" s="104">
        <f t="shared" si="3"/>
        <v>17</v>
      </c>
      <c r="M24" s="106">
        <f t="shared" ca="1" si="4"/>
        <v>3</v>
      </c>
      <c r="N24" s="106" t="str">
        <f t="shared" ca="1" si="4"/>
        <v/>
      </c>
      <c r="O24" s="106" t="str">
        <f t="shared" ca="1" si="4"/>
        <v/>
      </c>
      <c r="P24" s="106" t="str">
        <f t="shared" ca="1" si="4"/>
        <v/>
      </c>
      <c r="Q24" s="106" t="str">
        <f t="shared" ca="1" si="4"/>
        <v/>
      </c>
      <c r="R24" s="106" t="str">
        <f t="shared" ca="1" si="4"/>
        <v/>
      </c>
      <c r="S24" s="106" t="str">
        <f t="shared" ca="1" si="4"/>
        <v/>
      </c>
    </row>
    <row r="25" spans="1:19" x14ac:dyDescent="0.25">
      <c r="A25" s="65">
        <v>18</v>
      </c>
      <c r="B25" s="111">
        <f t="shared" si="1"/>
        <v>2.75</v>
      </c>
      <c r="C25" s="106">
        <v>2</v>
      </c>
      <c r="D25" s="106">
        <v>0.5</v>
      </c>
      <c r="E25" s="106">
        <v>0.25</v>
      </c>
      <c r="F25" s="106"/>
      <c r="G25" s="106"/>
      <c r="H25" s="106"/>
      <c r="I25" s="106"/>
      <c r="J25" s="112" t="str">
        <f t="shared" ca="1" si="2"/>
        <v>Finished</v>
      </c>
      <c r="L25" s="104">
        <f t="shared" si="3"/>
        <v>18</v>
      </c>
      <c r="M25" s="106">
        <f t="shared" ca="1" si="4"/>
        <v>2</v>
      </c>
      <c r="N25" s="106">
        <f t="shared" ca="1" si="4"/>
        <v>0.5</v>
      </c>
      <c r="O25" s="106">
        <f t="shared" ca="1" si="4"/>
        <v>0.25</v>
      </c>
      <c r="P25" s="106" t="str">
        <f t="shared" ca="1" si="4"/>
        <v/>
      </c>
      <c r="Q25" s="106" t="str">
        <f t="shared" ca="1" si="4"/>
        <v/>
      </c>
      <c r="R25" s="106" t="str">
        <f t="shared" ca="1" si="4"/>
        <v/>
      </c>
      <c r="S25" s="106" t="str">
        <f t="shared" ca="1" si="4"/>
        <v/>
      </c>
    </row>
    <row r="26" spans="1:19" x14ac:dyDescent="0.25">
      <c r="A26" s="65">
        <v>19</v>
      </c>
      <c r="B26" s="111">
        <f t="shared" si="1"/>
        <v>3.5</v>
      </c>
      <c r="C26" s="106">
        <v>1.5</v>
      </c>
      <c r="D26" s="106">
        <v>1</v>
      </c>
      <c r="E26" s="106">
        <v>0.75</v>
      </c>
      <c r="F26" s="106">
        <v>0.25</v>
      </c>
      <c r="G26" s="106"/>
      <c r="H26" s="106"/>
      <c r="I26" s="106"/>
      <c r="J26" s="112" t="str">
        <f t="shared" ca="1" si="2"/>
        <v>Finished</v>
      </c>
      <c r="L26" s="104">
        <f t="shared" si="3"/>
        <v>19</v>
      </c>
      <c r="M26" s="106">
        <f t="shared" ca="1" si="4"/>
        <v>1.5</v>
      </c>
      <c r="N26" s="106">
        <f t="shared" ca="1" si="4"/>
        <v>1</v>
      </c>
      <c r="O26" s="106">
        <f t="shared" ca="1" si="4"/>
        <v>0.75</v>
      </c>
      <c r="P26" s="106">
        <f t="shared" ca="1" si="4"/>
        <v>0.25</v>
      </c>
      <c r="Q26" s="106" t="str">
        <f t="shared" ca="1" si="4"/>
        <v/>
      </c>
      <c r="R26" s="106" t="str">
        <f t="shared" ca="1" si="4"/>
        <v/>
      </c>
      <c r="S26" s="106" t="str">
        <f t="shared" ca="1" si="4"/>
        <v/>
      </c>
    </row>
    <row r="27" spans="1:19" x14ac:dyDescent="0.25">
      <c r="A27" s="267">
        <v>20</v>
      </c>
      <c r="B27" s="111">
        <f t="shared" ref="B27" si="5">SUM(C27:I27)</f>
        <v>2.5</v>
      </c>
      <c r="C27" s="106">
        <v>1</v>
      </c>
      <c r="D27" s="106">
        <v>0.5</v>
      </c>
      <c r="E27" s="106">
        <v>0.5</v>
      </c>
      <c r="F27" s="106">
        <v>0.5</v>
      </c>
      <c r="G27" s="106"/>
      <c r="H27" s="106"/>
      <c r="I27" s="106"/>
      <c r="J27" s="112" t="str">
        <f t="shared" ca="1" si="2"/>
        <v>Finished</v>
      </c>
      <c r="L27" s="104">
        <f t="shared" ref="L27" si="6">A27</f>
        <v>20</v>
      </c>
      <c r="M27" s="106">
        <f t="shared" ca="1" si="4"/>
        <v>1</v>
      </c>
      <c r="N27" s="106">
        <f t="shared" ca="1" si="4"/>
        <v>0.5</v>
      </c>
      <c r="O27" s="106">
        <f t="shared" ca="1" si="4"/>
        <v>0.5</v>
      </c>
      <c r="P27" s="106">
        <f t="shared" ca="1" si="4"/>
        <v>0.5</v>
      </c>
      <c r="Q27" s="106" t="str">
        <f t="shared" ca="1" si="4"/>
        <v/>
      </c>
      <c r="R27" s="106" t="str">
        <f t="shared" ca="1" si="4"/>
        <v/>
      </c>
      <c r="S27" s="106" t="str">
        <f t="shared" ca="1" si="4"/>
        <v/>
      </c>
    </row>
    <row r="28" spans="1:19" x14ac:dyDescent="0.25">
      <c r="A28" s="1"/>
    </row>
    <row r="29" spans="1:19" ht="15.75" thickBot="1" x14ac:dyDescent="0.3">
      <c r="A29" s="60" t="s">
        <v>10</v>
      </c>
      <c r="B29" s="61">
        <f>SUM(B8:B27)</f>
        <v>54</v>
      </c>
      <c r="L29" s="62" t="s">
        <v>13</v>
      </c>
      <c r="M29" s="61">
        <f t="array" aca="1" ref="M29" ca="1">IF(SUM(IF(M8:S27="",0,1))=0,"",SUM(M8:S27))</f>
        <v>54</v>
      </c>
      <c r="O29" s="64" t="s">
        <v>41</v>
      </c>
      <c r="P29" s="12">
        <f ca="1">IF(M29="","",M29/B29)</f>
        <v>1</v>
      </c>
    </row>
    <row r="31" spans="1:19" x14ac:dyDescent="0.25">
      <c r="L31" s="131" t="s">
        <v>595</v>
      </c>
      <c r="M31" s="132">
        <f>MROUND(72%*B29,0.25)</f>
        <v>39</v>
      </c>
    </row>
  </sheetData>
  <sheetProtection formatCells="0" formatColumns="0" formatRows="0"/>
  <mergeCells count="1">
    <mergeCell ref="B6:B7"/>
  </mergeCells>
  <conditionalFormatting sqref="C8:I27">
    <cfRule type="expression" dxfId="78" priority="594">
      <formula>ISBLANK(C8)</formula>
    </cfRule>
  </conditionalFormatting>
  <conditionalFormatting sqref="J8:J27">
    <cfRule type="cellIs" dxfId="77" priority="537" operator="equal">
      <formula>"Finished"</formula>
    </cfRule>
    <cfRule type="cellIs" dxfId="76" priority="538" operator="equal">
      <formula>"Flag for Review"</formula>
    </cfRule>
    <cfRule type="cellIs" dxfId="75" priority="539" operator="equal">
      <formula>"Incomplete"</formula>
    </cfRule>
  </conditionalFormatting>
  <conditionalFormatting sqref="M8:S27">
    <cfRule type="expression" dxfId="74" priority="5">
      <formula>M8/C8&gt;=0.75</formula>
    </cfRule>
    <cfRule type="expression" dxfId="73" priority="6">
      <formula>M8/C8&gt;=0.65</formula>
    </cfRule>
    <cfRule type="expression" dxfId="72" priority="7">
      <formula>M8/C8&gt;=0</formula>
    </cfRule>
    <cfRule type="expression" dxfId="71" priority="8">
      <formula>_xlfn.IFNA(MATCH(M$7,INDIRECT("'"&amp;$L8&amp;"'!$A:$A"),0),0)=0</formula>
    </cfRule>
  </conditionalFormatting>
  <conditionalFormatting sqref="P29">
    <cfRule type="expression" dxfId="70" priority="1">
      <formula>LEN(P29)=0</formula>
    </cfRule>
    <cfRule type="cellIs" dxfId="69" priority="2" operator="greaterThanOrEqual">
      <formula>0.75</formula>
    </cfRule>
    <cfRule type="cellIs" dxfId="68" priority="3" operator="greaterThanOrEqual">
      <formula>0.65</formula>
    </cfRule>
    <cfRule type="cellIs" dxfId="67" priority="4" operator="greaterThanOrEqual">
      <formula>0</formula>
    </cfRule>
  </conditionalFormatting>
  <hyperlinks>
    <hyperlink ref="L8" location="'1'!A1" display="'1'!A1" xr:uid="{EEB2F41D-4C5E-45E3-868E-8AB4AC250B33}"/>
    <hyperlink ref="L9" location="'2'!A1" display="'2'!A1" xr:uid="{54381741-FA85-48C9-B9FB-0986002F461F}"/>
    <hyperlink ref="L10" location="'3'!A1" display="'3'!A1" xr:uid="{DDF5B344-2A0C-451F-B5F6-2DC7DE369462}"/>
    <hyperlink ref="L11" location="'4'!A1" display="'4'!A1" xr:uid="{0C5CB486-9354-4C70-9B6F-51C32CCB499E}"/>
    <hyperlink ref="L12" location="'5'!A1" display="'5'!A1" xr:uid="{7E78161F-0455-4E29-A481-EA8D02B932EB}"/>
    <hyperlink ref="L13" location="'6'!A1" display="'6'!A1" xr:uid="{46FCA9F3-44A4-4413-8871-6FA0DEA4DB3B}"/>
    <hyperlink ref="L14" location="'7'!A1" display="'7'!A1" xr:uid="{F2EEC1B2-4F14-4B01-BA35-AA223F0ECD59}"/>
    <hyperlink ref="L15" location="'8'!A1" display="'8'!A1" xr:uid="{380D658B-F52F-49C4-8FCA-15609F15FA96}"/>
    <hyperlink ref="L16" location="'9'!A1" display="'9'!A1" xr:uid="{9B904F90-8A04-433E-9672-86A2B5EFDA59}"/>
    <hyperlink ref="L17" location="'10'!A1" display="'10'!A1" xr:uid="{CF316553-E0E7-42B0-8473-99A45D63D55E}"/>
    <hyperlink ref="L18" location="'11'!A1" display="'11'!A1" xr:uid="{345DB5EE-FCF5-4D3D-A362-10CF234E082F}"/>
    <hyperlink ref="L19" location="'12'!A1" display="'12'!A1" xr:uid="{4887FA27-3BC9-42EE-9ABC-32F4BD751A2C}"/>
    <hyperlink ref="L20" location="'13'!A1" display="'13'!A1" xr:uid="{AD4932DB-B4FB-4D89-A19D-B6DE7FEA3ACA}"/>
    <hyperlink ref="L21" location="'14'!A1" display="'14'!A1" xr:uid="{FD757D54-1A04-407F-85BC-DC29B9D10B10}"/>
    <hyperlink ref="L22" location="'15'!A1" display="'15'!A1" xr:uid="{A83ECE4A-4379-483B-88B6-444BF642EA1B}"/>
    <hyperlink ref="L23" location="'16'!A1" display="'16'!A1" xr:uid="{5D5C15C2-7A88-423B-977E-029D784C93AC}"/>
    <hyperlink ref="L24" location="'17'!A1" display="'17'!A1" xr:uid="{05F5B110-EB25-4448-BE89-788FAE1A5BB4}"/>
    <hyperlink ref="L25" location="'18'!A1" display="'18'!A1" xr:uid="{AB290070-0626-4BED-824D-DEA8E8D5B249}"/>
    <hyperlink ref="L26" location="'19'!A1" display="'19'!A1" xr:uid="{3F70EF44-F6BF-4762-AC27-B5ABCB72101E}"/>
    <hyperlink ref="A8" location="'1'!A1" display="'1'!A1" xr:uid="{CFFA0440-4925-4E1D-A7CA-9ACA304FC921}"/>
    <hyperlink ref="A9" location="'2'!A1" display="'2'!A1" xr:uid="{C9FB007F-D701-4146-914F-EF441BE99447}"/>
    <hyperlink ref="A10" location="'3'!A1" display="'3'!A1" xr:uid="{2A81A52B-304E-4A2C-BC60-8E16A8C48D9C}"/>
    <hyperlink ref="A11" location="'4'!A1" display="'4'!A1" xr:uid="{66B34D2F-C28F-4176-9B03-547846381DBA}"/>
    <hyperlink ref="A12" location="'5'!A1" display="'5'!A1" xr:uid="{5E4037E5-3452-4B2D-AE5D-77D930C05A9F}"/>
    <hyperlink ref="A13" location="'6'!A1" display="'6'!A1" xr:uid="{C391F207-22DC-4F14-BCDE-8844AD0AA3EE}"/>
    <hyperlink ref="A14" location="'7'!A1" display="'7'!A1" xr:uid="{A38AE76B-9BAB-4518-BD6F-1BE205A7E90D}"/>
    <hyperlink ref="A15" location="'8'!A1" display="'8'!A1" xr:uid="{E82C5443-01F4-411E-A0E3-3595F2B2BBF8}"/>
    <hyperlink ref="A16" location="'9'!A1" display="'9'!A1" xr:uid="{5E0C90FA-874D-4504-9C10-C716B3CA889D}"/>
    <hyperlink ref="A17" location="'10'!A1" display="'10'!A1" xr:uid="{4C7CE00C-44CF-4FAC-9E17-BD4E76C673EF}"/>
    <hyperlink ref="A18" location="'11'!A1" display="'11'!A1" xr:uid="{BE291FC8-A160-4657-A514-472E061AC027}"/>
    <hyperlink ref="A19" location="'12'!A1" display="'12'!A1" xr:uid="{7CF02CE4-BDDF-4F90-A592-40224EB2C865}"/>
    <hyperlink ref="A20" location="'13'!A1" display="'13'!A1" xr:uid="{67F981C5-2158-4BBF-A017-D5B8503E0856}"/>
    <hyperlink ref="A21" location="'14'!A1" display="'14'!A1" xr:uid="{DEDD0535-0E23-403C-8B61-C5D632CD8B6D}"/>
    <hyperlink ref="A22" location="'15'!A1" display="'15'!A1" xr:uid="{F104AFDA-3D58-4EB6-BA89-17E32A0F7487}"/>
    <hyperlink ref="A23" location="'16'!A1" display="'16'!A1" xr:uid="{96EFD0AE-78D2-4511-B3C6-ECA0F02625F1}"/>
    <hyperlink ref="A24" location="'17'!A1" display="'17'!A1" xr:uid="{4A5C76FB-9106-4EA6-915C-F426AA33CDB1}"/>
    <hyperlink ref="A25" location="'18'!A1" display="'18'!A1" xr:uid="{42493673-DCF0-42F5-8986-6B210F19B328}"/>
    <hyperlink ref="A26" location="'19'!A1" display="'19'!A1" xr:uid="{AC24EC4B-6D86-4344-97FC-660E99C34B48}"/>
    <hyperlink ref="L27" location="'20'!A1" display="'20'!A1" xr:uid="{23514A2B-F9B9-41DA-9EE6-CF2C82F7152F}"/>
    <hyperlink ref="A27" location="'20'!A1" display="'20'!A1" xr:uid="{C1152850-5770-489F-A9E0-3BE3096EEA84}"/>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BE89D-2A8B-4231-A3FC-F340E4D8D539}">
  <dimension ref="A6:H28"/>
  <sheetViews>
    <sheetView workbookViewId="0"/>
  </sheetViews>
  <sheetFormatPr defaultRowHeight="15" x14ac:dyDescent="0.25"/>
  <cols>
    <col min="8" max="8" width="14.7109375" bestFit="1" customWidth="1"/>
  </cols>
  <sheetData>
    <row r="6" spans="1:8" ht="23.25" x14ac:dyDescent="0.35">
      <c r="A6" s="66" t="s">
        <v>581</v>
      </c>
      <c r="B6" s="63"/>
      <c r="C6" s="63"/>
      <c r="D6" s="63"/>
      <c r="E6" s="63"/>
      <c r="F6" s="63"/>
      <c r="G6" s="63"/>
      <c r="H6" s="63"/>
    </row>
    <row r="8" spans="1:8" ht="18.75" x14ac:dyDescent="0.3">
      <c r="A8" s="127" t="s">
        <v>582</v>
      </c>
      <c r="B8" s="128"/>
      <c r="C8" s="128"/>
      <c r="D8" s="128"/>
      <c r="E8" s="128"/>
      <c r="F8" s="128"/>
      <c r="G8" s="128"/>
      <c r="H8" s="129" t="s">
        <v>11</v>
      </c>
    </row>
    <row r="9" spans="1:8" x14ac:dyDescent="0.25">
      <c r="A9" s="243" t="s">
        <v>583</v>
      </c>
      <c r="B9" s="243"/>
      <c r="C9" s="243"/>
      <c r="D9" s="243"/>
      <c r="E9" s="243"/>
      <c r="F9" s="243"/>
      <c r="G9" s="243"/>
      <c r="H9" s="112" t="str">
        <f ca="1">'Point Grid'!J8</f>
        <v>Finished</v>
      </c>
    </row>
    <row r="10" spans="1:8" x14ac:dyDescent="0.25">
      <c r="A10" s="243" t="s">
        <v>690</v>
      </c>
      <c r="B10" s="243"/>
      <c r="C10" s="243"/>
      <c r="D10" s="243"/>
      <c r="E10" s="243"/>
      <c r="F10" s="243"/>
      <c r="G10" s="243"/>
      <c r="H10" s="112" t="str">
        <f ca="1">'Point Grid'!J9</f>
        <v>Finished</v>
      </c>
    </row>
    <row r="11" spans="1:8" x14ac:dyDescent="0.25">
      <c r="A11" s="243" t="s">
        <v>584</v>
      </c>
      <c r="B11" s="243"/>
      <c r="C11" s="243"/>
      <c r="D11" s="243"/>
      <c r="E11" s="243"/>
      <c r="F11" s="243"/>
      <c r="G11" s="243"/>
      <c r="H11" s="112" t="str">
        <f ca="1">'Point Grid'!J10</f>
        <v>Finished</v>
      </c>
    </row>
    <row r="12" spans="1:8" x14ac:dyDescent="0.25">
      <c r="A12" s="243" t="s">
        <v>689</v>
      </c>
      <c r="B12" s="243"/>
      <c r="C12" s="243"/>
      <c r="D12" s="243"/>
      <c r="E12" s="243"/>
      <c r="F12" s="243"/>
      <c r="G12" s="243"/>
      <c r="H12" s="112" t="str">
        <f ca="1">'Point Grid'!J11</f>
        <v>Finished</v>
      </c>
    </row>
    <row r="13" spans="1:8" x14ac:dyDescent="0.25">
      <c r="A13" s="243" t="s">
        <v>691</v>
      </c>
      <c r="B13" s="243"/>
      <c r="C13" s="243"/>
      <c r="D13" s="243"/>
      <c r="E13" s="243"/>
      <c r="F13" s="243"/>
      <c r="G13" s="243"/>
      <c r="H13" s="112" t="str">
        <f ca="1">'Point Grid'!J12</f>
        <v>Finished</v>
      </c>
    </row>
    <row r="14" spans="1:8" x14ac:dyDescent="0.25">
      <c r="A14" s="243" t="s">
        <v>692</v>
      </c>
      <c r="B14" s="243"/>
      <c r="C14" s="243"/>
      <c r="D14" s="243"/>
      <c r="E14" s="243"/>
      <c r="F14" s="243"/>
      <c r="G14" s="243"/>
      <c r="H14" s="112" t="str">
        <f ca="1">'Point Grid'!J13</f>
        <v>Finished</v>
      </c>
    </row>
    <row r="15" spans="1:8" x14ac:dyDescent="0.25">
      <c r="A15" s="243" t="s">
        <v>585</v>
      </c>
      <c r="B15" s="243"/>
      <c r="C15" s="243"/>
      <c r="D15" s="243"/>
      <c r="E15" s="243"/>
      <c r="F15" s="243"/>
      <c r="G15" s="243"/>
      <c r="H15" s="112" t="str">
        <f ca="1">'Point Grid'!J14</f>
        <v>Finished</v>
      </c>
    </row>
    <row r="16" spans="1:8" x14ac:dyDescent="0.25">
      <c r="A16" s="243" t="s">
        <v>586</v>
      </c>
      <c r="B16" s="243"/>
      <c r="C16" s="243"/>
      <c r="D16" s="243"/>
      <c r="E16" s="243"/>
      <c r="F16" s="243"/>
      <c r="G16" s="243"/>
      <c r="H16" s="112" t="str">
        <f ca="1">'Point Grid'!J15</f>
        <v>Finished</v>
      </c>
    </row>
    <row r="17" spans="1:8" x14ac:dyDescent="0.25">
      <c r="A17" s="243" t="s">
        <v>587</v>
      </c>
      <c r="B17" s="243"/>
      <c r="C17" s="243"/>
      <c r="D17" s="243"/>
      <c r="E17" s="243"/>
      <c r="F17" s="243"/>
      <c r="G17" s="243"/>
      <c r="H17" s="112" t="str">
        <f ca="1">'Point Grid'!J16</f>
        <v>Finished</v>
      </c>
    </row>
    <row r="18" spans="1:8" x14ac:dyDescent="0.25">
      <c r="A18" s="243" t="s">
        <v>588</v>
      </c>
      <c r="B18" s="243"/>
      <c r="C18" s="243"/>
      <c r="D18" s="243"/>
      <c r="E18" s="243"/>
      <c r="F18" s="243"/>
      <c r="G18" s="243"/>
      <c r="H18" s="112" t="str">
        <f ca="1">'Point Grid'!J17</f>
        <v>Finished</v>
      </c>
    </row>
    <row r="19" spans="1:8" x14ac:dyDescent="0.25">
      <c r="A19" s="243" t="s">
        <v>589</v>
      </c>
      <c r="B19" s="243"/>
      <c r="C19" s="243"/>
      <c r="D19" s="243"/>
      <c r="E19" s="243"/>
      <c r="F19" s="243"/>
      <c r="G19" s="243"/>
      <c r="H19" s="112" t="str">
        <f ca="1">'Point Grid'!J18</f>
        <v>Finished</v>
      </c>
    </row>
    <row r="20" spans="1:8" x14ac:dyDescent="0.25">
      <c r="A20" s="243" t="s">
        <v>590</v>
      </c>
      <c r="B20" s="243"/>
      <c r="C20" s="243"/>
      <c r="D20" s="243"/>
      <c r="E20" s="243"/>
      <c r="F20" s="243"/>
      <c r="G20" s="243"/>
      <c r="H20" s="112" t="str">
        <f ca="1">'Point Grid'!J19</f>
        <v>Finished</v>
      </c>
    </row>
    <row r="21" spans="1:8" x14ac:dyDescent="0.25">
      <c r="A21" s="243" t="s">
        <v>591</v>
      </c>
      <c r="B21" s="243"/>
      <c r="C21" s="243"/>
      <c r="D21" s="243"/>
      <c r="E21" s="243"/>
      <c r="F21" s="243"/>
      <c r="G21" s="243"/>
      <c r="H21" s="112" t="str">
        <f ca="1">'Point Grid'!J20</f>
        <v>Finished</v>
      </c>
    </row>
    <row r="22" spans="1:8" x14ac:dyDescent="0.25">
      <c r="A22" s="243" t="s">
        <v>592</v>
      </c>
      <c r="B22" s="243"/>
      <c r="C22" s="243"/>
      <c r="D22" s="243"/>
      <c r="E22" s="243"/>
      <c r="F22" s="243"/>
      <c r="G22" s="243"/>
      <c r="H22" s="112" t="str">
        <f ca="1">'Point Grid'!J21</f>
        <v>Finished</v>
      </c>
    </row>
    <row r="23" spans="1:8" x14ac:dyDescent="0.25">
      <c r="A23" s="243" t="s">
        <v>593</v>
      </c>
      <c r="B23" s="243"/>
      <c r="C23" s="243"/>
      <c r="D23" s="243"/>
      <c r="E23" s="243"/>
      <c r="F23" s="243"/>
      <c r="G23" s="243"/>
      <c r="H23" s="112" t="str">
        <f ca="1">'Point Grid'!J22</f>
        <v>Finished</v>
      </c>
    </row>
    <row r="24" spans="1:8" x14ac:dyDescent="0.25">
      <c r="A24" s="243" t="s">
        <v>594</v>
      </c>
      <c r="B24" s="243"/>
      <c r="C24" s="243"/>
      <c r="D24" s="243"/>
      <c r="E24" s="243"/>
      <c r="F24" s="243"/>
      <c r="G24" s="243"/>
      <c r="H24" s="112" t="str">
        <f ca="1">'Point Grid'!J23</f>
        <v>Finished</v>
      </c>
    </row>
    <row r="25" spans="1:8" x14ac:dyDescent="0.25">
      <c r="A25" s="243" t="s">
        <v>688</v>
      </c>
      <c r="B25" s="243"/>
      <c r="C25" s="243"/>
      <c r="D25" s="243"/>
      <c r="E25" s="243"/>
      <c r="F25" s="243"/>
      <c r="G25" s="243"/>
      <c r="H25" s="112" t="str">
        <f ca="1">'Point Grid'!J24</f>
        <v>Finished</v>
      </c>
    </row>
    <row r="26" spans="1:8" x14ac:dyDescent="0.25">
      <c r="A26" s="243" t="s">
        <v>793</v>
      </c>
      <c r="B26" s="243"/>
      <c r="C26" s="243"/>
      <c r="D26" s="243"/>
      <c r="E26" s="243"/>
      <c r="F26" s="243"/>
      <c r="G26" s="243"/>
      <c r="H26" s="112" t="str">
        <f ca="1">'Point Grid'!J25</f>
        <v>Finished</v>
      </c>
    </row>
    <row r="27" spans="1:8" x14ac:dyDescent="0.25">
      <c r="A27" s="243" t="s">
        <v>744</v>
      </c>
      <c r="B27" s="243"/>
      <c r="C27" s="243"/>
      <c r="D27" s="243"/>
      <c r="E27" s="243"/>
      <c r="F27" s="243"/>
      <c r="G27" s="243"/>
      <c r="H27" s="112" t="str">
        <f ca="1">'Point Grid'!J26</f>
        <v>Finished</v>
      </c>
    </row>
    <row r="28" spans="1:8" x14ac:dyDescent="0.25">
      <c r="A28" s="243" t="s">
        <v>818</v>
      </c>
      <c r="B28" s="243"/>
      <c r="C28" s="243"/>
      <c r="D28" s="243"/>
      <c r="E28" s="243"/>
      <c r="F28" s="243"/>
      <c r="G28" s="243"/>
      <c r="H28" s="112" t="str">
        <f ca="1">'Point Grid'!J27</f>
        <v>Finished</v>
      </c>
    </row>
  </sheetData>
  <sheetProtection formatCells="0" formatColumns="0" formatRows="0"/>
  <mergeCells count="20">
    <mergeCell ref="A28:G28"/>
    <mergeCell ref="A27:G27"/>
    <mergeCell ref="A21:G21"/>
    <mergeCell ref="A22:G22"/>
    <mergeCell ref="A23:G23"/>
    <mergeCell ref="A24:G24"/>
    <mergeCell ref="A25:G25"/>
    <mergeCell ref="A26:G26"/>
    <mergeCell ref="A20:G20"/>
    <mergeCell ref="A9:G9"/>
    <mergeCell ref="A10:G10"/>
    <mergeCell ref="A11:G11"/>
    <mergeCell ref="A12:G12"/>
    <mergeCell ref="A13:G13"/>
    <mergeCell ref="A14:G14"/>
    <mergeCell ref="A15:G15"/>
    <mergeCell ref="A16:G16"/>
    <mergeCell ref="A17:G17"/>
    <mergeCell ref="A18:G18"/>
    <mergeCell ref="A19:G19"/>
  </mergeCells>
  <conditionalFormatting sqref="H9:H28">
    <cfRule type="cellIs" dxfId="2" priority="10" operator="equal">
      <formula>"Finished"</formula>
    </cfRule>
    <cfRule type="cellIs" dxfId="1" priority="11" operator="equal">
      <formula>"Flag for Review"</formula>
    </cfRule>
    <cfRule type="cellIs" dxfId="0" priority="12" operator="equal">
      <formula>"Incomplete"</formula>
    </cfRule>
  </conditionalFormatting>
  <hyperlinks>
    <hyperlink ref="A9:G9" location="'1'!A1" display="Q1 -- Couret &amp; Venter -- Multi-Dimensional Credibility -- 2.25 points" xr:uid="{A8036A06-EA97-4F29-A367-31AACC6F40F0}"/>
    <hyperlink ref="A10:G10" location="'2'!A1" display="Q2 -- Goldburd (GLM) -- Model Validation -- 2.75 points" xr:uid="{9C18881F-2BB3-4C22-93E2-AC7ACB423263}"/>
    <hyperlink ref="A11:G11" location="'3'!A1" display="Q3 -- Bailey &amp; Simon -- Experience Modification -- 1.75 points" xr:uid="{FF05010A-9A1F-449D-8EBD-9975C3C62EA3}"/>
    <hyperlink ref="A12:G12" location="'4'!A1" display="Q4 -- Robertson -- Weighted k-means -- 3.00 points" xr:uid="{DBEB0E87-3968-4968-86F6-E206A78F4833}"/>
    <hyperlink ref="A13:G13" location="'5'!A1" display="Q5 -- Goldburd (GLM) -- Logistic Models -- 2.75 points" xr:uid="{84099632-E5A5-4B70-A21B-956D4E6BA11D}"/>
    <hyperlink ref="A14:G14" location="'6'!A1" display="Q6 -- Goldburd (GLM) -- Interaction Terms --2.00 points" xr:uid="{E5579212-0F5D-4686-A781-870A6BD50067}"/>
    <hyperlink ref="A15:G15" location="'7'!A1" display="Q7 -- Bahnemann -- Expected Ground Up Loss  (IQ) -- 7.50 points" xr:uid="{B77FC438-A1F5-4274-BC5C-1A6F9D0106D0}"/>
    <hyperlink ref="A16:G16" location="'8'!A1" display="Q8 -- Bahnemann -- Excess Layer Premium -- 1.50 points" xr:uid="{44BDE438-A1DC-43CD-9680-A4C078CB4480}"/>
    <hyperlink ref="A17:G17" location="'9'!A1" display="Q9 -- Mahler -- When to Use Experience Rating -- 1.00 point" xr:uid="{EBD20853-D1D4-454B-97F9-04EE90BEC8EE}"/>
    <hyperlink ref="A18:G18" location="'10'!A1" display="Q10 -- Fisher -- Quintiles &amp; Efficiency Tests -- 1.50 points" xr:uid="{3560F19D-C83E-4735-AC97-991AB745F88B}"/>
    <hyperlink ref="A19:G19" location="'11'!A1" display="Q11 -- Fisher -- Experience Modification &amp; Efficiency Test -- 3.75 points" xr:uid="{371711EC-9882-4C62-8FFF-1B2BC5A0F824}"/>
    <hyperlink ref="A20:G20" location="'12'!A1" display="Q12 -- Fisher -- Table M -- 2.00 points" xr:uid="{ABEC3F32-1DCB-4790-BB46-E487674C9C1D}"/>
    <hyperlink ref="A21:G21" location="'13'!A1" display="Q13 -- Bahnemann -- Aggregate Loss in Layer -- 2.00 points" xr:uid="{C49C5647-482F-4CB5-9B5B-A3CE58AE1A14}"/>
    <hyperlink ref="A22:G22" location="'14'!A1" display="Q14 -- Fisher -- Retrospective Rating -- 2.00 points" xr:uid="{C4A6ED36-7DAF-4CD9-A102-D44A14342CBF}"/>
    <hyperlink ref="A23:G23" location="'15'!A1" display="Q15 -- Bahnemann -- Excess Severity -- 3.50 points" xr:uid="{D6D12676-6081-44AB-A16F-29AFAB9E18EC}"/>
    <hyperlink ref="A24:G24" location="'16'!A1" display="Q16 -- Fisher -- Limited Table M -- 3.00 points" xr:uid="{884736A0-79E0-4F49-948A-C359879B1FC2}"/>
    <hyperlink ref="A25:G25" location="'17'!A1" display="Q17 -- Clark -- Technical Ratio -- 3.00 points" xr:uid="{14F001A7-529E-4D3E-95B1-86F2446D13C4}"/>
    <hyperlink ref="A26:G26" location="'18'!A1" display="Q18 -- Clark -- Property Per Risk Treaty (IQ) -- 5.50 points" xr:uid="{D7F36669-EBF6-489E-88E4-95153FF1A80D}"/>
    <hyperlink ref="A27:G27" location="'19'!A1" display="Q19 -- Grossi -- Quota Share Reinsurance -- 1.75 points" xr:uid="{D01252AF-6AC9-476C-B418-CA1DD5CF8D70}"/>
    <hyperlink ref="A28:G28" location="'20'!A1" display="Q20 -- Holmes -- MSE &amp; Small Chance of Large Errors -- 3.50 points" xr:uid="{5B43EB09-A67A-4B1A-8C3B-B076020FBE60}"/>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9E6ED-6B70-4BF3-A21E-4C3B1BBDBDAE}">
  <sheetPr codeName="Sheet3"/>
  <dimension ref="A1:M29"/>
  <sheetViews>
    <sheetView workbookViewId="0"/>
  </sheetViews>
  <sheetFormatPr defaultColWidth="9.140625" defaultRowHeight="15" x14ac:dyDescent="0.25"/>
  <cols>
    <col min="1" max="1" width="6.5703125" style="4" bestFit="1" customWidth="1"/>
    <col min="2" max="2" width="16" style="4" bestFit="1" customWidth="1"/>
    <col min="3" max="3" width="12.42578125" style="4" bestFit="1" customWidth="1"/>
    <col min="4" max="4" width="10.28515625" style="4" customWidth="1"/>
    <col min="5" max="7" width="9.140625" style="4"/>
    <col min="8" max="8" width="11.42578125" style="4" customWidth="1"/>
    <col min="9" max="9" width="3.7109375" style="72" customWidth="1"/>
    <col min="10" max="16384" width="9.140625" style="4"/>
  </cols>
  <sheetData>
    <row r="1" spans="1:13" ht="15.75" x14ac:dyDescent="0.25">
      <c r="A1" s="16">
        <v>1</v>
      </c>
      <c r="B1" s="15" t="s">
        <v>362</v>
      </c>
      <c r="C1" s="139" t="s">
        <v>600</v>
      </c>
      <c r="D1" s="138" t="s">
        <v>598</v>
      </c>
      <c r="E1" s="17"/>
      <c r="F1" s="17"/>
      <c r="G1" s="17"/>
      <c r="H1" s="133" t="s">
        <v>596</v>
      </c>
      <c r="I1" s="113"/>
      <c r="J1" s="130" t="s">
        <v>310</v>
      </c>
    </row>
    <row r="2" spans="1:13" x14ac:dyDescent="0.25">
      <c r="A2" s="18"/>
      <c r="B2" s="6"/>
      <c r="C2" s="6"/>
      <c r="D2" s="6"/>
      <c r="E2" s="6"/>
      <c r="F2" s="6"/>
      <c r="G2" s="6"/>
      <c r="H2" s="19"/>
      <c r="I2" s="72" t="s">
        <v>2</v>
      </c>
      <c r="J2" s="71" t="s">
        <v>311</v>
      </c>
    </row>
    <row r="3" spans="1:13" x14ac:dyDescent="0.25">
      <c r="A3" s="20" t="s">
        <v>14</v>
      </c>
      <c r="B3" s="6" t="s">
        <v>15</v>
      </c>
      <c r="C3" s="6"/>
      <c r="D3" s="6"/>
      <c r="E3" s="6"/>
      <c r="F3" s="6"/>
      <c r="G3" s="6"/>
      <c r="H3" s="19"/>
    </row>
    <row r="4" spans="1:13" x14ac:dyDescent="0.25">
      <c r="A4" s="21">
        <f>INDEX('Point Grid'!B:B,MATCH('1'!A1,'Point Grid'!A:A,0))</f>
        <v>2.25</v>
      </c>
      <c r="B4" s="6" t="s">
        <v>16</v>
      </c>
      <c r="C4" s="6"/>
      <c r="D4" s="6"/>
      <c r="E4" s="6"/>
      <c r="F4" s="6"/>
      <c r="G4" s="6"/>
      <c r="H4" s="19"/>
    </row>
    <row r="5" spans="1:13" x14ac:dyDescent="0.25">
      <c r="A5" s="18"/>
      <c r="B5" s="6" t="s">
        <v>17</v>
      </c>
      <c r="C5" s="6"/>
      <c r="D5" s="6"/>
      <c r="E5" s="6"/>
      <c r="F5" s="6"/>
      <c r="G5" s="6"/>
      <c r="H5" s="19"/>
      <c r="J5" s="4" t="s">
        <v>312</v>
      </c>
    </row>
    <row r="6" spans="1:13" x14ac:dyDescent="0.25">
      <c r="A6" s="18"/>
      <c r="B6" s="6" t="s">
        <v>18</v>
      </c>
      <c r="C6" s="6"/>
      <c r="D6" s="6"/>
      <c r="E6" s="6"/>
      <c r="F6" s="6"/>
      <c r="G6" s="6"/>
      <c r="H6" s="19"/>
      <c r="J6" s="4" t="s">
        <v>313</v>
      </c>
    </row>
    <row r="7" spans="1:13" x14ac:dyDescent="0.25">
      <c r="A7" s="18"/>
      <c r="B7" s="6" t="s">
        <v>19</v>
      </c>
      <c r="C7" s="6"/>
      <c r="D7" s="6"/>
      <c r="E7" s="6"/>
      <c r="F7" s="6"/>
      <c r="G7" s="6"/>
      <c r="H7" s="19"/>
    </row>
    <row r="8" spans="1:13" x14ac:dyDescent="0.25">
      <c r="A8" s="18"/>
      <c r="B8" s="6" t="s">
        <v>20</v>
      </c>
      <c r="C8" s="6"/>
      <c r="D8" s="6"/>
      <c r="E8" s="6"/>
      <c r="F8" s="6"/>
      <c r="G8" s="6"/>
      <c r="H8" s="19"/>
      <c r="J8" s="4" t="s">
        <v>315</v>
      </c>
    </row>
    <row r="9" spans="1:13" x14ac:dyDescent="0.25">
      <c r="A9" s="18"/>
      <c r="B9" s="6"/>
      <c r="C9" s="6"/>
      <c r="D9" s="6"/>
      <c r="E9" s="6"/>
      <c r="F9" s="6"/>
      <c r="G9" s="6"/>
      <c r="H9" s="19"/>
      <c r="J9" s="4" t="s">
        <v>316</v>
      </c>
    </row>
    <row r="10" spans="1:13" x14ac:dyDescent="0.25">
      <c r="A10" s="18"/>
      <c r="B10" s="6" t="s">
        <v>21</v>
      </c>
      <c r="C10" s="6"/>
      <c r="D10" s="6"/>
      <c r="E10" s="6"/>
      <c r="F10" s="6"/>
      <c r="G10" s="6"/>
      <c r="H10" s="19"/>
    </row>
    <row r="11" spans="1:13" x14ac:dyDescent="0.25">
      <c r="A11" s="18"/>
      <c r="B11" s="6" t="s">
        <v>22</v>
      </c>
      <c r="C11" s="6"/>
      <c r="D11" s="6"/>
      <c r="E11" s="6"/>
      <c r="F11" s="6"/>
      <c r="G11" s="6"/>
      <c r="H11" s="19"/>
      <c r="J11" s="4" t="s">
        <v>314</v>
      </c>
    </row>
    <row r="12" spans="1:13" x14ac:dyDescent="0.25">
      <c r="A12" s="18"/>
      <c r="B12" s="6" t="s">
        <v>23</v>
      </c>
      <c r="C12" s="6"/>
      <c r="D12" s="6"/>
      <c r="E12" s="6"/>
      <c r="F12" s="6"/>
      <c r="G12" s="6"/>
      <c r="H12" s="19"/>
      <c r="J12" s="4" t="str">
        <f>"= "&amp;D22&amp;" + "&amp;C22&amp;"("&amp;F22&amp;" - "&amp;D22&amp;") + "&amp;C21&amp;"("&amp;F21&amp;" - "&amp;D21&amp;") + "&amp;C20&amp; "("&amp;F20&amp;" - "&amp;D20&amp;")"</f>
        <v>= 0.73 + 0.2(0.69 - 0.73) + 0.12(2.4 - 1.4) + 0.05(7.1 - 5.3)</v>
      </c>
    </row>
    <row r="13" spans="1:13" x14ac:dyDescent="0.25">
      <c r="A13" s="18"/>
      <c r="B13" s="6" t="s">
        <v>24</v>
      </c>
      <c r="C13" s="6"/>
      <c r="D13" s="6"/>
      <c r="E13" s="6"/>
      <c r="F13" s="6"/>
      <c r="G13" s="6"/>
      <c r="H13" s="19"/>
      <c r="I13" s="82"/>
      <c r="J13" s="160">
        <f>D22+C22*(F22-D22)+C21*(F21-D21)+C20*(F20-D20)</f>
        <v>0.93199999999999994</v>
      </c>
    </row>
    <row r="14" spans="1:13" x14ac:dyDescent="0.25">
      <c r="A14" s="18"/>
      <c r="B14" s="6"/>
      <c r="C14" s="6"/>
      <c r="D14" s="6"/>
      <c r="E14" s="6"/>
      <c r="F14" s="6"/>
      <c r="G14" s="6"/>
      <c r="H14" s="19"/>
    </row>
    <row r="15" spans="1:13" x14ac:dyDescent="0.25">
      <c r="A15" s="22" t="s">
        <v>2</v>
      </c>
      <c r="B15" s="6" t="s">
        <v>25</v>
      </c>
      <c r="C15" s="6"/>
      <c r="D15" s="6"/>
      <c r="E15" s="6"/>
      <c r="F15" s="6"/>
      <c r="G15" s="6"/>
      <c r="H15" s="19"/>
      <c r="J15" s="71" t="s">
        <v>318</v>
      </c>
    </row>
    <row r="16" spans="1:13" ht="15.75" thickBot="1" x14ac:dyDescent="0.3">
      <c r="A16" s="21">
        <f>INDEX('Point Grid'!$C$8:$I$26,MATCH($A$1,'Point Grid'!$A$8:$A$26,0),MATCH(A15,'Point Grid'!$C$7:$I$7,0))</f>
        <v>1.5</v>
      </c>
      <c r="B16" s="6" t="s">
        <v>26</v>
      </c>
      <c r="C16" s="6"/>
      <c r="D16" s="6"/>
      <c r="E16" s="6"/>
      <c r="F16" s="6"/>
      <c r="G16" s="6"/>
      <c r="H16" s="19"/>
      <c r="M16" s="4" t="s">
        <v>319</v>
      </c>
    </row>
    <row r="17" spans="1:10" ht="15.75" thickBot="1" x14ac:dyDescent="0.3">
      <c r="A17" s="5">
        <v>1.5</v>
      </c>
      <c r="B17" s="6" t="s">
        <v>27</v>
      </c>
      <c r="C17" s="6"/>
      <c r="D17" s="6"/>
      <c r="E17" s="6"/>
      <c r="F17" s="6"/>
      <c r="G17" s="6"/>
      <c r="H17" s="19"/>
    </row>
    <row r="18" spans="1:10" ht="30" customHeight="1" x14ac:dyDescent="0.25">
      <c r="A18" s="18"/>
      <c r="B18" s="7" t="s">
        <v>28</v>
      </c>
      <c r="C18" s="7" t="s">
        <v>29</v>
      </c>
      <c r="D18" s="244" t="s">
        <v>30</v>
      </c>
      <c r="E18" s="244"/>
      <c r="F18" s="244" t="s">
        <v>31</v>
      </c>
      <c r="G18" s="244"/>
      <c r="H18" s="19"/>
      <c r="J18" s="4" t="s">
        <v>314</v>
      </c>
    </row>
    <row r="19" spans="1:10" x14ac:dyDescent="0.25">
      <c r="A19" s="18"/>
      <c r="B19" s="8" t="s">
        <v>32</v>
      </c>
      <c r="C19" s="8" t="s">
        <v>36</v>
      </c>
      <c r="D19" s="8"/>
      <c r="E19" s="8"/>
      <c r="F19" s="8"/>
      <c r="G19" s="8"/>
      <c r="H19" s="19"/>
      <c r="J19" s="4" t="str">
        <f>"= 0.3 * "&amp;F22&amp;" + (1 - 0.3) * "&amp;D22</f>
        <v>= 0.3 * 0.69 + (1 - 0.3) * 0.73</v>
      </c>
    </row>
    <row r="20" spans="1:10" x14ac:dyDescent="0.25">
      <c r="A20" s="18"/>
      <c r="B20" s="8" t="s">
        <v>33</v>
      </c>
      <c r="C20" s="9">
        <v>0.05</v>
      </c>
      <c r="D20" s="245">
        <v>5.3</v>
      </c>
      <c r="E20" s="245"/>
      <c r="F20" s="245">
        <v>7.1</v>
      </c>
      <c r="G20" s="245"/>
      <c r="H20" s="19"/>
      <c r="J20" s="160">
        <f>0.3*F22+(1-0.3)*D22</f>
        <v>0.71799999999999997</v>
      </c>
    </row>
    <row r="21" spans="1:10" x14ac:dyDescent="0.25">
      <c r="A21" s="18"/>
      <c r="B21" s="8" t="s">
        <v>34</v>
      </c>
      <c r="C21" s="9">
        <v>0.12</v>
      </c>
      <c r="D21" s="245">
        <v>1.4</v>
      </c>
      <c r="E21" s="245"/>
      <c r="F21" s="245">
        <v>2.4</v>
      </c>
      <c r="G21" s="245"/>
      <c r="H21" s="19"/>
    </row>
    <row r="22" spans="1:10" x14ac:dyDescent="0.25">
      <c r="A22" s="18"/>
      <c r="B22" s="7" t="s">
        <v>35</v>
      </c>
      <c r="C22" s="10">
        <v>0.2</v>
      </c>
      <c r="D22" s="246">
        <v>0.73</v>
      </c>
      <c r="E22" s="246"/>
      <c r="F22" s="246">
        <v>0.69</v>
      </c>
      <c r="G22" s="246"/>
      <c r="H22" s="19"/>
      <c r="I22" s="72" t="s">
        <v>3</v>
      </c>
      <c r="J22" s="4" t="s">
        <v>320</v>
      </c>
    </row>
    <row r="23" spans="1:10" x14ac:dyDescent="0.25">
      <c r="A23" s="18"/>
      <c r="B23" s="6"/>
      <c r="C23" s="6"/>
      <c r="D23" s="6"/>
      <c r="E23" s="6"/>
      <c r="F23" s="6"/>
      <c r="G23" s="6"/>
      <c r="H23" s="19"/>
      <c r="J23" s="4" t="s">
        <v>321</v>
      </c>
    </row>
    <row r="24" spans="1:10" x14ac:dyDescent="0.25">
      <c r="A24" s="18"/>
      <c r="B24" s="11" t="s">
        <v>37</v>
      </c>
      <c r="C24" s="6"/>
      <c r="D24" s="6"/>
      <c r="E24" s="6"/>
      <c r="F24" s="6"/>
      <c r="G24" s="6"/>
      <c r="H24" s="19"/>
      <c r="J24" s="4" t="s">
        <v>322</v>
      </c>
    </row>
    <row r="25" spans="1:10" x14ac:dyDescent="0.25">
      <c r="A25" s="18"/>
      <c r="B25" s="11" t="s">
        <v>38</v>
      </c>
      <c r="C25" s="6"/>
      <c r="D25" s="6"/>
      <c r="E25" s="6"/>
      <c r="F25" s="6"/>
      <c r="G25" s="6"/>
      <c r="H25" s="19"/>
      <c r="J25" s="4" t="s">
        <v>323</v>
      </c>
    </row>
    <row r="26" spans="1:10" x14ac:dyDescent="0.25">
      <c r="A26" s="18"/>
      <c r="B26" s="6"/>
      <c r="C26" s="6"/>
      <c r="D26" s="6"/>
      <c r="E26" s="6"/>
      <c r="F26" s="6"/>
      <c r="G26" s="6"/>
      <c r="H26" s="19"/>
      <c r="J26" s="4" t="s">
        <v>324</v>
      </c>
    </row>
    <row r="27" spans="1:10" x14ac:dyDescent="0.25">
      <c r="A27" s="22" t="s">
        <v>3</v>
      </c>
      <c r="B27" s="6" t="s">
        <v>39</v>
      </c>
      <c r="C27" s="6"/>
      <c r="D27" s="6"/>
      <c r="E27" s="6"/>
      <c r="F27" s="6"/>
      <c r="G27" s="6"/>
      <c r="H27" s="19"/>
      <c r="J27" s="4" t="s">
        <v>325</v>
      </c>
    </row>
    <row r="28" spans="1:10" ht="15.75" thickBot="1" x14ac:dyDescent="0.3">
      <c r="A28" s="21">
        <f>INDEX('Point Grid'!$C$8:$I$26,MATCH($A$1,'Point Grid'!$A$8:$A$26,0),MATCH(A27,'Point Grid'!$C$7:$I$7,0))</f>
        <v>0.75</v>
      </c>
      <c r="B28" s="6" t="s">
        <v>40</v>
      </c>
      <c r="C28" s="6"/>
      <c r="D28" s="6"/>
      <c r="E28" s="6"/>
      <c r="F28" s="6"/>
      <c r="G28" s="6"/>
      <c r="H28" s="19"/>
    </row>
    <row r="29" spans="1:10" ht="15.75" thickBot="1" x14ac:dyDescent="0.3">
      <c r="A29" s="5">
        <v>0.75</v>
      </c>
      <c r="B29" s="24"/>
      <c r="C29" s="24"/>
      <c r="D29" s="24"/>
      <c r="E29" s="24"/>
      <c r="F29" s="24"/>
      <c r="G29" s="24"/>
      <c r="H29" s="25"/>
    </row>
  </sheetData>
  <sheetProtection formatCells="0" formatColumns="0" formatRows="0"/>
  <mergeCells count="8">
    <mergeCell ref="D18:E18"/>
    <mergeCell ref="F18:G18"/>
    <mergeCell ref="D20:E20"/>
    <mergeCell ref="D21:E21"/>
    <mergeCell ref="D22:E22"/>
    <mergeCell ref="F20:G20"/>
    <mergeCell ref="F21:G21"/>
    <mergeCell ref="F22:G22"/>
  </mergeCells>
  <conditionalFormatting sqref="B1">
    <cfRule type="cellIs" dxfId="66" priority="1" operator="equal">
      <formula>"Incomplete"</formula>
    </cfRule>
    <cfRule type="cellIs" dxfId="65" priority="2" operator="equal">
      <formula>"Flag for Review"</formula>
    </cfRule>
    <cfRule type="cellIs" dxfId="64" priority="3" operator="equal">
      <formula>"Finished"</formula>
    </cfRule>
  </conditionalFormatting>
  <dataValidations count="2">
    <dataValidation type="list" allowBlank="1" showInputMessage="1" showErrorMessage="1" sqref="B1" xr:uid="{AF040C7E-0FF5-4F3F-ACA5-0DE097DBE995}">
      <formula1>"Finished, Flag for Review, Incomplete"</formula1>
    </dataValidation>
    <dataValidation type="decimal" allowBlank="1" showInputMessage="1" showErrorMessage="1" sqref="A17 A29" xr:uid="{83CEE10D-8878-43F3-A40E-F39AA0732B37}">
      <formula1>0</formula1>
      <formula2>A16</formula2>
    </dataValidation>
  </dataValidations>
  <hyperlinks>
    <hyperlink ref="H1" location="Navigator!A1" display="Navigator" xr:uid="{0DCB4232-C57C-488C-A34D-F145C457932D}"/>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45ACB-22BC-4FE9-8246-2C7C2ABC1511}">
  <sheetPr codeName="Sheet4"/>
  <dimension ref="A1:O51"/>
  <sheetViews>
    <sheetView workbookViewId="0"/>
  </sheetViews>
  <sheetFormatPr defaultColWidth="9.140625" defaultRowHeight="15" x14ac:dyDescent="0.25"/>
  <cols>
    <col min="1" max="1" width="6.5703125" style="4" bestFit="1" customWidth="1"/>
    <col min="2" max="2" width="16" style="4" bestFit="1" customWidth="1"/>
    <col min="3" max="3" width="12.42578125" style="4" bestFit="1" customWidth="1"/>
    <col min="4" max="4" width="11.85546875" style="4" customWidth="1"/>
    <col min="5" max="7" width="9.140625" style="4"/>
    <col min="8" max="8" width="11.42578125" style="4" customWidth="1"/>
    <col min="9" max="11" width="9.140625" style="4"/>
    <col min="12" max="12" width="7.28515625" style="4" customWidth="1"/>
    <col min="13" max="13" width="3.7109375" style="72" customWidth="1"/>
    <col min="14" max="14" width="9.140625" style="4"/>
    <col min="15" max="15" width="15.85546875" style="4" bestFit="1" customWidth="1"/>
    <col min="16" max="16384" width="9.140625" style="4"/>
  </cols>
  <sheetData>
    <row r="1" spans="1:15" ht="15.75" x14ac:dyDescent="0.25">
      <c r="A1" s="16">
        <v>2</v>
      </c>
      <c r="B1" s="15" t="s">
        <v>362</v>
      </c>
      <c r="C1" s="139" t="s">
        <v>600</v>
      </c>
      <c r="D1" s="138" t="s">
        <v>599</v>
      </c>
      <c r="E1" s="17"/>
      <c r="F1" s="17"/>
      <c r="G1" s="17"/>
      <c r="H1" s="17"/>
      <c r="I1" s="17"/>
      <c r="J1" s="17"/>
      <c r="K1" s="247" t="s">
        <v>596</v>
      </c>
      <c r="L1" s="248"/>
      <c r="M1" s="114"/>
      <c r="N1" s="130" t="s">
        <v>310</v>
      </c>
    </row>
    <row r="2" spans="1:15" x14ac:dyDescent="0.25">
      <c r="A2" s="18"/>
      <c r="B2" s="6"/>
      <c r="C2" s="6"/>
      <c r="D2" s="6"/>
      <c r="E2" s="6"/>
      <c r="F2" s="6"/>
      <c r="G2" s="6"/>
      <c r="H2" s="6"/>
      <c r="I2" s="6"/>
      <c r="J2" s="6"/>
      <c r="K2" s="6"/>
      <c r="L2" s="19"/>
      <c r="M2" s="72" t="s">
        <v>2</v>
      </c>
      <c r="N2" s="4" t="s">
        <v>328</v>
      </c>
    </row>
    <row r="3" spans="1:15" x14ac:dyDescent="0.25">
      <c r="A3" s="20" t="s">
        <v>14</v>
      </c>
      <c r="B3" s="6" t="s">
        <v>55</v>
      </c>
      <c r="C3" s="6"/>
      <c r="D3" s="6"/>
      <c r="E3" s="6"/>
      <c r="F3" s="6"/>
      <c r="G3" s="6"/>
      <c r="H3" s="6"/>
      <c r="I3" s="6"/>
      <c r="J3" s="6"/>
      <c r="K3" s="6"/>
      <c r="L3" s="19"/>
      <c r="N3" s="4" t="s">
        <v>329</v>
      </c>
    </row>
    <row r="4" spans="1:15" x14ac:dyDescent="0.25">
      <c r="A4" s="21">
        <f>INDEX('Point Grid'!B:B,MATCH('2'!A1,'Point Grid'!A:A,0))</f>
        <v>2.75</v>
      </c>
      <c r="B4" s="6" t="s">
        <v>56</v>
      </c>
      <c r="C4" s="6"/>
      <c r="D4" s="6"/>
      <c r="E4" s="6"/>
      <c r="F4" s="6"/>
      <c r="G4" s="6"/>
      <c r="H4" s="6"/>
      <c r="I4" s="6"/>
      <c r="J4" s="6"/>
      <c r="K4" s="6"/>
      <c r="L4" s="19"/>
      <c r="N4" s="4" t="s">
        <v>330</v>
      </c>
    </row>
    <row r="5" spans="1:15" x14ac:dyDescent="0.25">
      <c r="A5" s="18"/>
      <c r="B5" s="6" t="s">
        <v>57</v>
      </c>
      <c r="C5" s="6"/>
      <c r="D5" s="6"/>
      <c r="E5" s="6"/>
      <c r="F5" s="6"/>
      <c r="G5" s="6"/>
      <c r="H5" s="6"/>
      <c r="I5" s="6"/>
      <c r="J5" s="6"/>
      <c r="K5" s="6"/>
      <c r="L5" s="19"/>
      <c r="N5" s="73" t="s">
        <v>326</v>
      </c>
      <c r="O5" s="73" t="s">
        <v>327</v>
      </c>
    </row>
    <row r="6" spans="1:15" ht="30" x14ac:dyDescent="0.25">
      <c r="A6" s="18"/>
      <c r="B6" s="6"/>
      <c r="C6" s="6"/>
      <c r="D6" s="115" t="s">
        <v>42</v>
      </c>
      <c r="E6" s="115" t="s">
        <v>43</v>
      </c>
      <c r="F6" s="115" t="s">
        <v>44</v>
      </c>
      <c r="G6" s="115" t="s">
        <v>45</v>
      </c>
      <c r="H6" s="115" t="s">
        <v>46</v>
      </c>
      <c r="I6" s="6"/>
      <c r="J6" s="6"/>
      <c r="K6" s="6"/>
      <c r="L6" s="19"/>
      <c r="N6" s="73">
        <v>3</v>
      </c>
      <c r="O6" s="74">
        <f>E9/H9</f>
        <v>0</v>
      </c>
    </row>
    <row r="7" spans="1:15" x14ac:dyDescent="0.25">
      <c r="A7" s="18"/>
      <c r="B7" s="6"/>
      <c r="C7" s="6"/>
      <c r="D7" s="13">
        <v>1</v>
      </c>
      <c r="E7" s="14">
        <v>1500</v>
      </c>
      <c r="F7" s="13">
        <v>825</v>
      </c>
      <c r="G7" s="13">
        <v>900</v>
      </c>
      <c r="H7" s="14">
        <v>1800</v>
      </c>
      <c r="I7" s="6"/>
      <c r="J7" s="6"/>
      <c r="K7" s="6"/>
      <c r="L7" s="19"/>
      <c r="N7" s="73">
        <v>2</v>
      </c>
      <c r="O7" s="74">
        <f>E8/H8</f>
        <v>0.46551724137931033</v>
      </c>
    </row>
    <row r="8" spans="1:15" x14ac:dyDescent="0.25">
      <c r="A8" s="18"/>
      <c r="B8" s="6"/>
      <c r="C8" s="6"/>
      <c r="D8" s="13">
        <v>2</v>
      </c>
      <c r="E8" s="13">
        <v>675</v>
      </c>
      <c r="F8" s="13">
        <v>765</v>
      </c>
      <c r="G8" s="13">
        <v>800</v>
      </c>
      <c r="H8" s="14">
        <v>1450</v>
      </c>
      <c r="I8" s="6"/>
      <c r="J8" s="6"/>
      <c r="K8" s="6"/>
      <c r="L8" s="19"/>
      <c r="N8" s="73">
        <v>1</v>
      </c>
      <c r="O8" s="74">
        <f>E7/H7</f>
        <v>0.83333333333333337</v>
      </c>
    </row>
    <row r="9" spans="1:15" x14ac:dyDescent="0.25">
      <c r="A9" s="18"/>
      <c r="B9" s="6"/>
      <c r="C9" s="6"/>
      <c r="D9" s="13">
        <v>3</v>
      </c>
      <c r="E9" s="13">
        <v>0</v>
      </c>
      <c r="F9" s="13">
        <v>615</v>
      </c>
      <c r="G9" s="13">
        <v>350</v>
      </c>
      <c r="H9" s="14">
        <v>2375</v>
      </c>
      <c r="I9" s="6"/>
      <c r="J9" s="6"/>
      <c r="K9" s="6"/>
      <c r="L9" s="19"/>
      <c r="N9" s="73">
        <v>4</v>
      </c>
      <c r="O9" s="74">
        <f>E10/H10</f>
        <v>0.8571428571428571</v>
      </c>
    </row>
    <row r="10" spans="1:15" x14ac:dyDescent="0.25">
      <c r="A10" s="18"/>
      <c r="B10" s="6"/>
      <c r="C10" s="6"/>
      <c r="D10" s="13">
        <v>4</v>
      </c>
      <c r="E10" s="14">
        <v>2250</v>
      </c>
      <c r="F10" s="13">
        <v>900</v>
      </c>
      <c r="G10" s="14">
        <v>3000</v>
      </c>
      <c r="H10" s="14">
        <v>2625</v>
      </c>
      <c r="I10" s="6"/>
      <c r="J10" s="6"/>
      <c r="K10" s="6"/>
      <c r="L10" s="19"/>
      <c r="N10" s="73">
        <v>5</v>
      </c>
      <c r="O10" s="74">
        <f>E11/H11</f>
        <v>1.0256410256410255</v>
      </c>
    </row>
    <row r="11" spans="1:15" x14ac:dyDescent="0.25">
      <c r="A11" s="18"/>
      <c r="B11" s="6"/>
      <c r="C11" s="6"/>
      <c r="D11" s="13">
        <v>5</v>
      </c>
      <c r="E11" s="14">
        <v>5000</v>
      </c>
      <c r="F11" s="14">
        <v>1050</v>
      </c>
      <c r="G11" s="14">
        <v>3700</v>
      </c>
      <c r="H11" s="14">
        <v>4875</v>
      </c>
      <c r="I11" s="6"/>
      <c r="J11" s="6"/>
      <c r="K11" s="6"/>
      <c r="L11" s="19"/>
    </row>
    <row r="12" spans="1:15" x14ac:dyDescent="0.25">
      <c r="A12" s="18"/>
      <c r="B12" s="6"/>
      <c r="C12" s="6"/>
      <c r="D12" s="6"/>
      <c r="E12" s="6"/>
      <c r="F12" s="6"/>
      <c r="G12" s="6"/>
      <c r="H12" s="6"/>
      <c r="I12" s="6"/>
      <c r="J12" s="6"/>
      <c r="K12" s="6"/>
      <c r="L12" s="19"/>
      <c r="N12" s="4" t="s">
        <v>331</v>
      </c>
    </row>
    <row r="13" spans="1:15" x14ac:dyDescent="0.25">
      <c r="A13" s="18"/>
      <c r="B13" s="6"/>
      <c r="C13" s="6"/>
      <c r="D13" s="6"/>
      <c r="E13" s="6"/>
      <c r="F13" s="6"/>
      <c r="G13" s="6"/>
      <c r="H13" s="6"/>
      <c r="I13" s="6"/>
      <c r="J13" s="6"/>
      <c r="K13" s="6"/>
      <c r="L13" s="19"/>
    </row>
    <row r="14" spans="1:15" x14ac:dyDescent="0.25">
      <c r="A14" s="18"/>
      <c r="B14" s="6"/>
      <c r="C14" s="6"/>
      <c r="D14" s="6"/>
      <c r="E14" s="6"/>
      <c r="F14" s="6"/>
      <c r="G14" s="6"/>
      <c r="H14" s="6"/>
      <c r="I14" s="6"/>
      <c r="J14" s="6"/>
      <c r="K14" s="6"/>
      <c r="L14" s="19"/>
    </row>
    <row r="15" spans="1:15" x14ac:dyDescent="0.25">
      <c r="A15" s="18"/>
      <c r="B15" s="6"/>
      <c r="C15" s="6"/>
      <c r="D15" s="6"/>
      <c r="E15" s="6"/>
      <c r="F15" s="6"/>
      <c r="G15" s="6"/>
      <c r="H15" s="6"/>
      <c r="I15" s="6"/>
      <c r="J15" s="6"/>
      <c r="K15" s="6"/>
      <c r="L15" s="19"/>
    </row>
    <row r="16" spans="1:15" x14ac:dyDescent="0.25">
      <c r="A16" s="18"/>
      <c r="B16" s="6"/>
      <c r="C16" s="6"/>
      <c r="D16" s="6"/>
      <c r="E16" s="6"/>
      <c r="F16" s="6"/>
      <c r="G16" s="6"/>
      <c r="H16" s="6"/>
      <c r="I16" s="6"/>
      <c r="J16" s="6"/>
      <c r="K16" s="6"/>
      <c r="L16" s="19"/>
    </row>
    <row r="17" spans="1:14" x14ac:dyDescent="0.25">
      <c r="A17" s="18"/>
      <c r="B17" s="6"/>
      <c r="C17" s="6"/>
      <c r="D17" s="6"/>
      <c r="E17" s="6"/>
      <c r="F17" s="6"/>
      <c r="G17" s="6"/>
      <c r="H17" s="6"/>
      <c r="I17" s="6"/>
      <c r="J17" s="6"/>
      <c r="K17" s="6"/>
      <c r="L17" s="19"/>
    </row>
    <row r="18" spans="1:14" x14ac:dyDescent="0.25">
      <c r="A18" s="18"/>
      <c r="B18" s="6"/>
      <c r="C18" s="6"/>
      <c r="D18" s="6"/>
      <c r="E18" s="6"/>
      <c r="F18" s="6"/>
      <c r="G18" s="6"/>
      <c r="H18" s="6"/>
      <c r="I18" s="6"/>
      <c r="J18" s="6"/>
      <c r="K18" s="6"/>
      <c r="L18" s="19"/>
    </row>
    <row r="19" spans="1:14" x14ac:dyDescent="0.25">
      <c r="A19" s="18"/>
      <c r="B19" s="6"/>
      <c r="C19" s="6"/>
      <c r="D19" s="6"/>
      <c r="E19" s="6"/>
      <c r="F19" s="6"/>
      <c r="G19" s="6"/>
      <c r="H19" s="6"/>
      <c r="I19" s="6"/>
      <c r="J19" s="6"/>
      <c r="K19" s="6"/>
      <c r="L19" s="19"/>
    </row>
    <row r="20" spans="1:14" x14ac:dyDescent="0.25">
      <c r="A20" s="18"/>
      <c r="B20" s="6"/>
      <c r="C20" s="6"/>
      <c r="D20" s="6"/>
      <c r="E20" s="6"/>
      <c r="F20" s="6"/>
      <c r="G20" s="6"/>
      <c r="H20" s="6"/>
      <c r="I20" s="6"/>
      <c r="J20" s="6"/>
      <c r="K20" s="6"/>
      <c r="L20" s="19"/>
    </row>
    <row r="21" spans="1:14" x14ac:dyDescent="0.25">
      <c r="A21" s="18"/>
      <c r="B21" s="6"/>
      <c r="C21" s="6"/>
      <c r="D21" s="6"/>
      <c r="E21" s="6"/>
      <c r="F21" s="6"/>
      <c r="G21" s="6"/>
      <c r="H21" s="6"/>
      <c r="I21" s="6"/>
      <c r="J21" s="6"/>
      <c r="K21" s="6"/>
      <c r="L21" s="19"/>
    </row>
    <row r="22" spans="1:14" x14ac:dyDescent="0.25">
      <c r="A22" s="18"/>
      <c r="B22" s="6"/>
      <c r="C22" s="6"/>
      <c r="D22" s="6"/>
      <c r="E22" s="6"/>
      <c r="F22" s="6"/>
      <c r="G22" s="6"/>
      <c r="H22" s="6"/>
      <c r="I22" s="6"/>
      <c r="J22" s="6"/>
      <c r="K22" s="6"/>
      <c r="L22" s="19"/>
    </row>
    <row r="23" spans="1:14" x14ac:dyDescent="0.25">
      <c r="A23" s="18"/>
      <c r="B23" s="6"/>
      <c r="C23" s="6"/>
      <c r="D23" s="6"/>
      <c r="E23" s="6"/>
      <c r="F23" s="6"/>
      <c r="G23" s="6"/>
      <c r="H23" s="6"/>
      <c r="I23" s="6"/>
      <c r="J23" s="6"/>
      <c r="K23" s="6"/>
      <c r="L23" s="19"/>
    </row>
    <row r="24" spans="1:14" x14ac:dyDescent="0.25">
      <c r="A24" s="18"/>
      <c r="B24" s="6"/>
      <c r="C24" s="6"/>
      <c r="D24" s="6"/>
      <c r="E24" s="6"/>
      <c r="F24" s="6"/>
      <c r="G24" s="6"/>
      <c r="H24" s="6"/>
      <c r="I24" s="6"/>
      <c r="J24" s="6"/>
      <c r="K24" s="6"/>
      <c r="L24" s="19"/>
    </row>
    <row r="25" spans="1:14" x14ac:dyDescent="0.25">
      <c r="A25" s="18"/>
      <c r="B25" s="6"/>
      <c r="C25" s="6"/>
      <c r="D25" s="6"/>
      <c r="E25" s="6"/>
      <c r="F25" s="6"/>
      <c r="G25" s="6"/>
      <c r="H25" s="6"/>
      <c r="I25" s="6"/>
      <c r="J25" s="6"/>
      <c r="K25" s="6"/>
      <c r="L25" s="19"/>
      <c r="M25" s="72" t="s">
        <v>3</v>
      </c>
      <c r="N25" s="4" t="s">
        <v>333</v>
      </c>
    </row>
    <row r="26" spans="1:14" x14ac:dyDescent="0.25">
      <c r="A26" s="18"/>
      <c r="B26" s="6"/>
      <c r="C26" s="6"/>
      <c r="D26" s="6"/>
      <c r="E26" s="6"/>
      <c r="F26" s="6"/>
      <c r="G26" s="6"/>
      <c r="H26" s="6"/>
      <c r="I26" s="6"/>
      <c r="J26" s="6"/>
      <c r="K26" s="6"/>
      <c r="L26" s="19"/>
      <c r="N26" s="4" t="s">
        <v>332</v>
      </c>
    </row>
    <row r="27" spans="1:14" x14ac:dyDescent="0.25">
      <c r="A27" s="18"/>
      <c r="B27" s="6"/>
      <c r="C27" s="6"/>
      <c r="D27" s="6"/>
      <c r="E27" s="6"/>
      <c r="F27" s="6"/>
      <c r="G27" s="6"/>
      <c r="H27" s="6"/>
      <c r="I27" s="6"/>
      <c r="J27" s="6"/>
      <c r="K27" s="6"/>
      <c r="L27" s="19"/>
      <c r="N27" s="4" t="s">
        <v>334</v>
      </c>
    </row>
    <row r="28" spans="1:14" x14ac:dyDescent="0.25">
      <c r="A28" s="18"/>
      <c r="B28" s="6"/>
      <c r="C28" s="6"/>
      <c r="D28" s="6"/>
      <c r="E28" s="6"/>
      <c r="F28" s="6"/>
      <c r="G28" s="6"/>
      <c r="H28" s="6"/>
      <c r="I28" s="6"/>
      <c r="J28" s="6"/>
      <c r="K28" s="6"/>
      <c r="L28" s="19"/>
      <c r="N28" s="4" t="s">
        <v>335</v>
      </c>
    </row>
    <row r="29" spans="1:14" x14ac:dyDescent="0.25">
      <c r="A29" s="18"/>
      <c r="B29" s="6"/>
      <c r="C29" s="6"/>
      <c r="D29" s="6"/>
      <c r="E29" s="6"/>
      <c r="F29" s="6"/>
      <c r="G29" s="6"/>
      <c r="H29" s="6"/>
      <c r="I29" s="6"/>
      <c r="J29" s="6"/>
      <c r="K29" s="6"/>
      <c r="L29" s="19"/>
      <c r="N29" s="4" t="s">
        <v>336</v>
      </c>
    </row>
    <row r="30" spans="1:14" x14ac:dyDescent="0.25">
      <c r="A30" s="18"/>
      <c r="B30" s="6"/>
      <c r="C30" s="6"/>
      <c r="D30" s="6"/>
      <c r="E30" s="6"/>
      <c r="F30" s="6"/>
      <c r="G30" s="6"/>
      <c r="H30" s="6"/>
      <c r="I30" s="6"/>
      <c r="J30" s="6"/>
      <c r="K30" s="6"/>
      <c r="L30" s="19"/>
      <c r="N30" s="4" t="s">
        <v>337</v>
      </c>
    </row>
    <row r="31" spans="1:14" x14ac:dyDescent="0.25">
      <c r="A31" s="18"/>
      <c r="B31" s="6"/>
      <c r="C31" s="6"/>
      <c r="D31" s="6"/>
      <c r="E31" s="6"/>
      <c r="F31" s="6"/>
      <c r="G31" s="6"/>
      <c r="H31" s="6"/>
      <c r="I31" s="6"/>
      <c r="J31" s="6"/>
      <c r="K31" s="6"/>
      <c r="L31" s="19"/>
    </row>
    <row r="32" spans="1:14" x14ac:dyDescent="0.25">
      <c r="A32" s="18"/>
      <c r="B32" s="6"/>
      <c r="C32" s="6"/>
      <c r="D32" s="6"/>
      <c r="E32" s="6"/>
      <c r="F32" s="6"/>
      <c r="G32" s="6"/>
      <c r="H32" s="6"/>
      <c r="I32" s="6"/>
      <c r="J32" s="6"/>
      <c r="K32" s="6"/>
      <c r="L32" s="19"/>
      <c r="M32" s="72" t="s">
        <v>4</v>
      </c>
      <c r="N32" s="4" t="s">
        <v>340</v>
      </c>
    </row>
    <row r="33" spans="1:14" x14ac:dyDescent="0.25">
      <c r="A33" s="18"/>
      <c r="B33" s="6"/>
      <c r="C33" s="6"/>
      <c r="D33" s="6"/>
      <c r="E33" s="6"/>
      <c r="F33" s="6"/>
      <c r="G33" s="6"/>
      <c r="H33" s="6"/>
      <c r="I33" s="6"/>
      <c r="J33" s="6"/>
      <c r="K33" s="6"/>
      <c r="L33" s="19"/>
      <c r="N33" s="4" t="s">
        <v>338</v>
      </c>
    </row>
    <row r="34" spans="1:14" x14ac:dyDescent="0.25">
      <c r="A34" s="18"/>
      <c r="B34" s="6"/>
      <c r="C34" s="6"/>
      <c r="D34" s="6"/>
      <c r="E34" s="6"/>
      <c r="F34" s="6"/>
      <c r="G34" s="6"/>
      <c r="H34" s="6"/>
      <c r="I34" s="6"/>
      <c r="J34" s="6"/>
      <c r="K34" s="6"/>
      <c r="L34" s="19"/>
      <c r="N34" s="4" t="s">
        <v>339</v>
      </c>
    </row>
    <row r="35" spans="1:14" x14ac:dyDescent="0.25">
      <c r="A35" s="18"/>
      <c r="B35" s="6"/>
      <c r="C35" s="6"/>
      <c r="D35" s="6"/>
      <c r="E35" s="6"/>
      <c r="F35" s="6"/>
      <c r="G35" s="6"/>
      <c r="H35" s="6"/>
      <c r="I35" s="6"/>
      <c r="J35" s="6"/>
      <c r="K35" s="6"/>
      <c r="L35" s="19"/>
      <c r="N35" s="4" t="s">
        <v>341</v>
      </c>
    </row>
    <row r="36" spans="1:14" x14ac:dyDescent="0.25">
      <c r="A36" s="18"/>
      <c r="B36" s="6"/>
      <c r="C36" s="6"/>
      <c r="D36" s="6"/>
      <c r="E36" s="6"/>
      <c r="F36" s="6"/>
      <c r="G36" s="6"/>
      <c r="H36" s="6"/>
      <c r="I36" s="6"/>
      <c r="J36" s="6"/>
      <c r="K36" s="6"/>
      <c r="L36" s="19"/>
      <c r="N36" s="4" t="s">
        <v>342</v>
      </c>
    </row>
    <row r="37" spans="1:14" x14ac:dyDescent="0.25">
      <c r="A37" s="18"/>
      <c r="B37" s="6" t="s">
        <v>47</v>
      </c>
      <c r="C37" s="6"/>
      <c r="D37" s="6"/>
      <c r="E37" s="6"/>
      <c r="F37" s="6"/>
      <c r="G37" s="6"/>
      <c r="H37" s="6"/>
      <c r="I37" s="6"/>
      <c r="J37" s="6"/>
      <c r="K37" s="6"/>
      <c r="L37" s="19"/>
      <c r="N37" s="4" t="s">
        <v>343</v>
      </c>
    </row>
    <row r="38" spans="1:14" x14ac:dyDescent="0.25">
      <c r="A38" s="18"/>
      <c r="B38" s="6" t="s">
        <v>48</v>
      </c>
      <c r="C38" s="6"/>
      <c r="D38" s="6"/>
      <c r="E38" s="6"/>
      <c r="F38" s="6"/>
      <c r="G38" s="6"/>
      <c r="H38" s="6"/>
      <c r="I38" s="6"/>
      <c r="J38" s="6"/>
      <c r="K38" s="6"/>
      <c r="L38" s="19"/>
      <c r="N38" s="4" t="s">
        <v>344</v>
      </c>
    </row>
    <row r="39" spans="1:14" x14ac:dyDescent="0.25">
      <c r="A39" s="18"/>
      <c r="B39" s="6" t="s">
        <v>49</v>
      </c>
      <c r="C39" s="6"/>
      <c r="D39" s="6"/>
      <c r="E39" s="6"/>
      <c r="F39" s="6"/>
      <c r="G39" s="6"/>
      <c r="H39" s="6"/>
      <c r="I39" s="6"/>
      <c r="J39" s="6"/>
      <c r="K39" s="6"/>
      <c r="L39" s="19"/>
      <c r="N39" s="4" t="s">
        <v>345</v>
      </c>
    </row>
    <row r="40" spans="1:14" x14ac:dyDescent="0.25">
      <c r="A40" s="18"/>
      <c r="B40" s="6"/>
      <c r="C40" s="6"/>
      <c r="D40" s="6"/>
      <c r="E40" s="6"/>
      <c r="F40" s="6"/>
      <c r="G40" s="6"/>
      <c r="H40" s="6"/>
      <c r="I40" s="6"/>
      <c r="J40" s="6"/>
      <c r="K40" s="6"/>
      <c r="L40" s="19"/>
      <c r="N40" s="4" t="s">
        <v>346</v>
      </c>
    </row>
    <row r="41" spans="1:14" x14ac:dyDescent="0.25">
      <c r="A41" s="22" t="s">
        <v>2</v>
      </c>
      <c r="B41" s="6" t="s">
        <v>50</v>
      </c>
      <c r="C41" s="6"/>
      <c r="D41" s="6"/>
      <c r="E41" s="6"/>
      <c r="F41" s="6"/>
      <c r="G41" s="6"/>
      <c r="H41" s="6"/>
      <c r="I41" s="6"/>
      <c r="J41" s="6"/>
      <c r="K41" s="6"/>
      <c r="L41" s="19"/>
    </row>
    <row r="42" spans="1:14" ht="15.75" thickBot="1" x14ac:dyDescent="0.3">
      <c r="A42" s="21">
        <f>INDEX('Point Grid'!$C$8:$I$26,MATCH($A$1,'Point Grid'!$A$8:$A$26,0),MATCH(A41,'Point Grid'!$C$7:$I$7,0))</f>
        <v>1</v>
      </c>
      <c r="B42" s="6"/>
      <c r="C42" s="6"/>
      <c r="D42" s="6"/>
      <c r="E42" s="6"/>
      <c r="F42" s="6"/>
      <c r="G42" s="6"/>
      <c r="H42" s="6"/>
      <c r="I42" s="6"/>
      <c r="J42" s="6"/>
      <c r="K42" s="6"/>
      <c r="L42" s="19"/>
    </row>
    <row r="43" spans="1:14" ht="15.75" thickBot="1" x14ac:dyDescent="0.3">
      <c r="A43" s="5">
        <v>1</v>
      </c>
      <c r="B43" s="6"/>
      <c r="C43" s="6"/>
      <c r="D43" s="6"/>
      <c r="E43" s="6"/>
      <c r="F43" s="6"/>
      <c r="G43" s="6"/>
      <c r="H43" s="6"/>
      <c r="I43" s="6"/>
      <c r="J43" s="6"/>
      <c r="K43" s="6"/>
      <c r="L43" s="19"/>
    </row>
    <row r="44" spans="1:14" x14ac:dyDescent="0.25">
      <c r="A44" s="6"/>
      <c r="B44" s="6"/>
      <c r="C44" s="6"/>
      <c r="D44" s="6"/>
      <c r="E44" s="6"/>
      <c r="F44" s="6"/>
      <c r="G44" s="6"/>
      <c r="H44" s="6"/>
      <c r="I44" s="6"/>
      <c r="J44" s="6"/>
      <c r="K44" s="6"/>
      <c r="L44" s="19"/>
    </row>
    <row r="45" spans="1:14" x14ac:dyDescent="0.25">
      <c r="A45" s="22" t="s">
        <v>3</v>
      </c>
      <c r="B45" s="6" t="s">
        <v>51</v>
      </c>
      <c r="C45" s="6"/>
      <c r="D45" s="6"/>
      <c r="E45" s="6"/>
      <c r="F45" s="6"/>
      <c r="G45" s="6"/>
      <c r="H45" s="6"/>
      <c r="I45" s="6"/>
      <c r="J45" s="6"/>
      <c r="K45" s="6"/>
      <c r="L45" s="19"/>
    </row>
    <row r="46" spans="1:14" ht="15.75" thickBot="1" x14ac:dyDescent="0.3">
      <c r="A46" s="21">
        <f>INDEX('Point Grid'!$C$8:$I$26,MATCH($A$1,'Point Grid'!$A$8:$A$26,0),MATCH(A45,'Point Grid'!$C$7:$I$7,0))</f>
        <v>0.75</v>
      </c>
      <c r="B46" s="6" t="s">
        <v>52</v>
      </c>
      <c r="C46" s="6"/>
      <c r="D46" s="6"/>
      <c r="E46" s="6"/>
      <c r="F46" s="6"/>
      <c r="G46" s="6"/>
      <c r="H46" s="6"/>
      <c r="I46" s="6"/>
      <c r="J46" s="6"/>
      <c r="K46" s="6"/>
      <c r="L46" s="19"/>
    </row>
    <row r="47" spans="1:14" ht="15.75" thickBot="1" x14ac:dyDescent="0.3">
      <c r="A47" s="5">
        <v>0.75</v>
      </c>
      <c r="B47" s="6"/>
      <c r="C47" s="6"/>
      <c r="D47" s="6"/>
      <c r="E47" s="6"/>
      <c r="F47" s="6"/>
      <c r="G47" s="6"/>
      <c r="H47" s="6"/>
      <c r="I47" s="6"/>
      <c r="J47" s="6"/>
      <c r="K47" s="6"/>
      <c r="L47" s="19"/>
    </row>
    <row r="48" spans="1:14" x14ac:dyDescent="0.25">
      <c r="A48" s="18"/>
      <c r="B48" s="6"/>
      <c r="C48" s="6"/>
      <c r="D48" s="6"/>
      <c r="E48" s="6"/>
      <c r="F48" s="6"/>
      <c r="G48" s="6"/>
      <c r="H48" s="6"/>
      <c r="I48" s="6"/>
      <c r="J48" s="6"/>
      <c r="K48" s="6"/>
      <c r="L48" s="19"/>
    </row>
    <row r="49" spans="1:12" x14ac:dyDescent="0.25">
      <c r="A49" s="22" t="s">
        <v>4</v>
      </c>
      <c r="B49" s="6" t="s">
        <v>53</v>
      </c>
      <c r="C49" s="6"/>
      <c r="D49" s="6"/>
      <c r="E49" s="6"/>
      <c r="F49" s="6"/>
      <c r="G49" s="6"/>
      <c r="H49" s="6"/>
      <c r="I49" s="6"/>
      <c r="J49" s="6"/>
      <c r="K49" s="6"/>
      <c r="L49" s="19"/>
    </row>
    <row r="50" spans="1:12" ht="15.75" thickBot="1" x14ac:dyDescent="0.3">
      <c r="A50" s="21">
        <f>INDEX('Point Grid'!$C$8:$I$26,MATCH($A$1,'Point Grid'!$A$8:$A$26,0),MATCH(A49,'Point Grid'!$C$7:$I$7,0))</f>
        <v>1</v>
      </c>
      <c r="B50" s="6" t="s">
        <v>54</v>
      </c>
      <c r="C50" s="6"/>
      <c r="D50" s="6"/>
      <c r="E50" s="6"/>
      <c r="F50" s="6"/>
      <c r="G50" s="6"/>
      <c r="H50" s="6"/>
      <c r="I50" s="6"/>
      <c r="J50" s="6"/>
      <c r="K50" s="6"/>
      <c r="L50" s="19"/>
    </row>
    <row r="51" spans="1:12" ht="15.75" thickBot="1" x14ac:dyDescent="0.3">
      <c r="A51" s="5">
        <v>1</v>
      </c>
      <c r="B51" s="24"/>
      <c r="C51" s="24"/>
      <c r="D51" s="24"/>
      <c r="E51" s="24"/>
      <c r="F51" s="24"/>
      <c r="G51" s="24"/>
      <c r="H51" s="24"/>
      <c r="I51" s="24"/>
      <c r="J51" s="24"/>
      <c r="K51" s="24"/>
      <c r="L51" s="25"/>
    </row>
  </sheetData>
  <sheetProtection formatCells="0" formatColumns="0" formatRows="0"/>
  <mergeCells count="1">
    <mergeCell ref="K1:L1"/>
  </mergeCells>
  <conditionalFormatting sqref="B1">
    <cfRule type="cellIs" dxfId="63" priority="1" operator="equal">
      <formula>"Incomplete"</formula>
    </cfRule>
    <cfRule type="cellIs" dxfId="62" priority="2" operator="equal">
      <formula>"Flag for Review"</formula>
    </cfRule>
    <cfRule type="cellIs" dxfId="61" priority="3" operator="equal">
      <formula>"Finished"</formula>
    </cfRule>
  </conditionalFormatting>
  <dataValidations count="2">
    <dataValidation type="decimal" allowBlank="1" showInputMessage="1" showErrorMessage="1" sqref="A43:A44 A47 A51" xr:uid="{0901AC42-7B06-4C91-A223-45DE4A8394E2}">
      <formula1>0</formula1>
      <formula2>A42</formula2>
    </dataValidation>
    <dataValidation type="list" allowBlank="1" showInputMessage="1" showErrorMessage="1" sqref="B1" xr:uid="{DC774153-8B45-427A-A5F8-434A924D8546}">
      <formula1>"Finished, Flag for Review, Incomplete"</formula1>
    </dataValidation>
  </dataValidations>
  <hyperlinks>
    <hyperlink ref="K1" location="Navigator!A1" display="Navigator" xr:uid="{3918B2AF-E6B1-4B85-A021-8E1C96727AAE}"/>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96FB5-8651-4523-A05A-3D1F3F9FE09B}">
  <sheetPr codeName="Sheet5"/>
  <dimension ref="A1:M22"/>
  <sheetViews>
    <sheetView workbookViewId="0"/>
  </sheetViews>
  <sheetFormatPr defaultColWidth="9.140625" defaultRowHeight="15" x14ac:dyDescent="0.25"/>
  <cols>
    <col min="1" max="1" width="6.5703125" style="4" bestFit="1" customWidth="1"/>
    <col min="2" max="2" width="16" style="4" bestFit="1" customWidth="1"/>
    <col min="3" max="3" width="12.42578125" style="4" bestFit="1" customWidth="1"/>
    <col min="4" max="4" width="10.28515625" style="4" customWidth="1"/>
    <col min="5" max="7" width="9.140625" style="4"/>
    <col min="8" max="8" width="13.7109375" style="4" customWidth="1"/>
    <col min="9" max="9" width="3.7109375" style="72" customWidth="1"/>
    <col min="10" max="16384" width="9.140625" style="4"/>
  </cols>
  <sheetData>
    <row r="1" spans="1:13" ht="15.75" x14ac:dyDescent="0.25">
      <c r="A1" s="16">
        <v>3</v>
      </c>
      <c r="B1" s="15" t="s">
        <v>362</v>
      </c>
      <c r="C1" s="139" t="s">
        <v>600</v>
      </c>
      <c r="D1" s="138" t="s">
        <v>601</v>
      </c>
      <c r="E1" s="6"/>
      <c r="F1" s="249" t="s">
        <v>597</v>
      </c>
      <c r="G1" s="249"/>
      <c r="H1" s="133" t="s">
        <v>596</v>
      </c>
      <c r="I1" s="114"/>
      <c r="J1" s="130" t="s">
        <v>310</v>
      </c>
    </row>
    <row r="2" spans="1:13" x14ac:dyDescent="0.25">
      <c r="A2" s="18"/>
      <c r="B2" s="6"/>
      <c r="C2" s="6"/>
      <c r="D2" s="6"/>
      <c r="E2" s="6"/>
      <c r="F2" s="6"/>
      <c r="G2" s="6"/>
      <c r="H2" s="19"/>
      <c r="I2" s="72" t="s">
        <v>2</v>
      </c>
      <c r="J2" s="4" t="s">
        <v>351</v>
      </c>
      <c r="M2" s="4" t="s">
        <v>352</v>
      </c>
    </row>
    <row r="3" spans="1:13" x14ac:dyDescent="0.25">
      <c r="A3" s="20" t="s">
        <v>14</v>
      </c>
      <c r="B3" s="6" t="s">
        <v>58</v>
      </c>
      <c r="C3" s="6"/>
      <c r="D3" s="6"/>
      <c r="E3" s="6"/>
      <c r="F3" s="6"/>
      <c r="G3" s="6"/>
      <c r="H3" s="19"/>
    </row>
    <row r="4" spans="1:13" x14ac:dyDescent="0.25">
      <c r="A4" s="21">
        <f>INDEX('Point Grid'!B:B,MATCH('3'!A1,'Point Grid'!A:A,0))</f>
        <v>1.75</v>
      </c>
      <c r="B4" s="6" t="s">
        <v>59</v>
      </c>
      <c r="C4" s="6"/>
      <c r="D4" s="6"/>
      <c r="E4" s="6"/>
      <c r="F4" s="6"/>
      <c r="G4" s="6"/>
      <c r="H4" s="19"/>
      <c r="J4" s="4" t="s">
        <v>353</v>
      </c>
    </row>
    <row r="5" spans="1:13" x14ac:dyDescent="0.25">
      <c r="A5" s="18"/>
      <c r="B5" s="6" t="s">
        <v>47</v>
      </c>
      <c r="C5" s="6"/>
      <c r="D5" s="6"/>
      <c r="E5" s="6"/>
      <c r="F5" s="6"/>
      <c r="G5" s="6"/>
      <c r="H5" s="19"/>
    </row>
    <row r="6" spans="1:13" x14ac:dyDescent="0.25">
      <c r="A6" s="18"/>
      <c r="B6" s="6" t="s">
        <v>61</v>
      </c>
      <c r="C6" s="6"/>
      <c r="D6" s="6"/>
      <c r="E6" s="6"/>
      <c r="F6" s="6"/>
      <c r="G6" s="6"/>
      <c r="H6" s="19"/>
      <c r="J6" s="4" t="s">
        <v>354</v>
      </c>
    </row>
    <row r="7" spans="1:13" x14ac:dyDescent="0.25">
      <c r="A7" s="18"/>
      <c r="B7" s="6" t="s">
        <v>62</v>
      </c>
      <c r="C7" s="6"/>
      <c r="D7" s="6"/>
      <c r="E7" s="6"/>
      <c r="F7" s="6"/>
      <c r="G7" s="6"/>
      <c r="H7" s="19"/>
    </row>
    <row r="8" spans="1:13" x14ac:dyDescent="0.25">
      <c r="A8" s="18"/>
      <c r="B8" s="6" t="s">
        <v>60</v>
      </c>
      <c r="C8" s="6"/>
      <c r="D8" s="6"/>
      <c r="E8" s="6"/>
      <c r="F8" s="6"/>
      <c r="G8" s="6"/>
      <c r="H8" s="19"/>
    </row>
    <row r="9" spans="1:13" x14ac:dyDescent="0.25">
      <c r="A9" s="18"/>
      <c r="B9" s="6" t="s">
        <v>64</v>
      </c>
      <c r="C9" s="6"/>
      <c r="D9" s="6"/>
      <c r="E9" s="6"/>
      <c r="F9" s="6"/>
      <c r="G9" s="6"/>
      <c r="H9" s="19"/>
    </row>
    <row r="10" spans="1:13" x14ac:dyDescent="0.25">
      <c r="A10" s="18"/>
      <c r="B10" s="6" t="s">
        <v>63</v>
      </c>
      <c r="C10" s="6"/>
      <c r="D10" s="6"/>
      <c r="E10" s="6"/>
      <c r="F10" s="6"/>
      <c r="G10" s="6"/>
      <c r="H10" s="19"/>
      <c r="J10" s="4" t="s">
        <v>355</v>
      </c>
    </row>
    <row r="11" spans="1:13" x14ac:dyDescent="0.25">
      <c r="A11" s="18"/>
      <c r="B11" s="6"/>
      <c r="C11" s="6"/>
      <c r="D11" s="6"/>
      <c r="E11" s="6"/>
      <c r="F11" s="6"/>
      <c r="G11" s="6"/>
      <c r="H11" s="19"/>
    </row>
    <row r="12" spans="1:13" x14ac:dyDescent="0.25">
      <c r="A12" s="22" t="s">
        <v>2</v>
      </c>
      <c r="B12" s="6" t="s">
        <v>573</v>
      </c>
      <c r="C12" s="6"/>
      <c r="D12" s="6"/>
      <c r="E12" s="6"/>
      <c r="F12" s="6"/>
      <c r="G12" s="6"/>
      <c r="H12" s="19"/>
    </row>
    <row r="13" spans="1:13" ht="15.75" thickBot="1" x14ac:dyDescent="0.3">
      <c r="A13" s="21">
        <f>INDEX('Point Grid'!$C$8:$I$26,MATCH($A$1,'Point Grid'!$A$8:$A$26,0),MATCH(A12,'Point Grid'!$C$7:$I$7,0))</f>
        <v>1.25</v>
      </c>
      <c r="B13" s="6" t="s">
        <v>65</v>
      </c>
      <c r="C13" s="6"/>
      <c r="D13" s="6"/>
      <c r="E13" s="6"/>
      <c r="F13" s="6"/>
      <c r="G13" s="6"/>
      <c r="H13" s="19"/>
    </row>
    <row r="14" spans="1:13" ht="15.75" thickBot="1" x14ac:dyDescent="0.3">
      <c r="A14" s="5">
        <v>1.25</v>
      </c>
      <c r="B14" s="6"/>
      <c r="C14" s="6"/>
      <c r="D14" s="6"/>
      <c r="E14" s="6"/>
      <c r="F14" s="6"/>
      <c r="G14" s="6"/>
      <c r="H14" s="19"/>
      <c r="J14" s="4" t="s">
        <v>356</v>
      </c>
    </row>
    <row r="15" spans="1:13" x14ac:dyDescent="0.25">
      <c r="A15" s="18"/>
      <c r="B15" s="6"/>
      <c r="C15" s="6"/>
      <c r="D15" s="6"/>
      <c r="E15" s="6"/>
      <c r="F15" s="6"/>
      <c r="G15" s="6"/>
      <c r="H15" s="19"/>
    </row>
    <row r="16" spans="1:13" x14ac:dyDescent="0.25">
      <c r="A16" s="22" t="s">
        <v>3</v>
      </c>
      <c r="B16" s="6" t="s">
        <v>66</v>
      </c>
      <c r="C16" s="6"/>
      <c r="D16" s="6"/>
      <c r="E16" s="6"/>
      <c r="F16" s="6"/>
      <c r="G16" s="6"/>
      <c r="H16" s="19"/>
      <c r="J16" s="4" t="s">
        <v>357</v>
      </c>
    </row>
    <row r="17" spans="1:11" ht="15.75" thickBot="1" x14ac:dyDescent="0.3">
      <c r="A17" s="21">
        <f>INDEX('Point Grid'!$C$8:$I$26,MATCH($A$1,'Point Grid'!$A$8:$A$26,0),MATCH(A16,'Point Grid'!$C$7:$I$7,0))</f>
        <v>0.5</v>
      </c>
      <c r="B17" s="6" t="s">
        <v>67</v>
      </c>
      <c r="C17" s="6"/>
      <c r="D17" s="6"/>
      <c r="E17" s="6"/>
      <c r="F17" s="6"/>
      <c r="G17" s="6"/>
      <c r="H17" s="19"/>
      <c r="J17" s="76" t="s">
        <v>358</v>
      </c>
      <c r="K17" s="4" t="str">
        <f>"0.02 * 10.458 + (1 - 0.02) * 1"</f>
        <v>0.02 * 10.458 + (1 - 0.02) * 1</v>
      </c>
    </row>
    <row r="18" spans="1:11" ht="15.75" thickBot="1" x14ac:dyDescent="0.3">
      <c r="A18" s="5">
        <v>0.5</v>
      </c>
      <c r="B18" s="6"/>
      <c r="C18" s="6"/>
      <c r="D18" s="6"/>
      <c r="E18" s="6"/>
      <c r="F18" s="6"/>
      <c r="G18" s="6"/>
      <c r="H18" s="19"/>
      <c r="J18" s="70" t="s">
        <v>317</v>
      </c>
      <c r="K18" s="160">
        <f>0.02*10.458+(1-0.02)*1</f>
        <v>1.18916</v>
      </c>
    </row>
    <row r="19" spans="1:11" ht="15.75" thickBot="1" x14ac:dyDescent="0.3">
      <c r="A19" s="23"/>
      <c r="B19" s="24"/>
      <c r="C19" s="24"/>
      <c r="D19" s="24"/>
      <c r="E19" s="24"/>
      <c r="F19" s="24"/>
      <c r="G19" s="24"/>
      <c r="H19" s="25"/>
    </row>
    <row r="20" spans="1:11" x14ac:dyDescent="0.25">
      <c r="I20" s="72" t="s">
        <v>3</v>
      </c>
      <c r="J20" s="4" t="s">
        <v>359</v>
      </c>
    </row>
    <row r="21" spans="1:11" x14ac:dyDescent="0.25">
      <c r="J21" s="4" t="s">
        <v>360</v>
      </c>
    </row>
    <row r="22" spans="1:11" x14ac:dyDescent="0.25">
      <c r="J22" s="4" t="s">
        <v>361</v>
      </c>
    </row>
  </sheetData>
  <sheetProtection formatCells="0" formatColumns="0" formatRows="0"/>
  <mergeCells count="1">
    <mergeCell ref="F1:G1"/>
  </mergeCells>
  <conditionalFormatting sqref="B1">
    <cfRule type="cellIs" dxfId="60" priority="1" operator="equal">
      <formula>"Incomplete"</formula>
    </cfRule>
    <cfRule type="cellIs" dxfId="59" priority="2" operator="equal">
      <formula>"Flag for Review"</formula>
    </cfRule>
    <cfRule type="cellIs" dxfId="58" priority="3" operator="equal">
      <formula>"Finished"</formula>
    </cfRule>
  </conditionalFormatting>
  <dataValidations count="2">
    <dataValidation type="decimal" allowBlank="1" showInputMessage="1" showErrorMessage="1" sqref="A14 A18" xr:uid="{2A44F8C4-A61B-4E56-91D4-FCCE97DDB406}">
      <formula1>0</formula1>
      <formula2>A13</formula2>
    </dataValidation>
    <dataValidation type="list" allowBlank="1" showInputMessage="1" showErrorMessage="1" sqref="B1" xr:uid="{F7E5C8AD-7749-4FAA-9EF5-F783D5CC3292}">
      <formula1>"Finished, Flag for Review, Incomplete"</formula1>
    </dataValidation>
  </dataValidations>
  <hyperlinks>
    <hyperlink ref="H1" location="Navigator!A1" display="Navigator" xr:uid="{A799EF4F-5470-4E39-9003-331AD4C7D7E0}"/>
    <hyperlink ref="F1:G1" location="'Formula Sheet'!A1" display="Formula Sheet" xr:uid="{697054A5-594D-47CF-84B1-1C4C907C4D74}"/>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4C8D8-6961-4C38-ACAF-F4B55D91A9A8}">
  <sheetPr codeName="Sheet6"/>
  <dimension ref="A1:P33"/>
  <sheetViews>
    <sheetView workbookViewId="0"/>
  </sheetViews>
  <sheetFormatPr defaultColWidth="9.140625" defaultRowHeight="15" x14ac:dyDescent="0.25"/>
  <cols>
    <col min="1" max="1" width="6.5703125" style="4" bestFit="1" customWidth="1"/>
    <col min="2" max="2" width="19" style="4" customWidth="1"/>
    <col min="3" max="3" width="13.28515625" style="4" customWidth="1"/>
    <col min="4" max="5" width="14.28515625" style="4" customWidth="1"/>
    <col min="6" max="6" width="11.140625" style="4" customWidth="1"/>
    <col min="7" max="7" width="12.7109375" style="4" customWidth="1"/>
    <col min="8" max="8" width="3.7109375" style="72" customWidth="1"/>
    <col min="9" max="12" width="9.140625" style="4"/>
    <col min="13" max="13" width="11.5703125" style="4" customWidth="1"/>
    <col min="14" max="16384" width="9.140625" style="4"/>
  </cols>
  <sheetData>
    <row r="1" spans="1:16" ht="15.75" x14ac:dyDescent="0.25">
      <c r="A1" s="16">
        <v>4</v>
      </c>
      <c r="B1" s="15" t="s">
        <v>362</v>
      </c>
      <c r="C1" s="139" t="s">
        <v>600</v>
      </c>
      <c r="D1" s="138" t="s">
        <v>614</v>
      </c>
      <c r="E1" s="17"/>
      <c r="F1" s="17"/>
      <c r="G1" s="133" t="s">
        <v>596</v>
      </c>
      <c r="H1" s="114"/>
      <c r="I1" s="130" t="s">
        <v>310</v>
      </c>
    </row>
    <row r="2" spans="1:16" x14ac:dyDescent="0.25">
      <c r="A2" s="18"/>
      <c r="B2" s="6"/>
      <c r="C2" s="6"/>
      <c r="D2" s="6"/>
      <c r="E2" s="6"/>
      <c r="F2" s="6"/>
      <c r="G2" s="19"/>
      <c r="H2" s="72" t="s">
        <v>623</v>
      </c>
      <c r="I2"/>
      <c r="J2"/>
      <c r="K2"/>
      <c r="L2"/>
      <c r="M2"/>
      <c r="N2"/>
      <c r="O2"/>
      <c r="P2"/>
    </row>
    <row r="3" spans="1:16" x14ac:dyDescent="0.25">
      <c r="A3" s="20" t="s">
        <v>14</v>
      </c>
      <c r="B3" s="6" t="s">
        <v>615</v>
      </c>
      <c r="C3" s="6"/>
      <c r="D3" s="6"/>
      <c r="E3" s="6"/>
      <c r="F3" s="6"/>
      <c r="G3" s="19"/>
      <c r="I3"/>
      <c r="J3"/>
      <c r="K3"/>
      <c r="L3"/>
      <c r="M3"/>
      <c r="N3"/>
      <c r="O3"/>
      <c r="P3"/>
    </row>
    <row r="4" spans="1:16" x14ac:dyDescent="0.25">
      <c r="A4" s="21">
        <f>INDEX('Point Grid'!B:B,MATCH('4'!A1,'Point Grid'!A:A,0))</f>
        <v>3</v>
      </c>
      <c r="B4" s="6" t="s">
        <v>616</v>
      </c>
      <c r="C4" s="6"/>
      <c r="D4" s="6"/>
      <c r="E4" s="6"/>
      <c r="F4" s="6"/>
      <c r="G4" s="19"/>
      <c r="I4"/>
      <c r="J4"/>
      <c r="K4"/>
      <c r="L4"/>
      <c r="M4"/>
      <c r="N4"/>
      <c r="O4"/>
      <c r="P4"/>
    </row>
    <row r="5" spans="1:16" x14ac:dyDescent="0.25">
      <c r="A5" s="18"/>
      <c r="B5" s="6"/>
      <c r="C5" s="6"/>
      <c r="D5" s="6"/>
      <c r="E5" s="6"/>
      <c r="F5" s="6"/>
      <c r="G5" s="19"/>
      <c r="I5" t="s">
        <v>624</v>
      </c>
      <c r="J5"/>
      <c r="K5"/>
      <c r="L5"/>
      <c r="M5"/>
      <c r="N5"/>
      <c r="O5"/>
      <c r="P5"/>
    </row>
    <row r="6" spans="1:16" x14ac:dyDescent="0.25">
      <c r="A6" s="18"/>
      <c r="B6" s="6" t="s">
        <v>617</v>
      </c>
      <c r="C6" s="6"/>
      <c r="D6" s="6"/>
      <c r="E6" s="6"/>
      <c r="F6" s="6"/>
      <c r="G6" s="19"/>
      <c r="I6"/>
      <c r="J6"/>
      <c r="K6"/>
      <c r="L6"/>
      <c r="M6"/>
      <c r="N6"/>
      <c r="O6"/>
      <c r="P6"/>
    </row>
    <row r="7" spans="1:16" x14ac:dyDescent="0.25">
      <c r="A7" s="18"/>
      <c r="B7" s="6" t="s">
        <v>618</v>
      </c>
      <c r="C7" s="6"/>
      <c r="D7" s="6"/>
      <c r="E7" s="6"/>
      <c r="F7" s="6"/>
      <c r="G7" s="19"/>
      <c r="I7" t="s">
        <v>635</v>
      </c>
      <c r="J7"/>
      <c r="K7"/>
      <c r="L7"/>
      <c r="M7"/>
      <c r="N7"/>
      <c r="O7"/>
      <c r="P7"/>
    </row>
    <row r="8" spans="1:16" x14ac:dyDescent="0.25">
      <c r="A8" s="18"/>
      <c r="B8" s="6" t="s">
        <v>629</v>
      </c>
      <c r="C8" s="6"/>
      <c r="D8" s="6"/>
      <c r="E8" s="6"/>
      <c r="F8" s="6"/>
      <c r="G8" s="19"/>
      <c r="I8" t="s">
        <v>625</v>
      </c>
      <c r="J8">
        <f>C15+C16+C17+C19</f>
        <v>3.3776999999999995</v>
      </c>
      <c r="K8"/>
      <c r="L8"/>
      <c r="M8"/>
      <c r="N8"/>
      <c r="O8"/>
      <c r="P8"/>
    </row>
    <row r="9" spans="1:16" x14ac:dyDescent="0.25">
      <c r="A9" s="18"/>
      <c r="B9" s="142" t="s">
        <v>630</v>
      </c>
      <c r="C9" s="142"/>
      <c r="D9" s="6"/>
      <c r="E9" s="6"/>
      <c r="F9" s="6"/>
      <c r="G9" s="19"/>
      <c r="I9" t="s">
        <v>626</v>
      </c>
      <c r="J9">
        <f>EXP(J8)</f>
        <v>29.303295965893653</v>
      </c>
      <c r="K9"/>
      <c r="L9"/>
      <c r="M9"/>
      <c r="N9"/>
      <c r="O9"/>
      <c r="P9"/>
    </row>
    <row r="10" spans="1:16" x14ac:dyDescent="0.25">
      <c r="A10" s="18"/>
      <c r="B10" s="142"/>
      <c r="C10" s="142"/>
      <c r="D10" s="6"/>
      <c r="E10" s="6"/>
      <c r="F10" s="6"/>
      <c r="G10" s="19"/>
      <c r="I10"/>
      <c r="J10"/>
      <c r="K10"/>
      <c r="L10"/>
      <c r="M10"/>
      <c r="N10"/>
      <c r="O10"/>
      <c r="P10"/>
    </row>
    <row r="11" spans="1:16" x14ac:dyDescent="0.25">
      <c r="A11" s="18"/>
      <c r="B11" s="36" t="s">
        <v>636</v>
      </c>
      <c r="C11" s="143"/>
      <c r="D11" s="144">
        <v>2</v>
      </c>
      <c r="E11" s="142"/>
      <c r="F11" s="6"/>
      <c r="G11" s="19"/>
      <c r="I11" t="s">
        <v>627</v>
      </c>
      <c r="J11"/>
      <c r="K11"/>
      <c r="L11"/>
      <c r="M11"/>
      <c r="N11"/>
      <c r="O11"/>
      <c r="P11"/>
    </row>
    <row r="12" spans="1:16" x14ac:dyDescent="0.25">
      <c r="A12" s="18"/>
      <c r="B12" s="6"/>
      <c r="C12" s="6"/>
      <c r="D12" s="6"/>
      <c r="E12" s="6"/>
      <c r="F12" s="6"/>
      <c r="G12" s="19"/>
      <c r="I12" s="141">
        <f>D11*J9^2/0.4</f>
        <v>4293.4157723237959</v>
      </c>
      <c r="J12"/>
      <c r="K12"/>
      <c r="L12"/>
      <c r="M12"/>
      <c r="N12"/>
      <c r="O12"/>
      <c r="P12"/>
    </row>
    <row r="13" spans="1:16" x14ac:dyDescent="0.25">
      <c r="A13" s="18"/>
      <c r="B13" s="58" t="s">
        <v>619</v>
      </c>
      <c r="C13" s="6"/>
      <c r="D13" s="6"/>
      <c r="E13" s="6"/>
      <c r="F13" s="6"/>
      <c r="G13" s="19"/>
      <c r="I13"/>
      <c r="J13"/>
      <c r="K13"/>
      <c r="L13"/>
      <c r="M13"/>
      <c r="N13"/>
      <c r="O13"/>
      <c r="P13"/>
    </row>
    <row r="14" spans="1:16" x14ac:dyDescent="0.25">
      <c r="A14" s="18"/>
      <c r="B14" s="145" t="s">
        <v>620</v>
      </c>
      <c r="C14" s="146" t="s">
        <v>29</v>
      </c>
      <c r="D14" s="32" t="s">
        <v>628</v>
      </c>
      <c r="E14" s="6"/>
      <c r="F14" s="6"/>
      <c r="G14" s="19"/>
      <c r="H14" s="72" t="s">
        <v>638</v>
      </c>
      <c r="I14" t="s">
        <v>639</v>
      </c>
      <c r="J14"/>
      <c r="K14"/>
      <c r="L14"/>
      <c r="M14"/>
      <c r="N14"/>
      <c r="O14"/>
      <c r="P14"/>
    </row>
    <row r="15" spans="1:16" x14ac:dyDescent="0.25">
      <c r="A15" s="18"/>
      <c r="B15" s="147" t="s">
        <v>32</v>
      </c>
      <c r="C15" s="8">
        <v>2.3199999999999998</v>
      </c>
      <c r="D15" s="148">
        <v>4.0000000000000003E-5</v>
      </c>
      <c r="E15" s="6"/>
      <c r="F15" s="6"/>
      <c r="G15" s="19"/>
      <c r="I15" t="s">
        <v>640</v>
      </c>
      <c r="J15"/>
      <c r="K15"/>
      <c r="L15"/>
      <c r="M15"/>
      <c r="N15"/>
      <c r="O15"/>
      <c r="P15"/>
    </row>
    <row r="16" spans="1:16" x14ac:dyDescent="0.25">
      <c r="A16" s="18"/>
      <c r="B16" s="147" t="s">
        <v>621</v>
      </c>
      <c r="C16" s="8">
        <v>-0.64</v>
      </c>
      <c r="D16" s="148">
        <v>3.0999999999999999E-3</v>
      </c>
      <c r="E16" s="6"/>
      <c r="F16" s="6"/>
      <c r="G16" s="19"/>
      <c r="I16" t="s">
        <v>641</v>
      </c>
      <c r="J16"/>
      <c r="K16"/>
      <c r="L16"/>
      <c r="M16"/>
      <c r="N16"/>
      <c r="O16"/>
      <c r="P16"/>
    </row>
    <row r="17" spans="1:16" x14ac:dyDescent="0.25">
      <c r="A17" s="18"/>
      <c r="B17" s="147" t="s">
        <v>622</v>
      </c>
      <c r="C17" s="8">
        <v>0.76</v>
      </c>
      <c r="D17" s="148">
        <v>1.2E-2</v>
      </c>
      <c r="E17" s="6"/>
      <c r="F17" s="6"/>
      <c r="G17" s="19"/>
      <c r="I17" t="s">
        <v>642</v>
      </c>
      <c r="J17"/>
      <c r="K17"/>
      <c r="L17"/>
      <c r="M17"/>
      <c r="N17"/>
      <c r="O17"/>
      <c r="P17"/>
    </row>
    <row r="18" spans="1:16" x14ac:dyDescent="0.25">
      <c r="A18" s="158"/>
      <c r="B18" s="149" t="s">
        <v>631</v>
      </c>
      <c r="C18" s="150">
        <v>-1.18E-2</v>
      </c>
      <c r="D18" s="151">
        <v>9.5000000000000001E-2</v>
      </c>
      <c r="E18" s="6"/>
      <c r="F18" s="6"/>
      <c r="G18" s="19"/>
      <c r="I18"/>
      <c r="J18"/>
      <c r="K18"/>
      <c r="L18"/>
      <c r="M18"/>
      <c r="N18"/>
      <c r="O18"/>
      <c r="P18"/>
    </row>
    <row r="19" spans="1:16" x14ac:dyDescent="0.25">
      <c r="A19" s="158"/>
      <c r="B19" s="152" t="s">
        <v>632</v>
      </c>
      <c r="C19" s="153">
        <v>0.93769999999999998</v>
      </c>
      <c r="D19" s="154">
        <v>2.8000000000000001E-2</v>
      </c>
      <c r="E19" s="142"/>
      <c r="F19" s="142"/>
      <c r="G19" s="155"/>
      <c r="H19" s="72" t="s">
        <v>645</v>
      </c>
      <c r="I19" t="s">
        <v>646</v>
      </c>
      <c r="J19"/>
      <c r="K19"/>
      <c r="L19"/>
      <c r="M19"/>
      <c r="N19"/>
      <c r="O19"/>
      <c r="P19"/>
    </row>
    <row r="20" spans="1:16" x14ac:dyDescent="0.25">
      <c r="A20" s="158"/>
      <c r="B20" s="142"/>
      <c r="C20" s="142"/>
      <c r="D20" s="142"/>
      <c r="E20" s="142"/>
      <c r="F20" s="142"/>
      <c r="G20" s="155"/>
      <c r="I20" s="4" t="s">
        <v>647</v>
      </c>
    </row>
    <row r="21" spans="1:16" x14ac:dyDescent="0.25">
      <c r="A21" s="158"/>
      <c r="B21" s="142"/>
      <c r="C21" s="142"/>
      <c r="D21" s="142"/>
      <c r="E21" s="142"/>
      <c r="F21" s="142"/>
      <c r="G21" s="155"/>
    </row>
    <row r="22" spans="1:16" x14ac:dyDescent="0.25">
      <c r="A22" s="22" t="s">
        <v>2</v>
      </c>
      <c r="B22" s="6" t="s">
        <v>633</v>
      </c>
      <c r="C22" s="6"/>
      <c r="D22" s="6"/>
      <c r="E22" s="6"/>
      <c r="F22" s="6"/>
      <c r="G22" s="19"/>
    </row>
    <row r="23" spans="1:16" ht="15.75" thickBot="1" x14ac:dyDescent="0.3">
      <c r="A23" s="21">
        <f>INDEX('Point Grid'!$C$8:$I$26,MATCH($A$1,'Point Grid'!$A$8:$A$26,0),MATCH(A22,'Point Grid'!$C$7:$I$7,0))</f>
        <v>2</v>
      </c>
      <c r="B23" s="6" t="s">
        <v>634</v>
      </c>
      <c r="C23" s="6"/>
      <c r="D23" s="6"/>
      <c r="E23" s="6"/>
      <c r="F23" s="6"/>
      <c r="G23" s="19"/>
    </row>
    <row r="24" spans="1:16" ht="15.75" thickBot="1" x14ac:dyDescent="0.3">
      <c r="A24" s="5">
        <v>2</v>
      </c>
      <c r="B24" s="142"/>
      <c r="C24" s="142"/>
      <c r="D24" s="142"/>
      <c r="E24" s="142"/>
      <c r="F24" s="142"/>
      <c r="G24" s="155"/>
    </row>
    <row r="25" spans="1:16" x14ac:dyDescent="0.25">
      <c r="A25" s="158"/>
      <c r="B25" s="142"/>
      <c r="C25" s="142"/>
      <c r="D25" s="142"/>
      <c r="E25" s="142"/>
      <c r="F25" s="142"/>
      <c r="G25" s="155"/>
    </row>
    <row r="26" spans="1:16" x14ac:dyDescent="0.25">
      <c r="A26" s="22" t="s">
        <v>3</v>
      </c>
      <c r="B26" s="142" t="s">
        <v>637</v>
      </c>
      <c r="C26" s="142"/>
      <c r="D26" s="142"/>
      <c r="E26" s="142"/>
      <c r="F26" s="142"/>
      <c r="G26" s="155"/>
    </row>
    <row r="27" spans="1:16" ht="15.75" thickBot="1" x14ac:dyDescent="0.3">
      <c r="A27" s="21">
        <f>INDEX('Point Grid'!$C$8:$I$26,MATCH($A$1,'Point Grid'!$A$8:$A$26,0),MATCH(A26,'Point Grid'!$C$7:$I$7,0))</f>
        <v>0.5</v>
      </c>
      <c r="B27" s="142" t="s">
        <v>643</v>
      </c>
      <c r="C27" s="142"/>
      <c r="D27" s="142"/>
      <c r="E27" s="142"/>
      <c r="F27" s="142"/>
      <c r="G27" s="155"/>
    </row>
    <row r="28" spans="1:16" ht="15.75" thickBot="1" x14ac:dyDescent="0.3">
      <c r="A28" s="5">
        <v>0.5</v>
      </c>
      <c r="B28" s="142"/>
      <c r="C28" s="142"/>
      <c r="D28" s="142"/>
      <c r="E28" s="142"/>
      <c r="F28" s="142"/>
      <c r="G28" s="155"/>
    </row>
    <row r="29" spans="1:16" x14ac:dyDescent="0.25">
      <c r="A29" s="158"/>
      <c r="B29" s="142"/>
      <c r="C29" s="142"/>
      <c r="D29" s="142"/>
      <c r="E29" s="142"/>
      <c r="F29" s="142"/>
      <c r="G29" s="155"/>
    </row>
    <row r="30" spans="1:16" x14ac:dyDescent="0.25">
      <c r="A30" s="22" t="s">
        <v>4</v>
      </c>
      <c r="B30" s="142" t="s">
        <v>644</v>
      </c>
      <c r="C30" s="142"/>
      <c r="D30" s="142"/>
      <c r="E30" s="142"/>
      <c r="F30" s="142"/>
      <c r="G30" s="155"/>
    </row>
    <row r="31" spans="1:16" ht="15.75" thickBot="1" x14ac:dyDescent="0.3">
      <c r="A31" s="21">
        <f>INDEX('Point Grid'!$C$8:$I$26,MATCH($A$1,'Point Grid'!$A$8:$A$26,0),MATCH(A30,'Point Grid'!$C$7:$I$7,0))</f>
        <v>0.5</v>
      </c>
      <c r="B31" s="142"/>
      <c r="C31" s="142"/>
      <c r="D31" s="142"/>
      <c r="E31" s="142"/>
      <c r="F31" s="142"/>
      <c r="G31" s="155"/>
    </row>
    <row r="32" spans="1:16" ht="15.75" thickBot="1" x14ac:dyDescent="0.3">
      <c r="A32" s="5">
        <v>0.5</v>
      </c>
      <c r="B32" s="142"/>
      <c r="C32" s="142"/>
      <c r="D32" s="142"/>
      <c r="E32" s="142"/>
      <c r="F32" s="142"/>
      <c r="G32" s="155"/>
    </row>
    <row r="33" spans="1:7" ht="15.75" thickBot="1" x14ac:dyDescent="0.3">
      <c r="A33" s="159"/>
      <c r="B33" s="156"/>
      <c r="C33" s="156"/>
      <c r="D33" s="156"/>
      <c r="E33" s="156"/>
      <c r="F33" s="156"/>
      <c r="G33" s="157"/>
    </row>
  </sheetData>
  <sheetProtection formatCells="0" formatColumns="0" formatRows="0"/>
  <conditionalFormatting sqref="B1">
    <cfRule type="cellIs" dxfId="57" priority="1" operator="equal">
      <formula>"Incomplete"</formula>
    </cfRule>
    <cfRule type="cellIs" dxfId="56" priority="2" operator="equal">
      <formula>"Flag for Review"</formula>
    </cfRule>
    <cfRule type="cellIs" dxfId="55" priority="3" operator="equal">
      <formula>"Finished"</formula>
    </cfRule>
  </conditionalFormatting>
  <dataValidations count="2">
    <dataValidation type="list" allowBlank="1" showInputMessage="1" showErrorMessage="1" sqref="B1" xr:uid="{E893C6B9-8ACC-4EF7-8712-75A79E229237}">
      <formula1>"Finished, Flag for Review, Incomplete"</formula1>
    </dataValidation>
    <dataValidation type="decimal" allowBlank="1" showInputMessage="1" showErrorMessage="1" sqref="A24 A28 A32" xr:uid="{F3DAB22E-9B46-4BBE-A3EB-49FC64AC14B9}">
      <formula1>0</formula1>
      <formula2>A23</formula2>
    </dataValidation>
  </dataValidations>
  <hyperlinks>
    <hyperlink ref="G1" location="Navigator!A1" display="Navigator" xr:uid="{FFB83191-2203-4A24-BCB2-D42B7E056DFF}"/>
  </hyperlink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17683-E141-42D9-8855-BD9DDED320AC}">
  <sheetPr codeName="Sheet7"/>
  <dimension ref="A1:W35"/>
  <sheetViews>
    <sheetView workbookViewId="0"/>
  </sheetViews>
  <sheetFormatPr defaultColWidth="9.140625" defaultRowHeight="15" x14ac:dyDescent="0.25"/>
  <cols>
    <col min="1" max="1" width="6.5703125" style="4" bestFit="1" customWidth="1"/>
    <col min="2" max="2" width="16" style="4" bestFit="1" customWidth="1"/>
    <col min="3" max="3" width="12.42578125" style="4" bestFit="1" customWidth="1"/>
    <col min="4" max="5" width="14.28515625" style="4" customWidth="1"/>
    <col min="6" max="6" width="9.140625" style="4"/>
    <col min="7" max="7" width="15.7109375" style="4" customWidth="1"/>
    <col min="8" max="8" width="3.7109375" style="72" customWidth="1"/>
    <col min="9" max="9" width="9.5703125" style="4" customWidth="1"/>
    <col min="10" max="10" width="9.5703125" style="4" bestFit="1" customWidth="1"/>
    <col min="11" max="15" width="9.140625" style="4"/>
    <col min="16" max="16" width="11.42578125" style="4" customWidth="1"/>
    <col min="17" max="16384" width="9.140625" style="4"/>
  </cols>
  <sheetData>
    <row r="1" spans="1:23" ht="15.75" x14ac:dyDescent="0.25">
      <c r="A1" s="16">
        <v>5</v>
      </c>
      <c r="B1" s="15" t="s">
        <v>362</v>
      </c>
      <c r="C1" s="139" t="s">
        <v>600</v>
      </c>
      <c r="D1" s="138" t="s">
        <v>602</v>
      </c>
      <c r="E1" s="17"/>
      <c r="F1" s="17"/>
      <c r="G1" s="133" t="s">
        <v>596</v>
      </c>
      <c r="H1" s="114"/>
      <c r="I1" s="130" t="s">
        <v>310</v>
      </c>
    </row>
    <row r="2" spans="1:23" x14ac:dyDescent="0.25">
      <c r="A2" s="18"/>
      <c r="B2" s="6"/>
      <c r="C2" s="6"/>
      <c r="D2" s="6"/>
      <c r="E2" s="6"/>
      <c r="F2" s="6"/>
      <c r="G2" s="19"/>
      <c r="H2" s="72" t="s">
        <v>2</v>
      </c>
      <c r="I2" s="4" t="s">
        <v>363</v>
      </c>
      <c r="N2" s="4" t="s">
        <v>364</v>
      </c>
    </row>
    <row r="3" spans="1:23" x14ac:dyDescent="0.25">
      <c r="A3" s="20" t="s">
        <v>14</v>
      </c>
      <c r="B3" s="6" t="s">
        <v>68</v>
      </c>
      <c r="C3" s="6"/>
      <c r="D3" s="6"/>
      <c r="E3" s="6"/>
      <c r="F3" s="6"/>
      <c r="G3" s="19"/>
    </row>
    <row r="4" spans="1:23" x14ac:dyDescent="0.25">
      <c r="A4" s="21">
        <f>INDEX('Point Grid'!B:B,MATCH('5'!A1,'Point Grid'!A:A,0))</f>
        <v>2.75</v>
      </c>
      <c r="B4" s="6" t="s">
        <v>69</v>
      </c>
      <c r="C4" s="6"/>
      <c r="D4" s="6"/>
      <c r="E4" s="6"/>
      <c r="F4" s="6"/>
      <c r="G4" s="19"/>
      <c r="I4" s="4" t="s">
        <v>365</v>
      </c>
    </row>
    <row r="5" spans="1:23" x14ac:dyDescent="0.25">
      <c r="A5" s="18"/>
      <c r="B5" s="6"/>
      <c r="C5" s="26" t="s">
        <v>70</v>
      </c>
      <c r="D5" s="26"/>
      <c r="E5" s="6"/>
      <c r="F5" s="6"/>
      <c r="G5" s="19"/>
      <c r="K5" s="4" t="s">
        <v>366</v>
      </c>
    </row>
    <row r="6" spans="1:23" x14ac:dyDescent="0.25">
      <c r="A6" s="18"/>
      <c r="B6" s="27" t="s">
        <v>71</v>
      </c>
      <c r="C6" s="8" t="s">
        <v>72</v>
      </c>
      <c r="D6" s="8" t="s">
        <v>73</v>
      </c>
      <c r="E6" s="6"/>
      <c r="F6" s="6"/>
      <c r="G6" s="19"/>
      <c r="K6" s="4" t="s">
        <v>367</v>
      </c>
    </row>
    <row r="7" spans="1:23" x14ac:dyDescent="0.25">
      <c r="A7" s="18"/>
      <c r="B7" s="28" t="s">
        <v>72</v>
      </c>
      <c r="C7" s="13">
        <v>72</v>
      </c>
      <c r="D7" s="13">
        <v>162</v>
      </c>
      <c r="E7" s="6"/>
      <c r="F7" s="6"/>
      <c r="G7" s="19"/>
      <c r="K7" s="4" t="s">
        <v>368</v>
      </c>
    </row>
    <row r="8" spans="1:23" x14ac:dyDescent="0.25">
      <c r="A8" s="18"/>
      <c r="B8" s="28" t="s">
        <v>73</v>
      </c>
      <c r="C8" s="13">
        <v>63</v>
      </c>
      <c r="D8" s="13">
        <v>1203</v>
      </c>
      <c r="E8" s="6"/>
      <c r="F8" s="6"/>
      <c r="G8" s="19"/>
    </row>
    <row r="9" spans="1:23" x14ac:dyDescent="0.25">
      <c r="A9" s="18"/>
      <c r="B9" s="6"/>
      <c r="C9" s="6"/>
      <c r="D9" s="6"/>
      <c r="E9" s="6"/>
      <c r="F9" s="6"/>
      <c r="G9" s="19"/>
      <c r="H9" s="72" t="s">
        <v>3</v>
      </c>
      <c r="I9" s="4" t="s">
        <v>369</v>
      </c>
      <c r="M9" s="4" t="s">
        <v>371</v>
      </c>
    </row>
    <row r="10" spans="1:23" x14ac:dyDescent="0.25">
      <c r="A10" s="22" t="s">
        <v>2</v>
      </c>
      <c r="B10" s="6" t="s">
        <v>74</v>
      </c>
      <c r="C10" s="6"/>
      <c r="D10" s="6"/>
      <c r="E10" s="6"/>
      <c r="F10" s="6"/>
      <c r="G10" s="19"/>
      <c r="J10" s="4" t="str">
        <f xml:space="preserve"> "= "&amp;C7 &amp;" / (" &amp;C7&amp;" + "&amp;D7&amp;")"</f>
        <v>= 72 / (72 + 162)</v>
      </c>
      <c r="M10" s="4" t="s">
        <v>372</v>
      </c>
    </row>
    <row r="11" spans="1:23" ht="15.75" thickBot="1" x14ac:dyDescent="0.3">
      <c r="A11" s="21">
        <f>INDEX('Point Grid'!$C$8:$I$26,MATCH($A$1,'Point Grid'!$A$8:$A$26,0),MATCH(A10,'Point Grid'!$C$7:$I$7,0))</f>
        <v>0.5</v>
      </c>
      <c r="B11" s="6" t="s">
        <v>75</v>
      </c>
      <c r="C11" s="6"/>
      <c r="D11" s="6"/>
      <c r="E11" s="6"/>
      <c r="F11" s="6"/>
      <c r="G11" s="19"/>
      <c r="J11" s="161">
        <f>C7/(C7+D7)</f>
        <v>0.30769230769230771</v>
      </c>
      <c r="M11" s="4" t="s">
        <v>373</v>
      </c>
    </row>
    <row r="12" spans="1:23" ht="15.75" thickBot="1" x14ac:dyDescent="0.3">
      <c r="A12" s="5">
        <v>0.5</v>
      </c>
      <c r="B12" s="6"/>
      <c r="C12" s="6"/>
      <c r="D12" s="6"/>
      <c r="E12" s="6"/>
      <c r="F12" s="6"/>
      <c r="G12" s="19"/>
      <c r="M12" s="4" t="s">
        <v>374</v>
      </c>
    </row>
    <row r="13" spans="1:23" x14ac:dyDescent="0.25">
      <c r="A13" s="18"/>
      <c r="B13" s="6"/>
      <c r="C13" s="6"/>
      <c r="D13" s="6"/>
      <c r="E13" s="6"/>
      <c r="F13" s="6"/>
      <c r="G13" s="19"/>
      <c r="I13" s="4" t="s">
        <v>370</v>
      </c>
    </row>
    <row r="14" spans="1:23" x14ac:dyDescent="0.25">
      <c r="A14" s="22" t="s">
        <v>3</v>
      </c>
      <c r="B14" s="6" t="s">
        <v>76</v>
      </c>
      <c r="C14" s="6"/>
      <c r="D14" s="6"/>
      <c r="E14" s="6"/>
      <c r="F14" s="6"/>
      <c r="G14" s="19"/>
      <c r="J14" s="4" t="str">
        <f xml:space="preserve"> "= "&amp;D8 &amp;" / (" &amp;D8&amp;" + "&amp;C8&amp;")"</f>
        <v>= 1203 / (1203 + 63)</v>
      </c>
    </row>
    <row r="15" spans="1:23" ht="15.75" thickBot="1" x14ac:dyDescent="0.3">
      <c r="A15" s="21">
        <f>INDEX('Point Grid'!$C$8:$I$26,MATCH($A$1,'Point Grid'!$A$8:$A$26,0),MATCH(A14,'Point Grid'!$C$7:$I$7,0))</f>
        <v>0.5</v>
      </c>
      <c r="B15" s="6"/>
      <c r="C15" s="6"/>
      <c r="D15" s="6"/>
      <c r="E15" s="6"/>
      <c r="F15" s="6"/>
      <c r="G15" s="19"/>
      <c r="J15" s="161">
        <f>D8/(D8+C8)</f>
        <v>0.95023696682464454</v>
      </c>
    </row>
    <row r="16" spans="1:23" ht="15.75" thickBot="1" x14ac:dyDescent="0.3">
      <c r="A16" s="5">
        <v>0.5</v>
      </c>
      <c r="B16" s="6"/>
      <c r="C16" s="6"/>
      <c r="D16" s="6"/>
      <c r="E16" s="6"/>
      <c r="F16" s="6"/>
      <c r="G16" s="19"/>
      <c r="R16" s="77" t="s">
        <v>379</v>
      </c>
      <c r="S16" s="77"/>
      <c r="T16" s="77" t="s">
        <v>380</v>
      </c>
      <c r="U16" s="77"/>
      <c r="V16" s="77" t="s">
        <v>381</v>
      </c>
      <c r="W16" s="77"/>
    </row>
    <row r="17" spans="1:23" x14ac:dyDescent="0.25">
      <c r="A17" s="18"/>
      <c r="B17" s="6"/>
      <c r="C17" s="6"/>
      <c r="D17" s="6"/>
      <c r="E17" s="6"/>
      <c r="F17" s="6"/>
      <c r="G17" s="19"/>
      <c r="H17" s="72" t="s">
        <v>4</v>
      </c>
      <c r="I17" s="4" t="s">
        <v>375</v>
      </c>
      <c r="Q17" s="4" t="s">
        <v>378</v>
      </c>
      <c r="R17" s="72" t="s">
        <v>376</v>
      </c>
      <c r="S17" s="72" t="s">
        <v>377</v>
      </c>
      <c r="T17" s="72" t="s">
        <v>376</v>
      </c>
      <c r="U17" s="72" t="s">
        <v>377</v>
      </c>
      <c r="V17" s="72" t="s">
        <v>376</v>
      </c>
      <c r="W17" s="72" t="s">
        <v>377</v>
      </c>
    </row>
    <row r="18" spans="1:23" x14ac:dyDescent="0.25">
      <c r="A18" s="22" t="s">
        <v>4</v>
      </c>
      <c r="B18" s="6" t="s">
        <v>77</v>
      </c>
      <c r="C18" s="6"/>
      <c r="D18" s="6"/>
      <c r="E18" s="6"/>
      <c r="F18" s="6"/>
      <c r="G18" s="19"/>
      <c r="Q18" s="4">
        <v>0</v>
      </c>
      <c r="R18" s="72">
        <v>0</v>
      </c>
      <c r="S18" s="72">
        <v>0</v>
      </c>
      <c r="T18" s="72">
        <v>0</v>
      </c>
      <c r="U18" s="72">
        <v>0</v>
      </c>
      <c r="V18" s="72">
        <v>0</v>
      </c>
      <c r="W18" s="72">
        <v>0</v>
      </c>
    </row>
    <row r="19" spans="1:23" ht="15.75" thickBot="1" x14ac:dyDescent="0.3">
      <c r="A19" s="21">
        <f>INDEX('Point Grid'!$C$8:$I$26,MATCH($A$1,'Point Grid'!$A$8:$A$26,0),MATCH(A18,'Point Grid'!$C$7:$I$7,0))</f>
        <v>1.5</v>
      </c>
      <c r="B19" s="6" t="s">
        <v>78</v>
      </c>
      <c r="C19" s="6"/>
      <c r="D19" s="6"/>
      <c r="E19" s="6"/>
      <c r="F19" s="6"/>
      <c r="G19" s="19"/>
      <c r="Q19" s="78">
        <v>0.25</v>
      </c>
      <c r="R19" s="79">
        <f>1-J15</f>
        <v>4.9763033175355464E-2</v>
      </c>
      <c r="S19" s="79">
        <f>J11</f>
        <v>0.30769230769230771</v>
      </c>
      <c r="T19" s="72">
        <v>0.25</v>
      </c>
      <c r="U19" s="72">
        <v>0.25</v>
      </c>
      <c r="V19" s="72">
        <v>0</v>
      </c>
      <c r="W19" s="72">
        <v>1</v>
      </c>
    </row>
    <row r="20" spans="1:23" ht="15.75" thickBot="1" x14ac:dyDescent="0.3">
      <c r="A20" s="5">
        <v>1.5</v>
      </c>
      <c r="B20" s="18" t="s">
        <v>79</v>
      </c>
      <c r="C20" s="6"/>
      <c r="D20" s="6"/>
      <c r="E20" s="6"/>
      <c r="F20" s="6"/>
      <c r="G20" s="19"/>
      <c r="Q20" s="78">
        <v>1</v>
      </c>
      <c r="R20" s="72">
        <v>1</v>
      </c>
      <c r="S20" s="72">
        <v>1</v>
      </c>
      <c r="T20" s="72">
        <v>1</v>
      </c>
      <c r="U20" s="72">
        <v>1</v>
      </c>
      <c r="V20" s="72">
        <v>1</v>
      </c>
      <c r="W20" s="72">
        <v>1</v>
      </c>
    </row>
    <row r="21" spans="1:23" x14ac:dyDescent="0.25">
      <c r="A21" s="18"/>
      <c r="B21" s="6"/>
      <c r="C21" s="6"/>
      <c r="D21" s="6"/>
      <c r="E21" s="6"/>
      <c r="F21" s="6"/>
      <c r="G21" s="19"/>
    </row>
    <row r="22" spans="1:23" x14ac:dyDescent="0.25">
      <c r="A22" s="18"/>
      <c r="B22" s="6" t="s">
        <v>80</v>
      </c>
      <c r="C22" s="6"/>
      <c r="D22" s="6"/>
      <c r="E22" s="6"/>
      <c r="F22" s="6"/>
      <c r="G22" s="19"/>
    </row>
    <row r="23" spans="1:23" x14ac:dyDescent="0.25">
      <c r="A23" s="18"/>
      <c r="B23" s="6" t="s">
        <v>81</v>
      </c>
      <c r="C23" s="6"/>
      <c r="D23" s="6"/>
      <c r="E23" s="6"/>
      <c r="F23" s="6"/>
      <c r="G23" s="19"/>
    </row>
    <row r="24" spans="1:23" x14ac:dyDescent="0.25">
      <c r="A24" s="18"/>
      <c r="B24" s="6" t="s">
        <v>82</v>
      </c>
      <c r="C24" s="6"/>
      <c r="D24" s="6"/>
      <c r="E24" s="6"/>
      <c r="F24" s="6"/>
      <c r="G24" s="19"/>
    </row>
    <row r="25" spans="1:23" x14ac:dyDescent="0.25">
      <c r="A25" s="18"/>
      <c r="B25" s="6"/>
      <c r="C25" s="6"/>
      <c r="D25" s="6"/>
      <c r="E25" s="6"/>
      <c r="F25" s="6"/>
      <c r="G25" s="19"/>
    </row>
    <row r="26" spans="1:23" x14ac:dyDescent="0.25">
      <c r="A26" s="22" t="s">
        <v>5</v>
      </c>
      <c r="B26" s="6" t="s">
        <v>83</v>
      </c>
      <c r="C26" s="6"/>
      <c r="D26" s="6"/>
      <c r="E26" s="6"/>
      <c r="F26" s="6"/>
      <c r="G26" s="19"/>
    </row>
    <row r="27" spans="1:23" ht="15.75" thickBot="1" x14ac:dyDescent="0.3">
      <c r="A27" s="21">
        <f>INDEX('Point Grid'!$C$8:$I$26,MATCH($A$1,'Point Grid'!$A$8:$A$26,0),MATCH(A26,'Point Grid'!$C$7:$I$7,0))</f>
        <v>0.25</v>
      </c>
      <c r="B27" s="6"/>
      <c r="C27" s="6"/>
      <c r="D27" s="6"/>
      <c r="E27" s="6"/>
      <c r="F27" s="6"/>
      <c r="G27" s="19"/>
    </row>
    <row r="28" spans="1:23" ht="15.75" thickBot="1" x14ac:dyDescent="0.3">
      <c r="A28" s="5">
        <v>0.25</v>
      </c>
      <c r="B28" s="24"/>
      <c r="C28" s="24"/>
      <c r="D28" s="24"/>
      <c r="E28" s="24"/>
      <c r="F28" s="24"/>
      <c r="G28" s="25"/>
    </row>
    <row r="33" spans="8:9" x14ac:dyDescent="0.25">
      <c r="H33" s="72" t="s">
        <v>5</v>
      </c>
      <c r="I33" s="4" t="s">
        <v>382</v>
      </c>
    </row>
    <row r="34" spans="8:9" x14ac:dyDescent="0.25">
      <c r="I34" s="4" t="s">
        <v>383</v>
      </c>
    </row>
    <row r="35" spans="8:9" x14ac:dyDescent="0.25">
      <c r="I35" s="4" t="s">
        <v>384</v>
      </c>
    </row>
  </sheetData>
  <sheetProtection formatCells="0" formatColumns="0" formatRows="0"/>
  <conditionalFormatting sqref="B1">
    <cfRule type="cellIs" dxfId="54" priority="1" operator="equal">
      <formula>"Incomplete"</formula>
    </cfRule>
    <cfRule type="cellIs" dxfId="53" priority="2" operator="equal">
      <formula>"Flag for Review"</formula>
    </cfRule>
    <cfRule type="cellIs" dxfId="52" priority="3" operator="equal">
      <formula>"Finished"</formula>
    </cfRule>
  </conditionalFormatting>
  <dataValidations count="2">
    <dataValidation type="decimal" allowBlank="1" showInputMessage="1" showErrorMessage="1" sqref="A12 A16 A20 A28" xr:uid="{6A0C24B5-3699-487B-AA51-D4864B33CB31}">
      <formula1>0</formula1>
      <formula2>A11</formula2>
    </dataValidation>
    <dataValidation type="list" allowBlank="1" showInputMessage="1" showErrorMessage="1" sqref="B1" xr:uid="{1B3C0B11-8266-419A-A07A-919E45E78D0E}">
      <formula1>"Finished, Flag for Review, Incomplete"</formula1>
    </dataValidation>
  </dataValidations>
  <hyperlinks>
    <hyperlink ref="G1" location="Navigator!A1" display="Navigator" xr:uid="{66718759-D386-4D65-8DFA-D9393B3AD8EC}"/>
  </hyperlink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24</vt:i4>
      </vt:variant>
    </vt:vector>
  </HeadingPairs>
  <TitlesOfParts>
    <vt:vector size="24" baseType="lpstr">
      <vt:lpstr>Instructions</vt:lpstr>
      <vt:lpstr>Formula Sheet</vt:lpstr>
      <vt:lpstr>Point Grid</vt:lpstr>
      <vt:lpstr>Navigator</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dc:creator>
  <cp:lastModifiedBy>Jonathan Constable</cp:lastModifiedBy>
  <dcterms:created xsi:type="dcterms:W3CDTF">2020-12-22T11:57:29Z</dcterms:created>
  <dcterms:modified xsi:type="dcterms:W3CDTF">2025-09-18T11:24:00Z</dcterms:modified>
</cp:coreProperties>
</file>