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DC2580F8-FB38-4C2E-84C7-ECADBB6A16F6}" xr6:coauthVersionLast="47" xr6:coauthVersionMax="47" xr10:uidLastSave="{00000000-0000-0000-0000-000000000000}"/>
  <bookViews>
    <workbookView xWindow="-108" yWindow="-108" windowWidth="23256" windowHeight="12576" xr2:uid="{2EE3470A-FF43-457C-8FEE-F5C764B78EA1}"/>
  </bookViews>
  <sheets>
    <sheet name="Instructions" sheetId="2" r:id="rId1"/>
    <sheet name="TOC" sheetId="3" r:id="rId2"/>
    <sheet name="GLM_ExampleCalc" sheetId="4" r:id="rId3"/>
    <sheet name="GLM_DesignMatrix" sheetId="5" r:id="rId4"/>
    <sheet name="GLM_Offsets" sheetId="6" r:id="rId5"/>
    <sheet name="GLM_Quantiles" sheetId="7" r:id="rId6"/>
    <sheet name="GLM_DLC" sheetId="8" r:id="rId7"/>
    <sheet name="GLM_LRChart" sheetId="9" r:id="rId8"/>
    <sheet name="GLM_ConfMatrix" sheetId="10" r:id="rId9"/>
    <sheet name="GLM_Sensitivity" sheetId="11" r:id="rId10"/>
    <sheet name="Fisher_QuintilesTest" sheetId="12" r:id="rId11"/>
    <sheet name="Fisher_QuintilesTest2" sheetId="13" r:id="rId12"/>
    <sheet name="Fisher_Efficiency" sheetId="14" r:id="rId13"/>
    <sheet name="Fisher_RS5" sheetId="15" r:id="rId14"/>
    <sheet name="Fisher_RS7" sheetId="16" r:id="rId15"/>
    <sheet name="Fisher_CashflowRetro" sheetId="17" r:id="rId16"/>
    <sheet name="Fisher_CashflowLDD" sheetId="18" r:id="rId17"/>
    <sheet name="Fisher_AggDed1" sheetId="19" r:id="rId18"/>
    <sheet name="Fisher_AggDed2" sheetId="20" r:id="rId19"/>
    <sheet name="Fisher_UniTableM" sheetId="21" r:id="rId20"/>
    <sheet name="Fisher_ExpTableM" sheetId="22" r:id="rId21"/>
    <sheet name="Fisher_EstNetInsCharge" sheetId="23" r:id="rId22"/>
    <sheet name="Fisher_TblMBalEqDeriv" sheetId="24" r:id="rId23"/>
    <sheet name="Fisher_LtdTblMBalEqDeriv" sheetId="25" r:id="rId24"/>
    <sheet name="Fisher_TblLBalEqDeriv" sheetId="26" r:id="rId25"/>
    <sheet name="Fisher_Vert" sheetId="27" r:id="rId26"/>
    <sheet name="Fisher_Horiz" sheetId="28" r:id="rId27"/>
    <sheet name="Fisher_Ch3Q13" sheetId="29" r:id="rId28"/>
    <sheet name="Fisher_Ch3Q14" sheetId="30" r:id="rId29"/>
    <sheet name="Fisher_TableLEx" sheetId="31" r:id="rId30"/>
    <sheet name="Fisher_ICRLLEx" sheetId="32" r:id="rId31"/>
    <sheet name="Bahnemann_Ex5-4" sheetId="33" r:id="rId32"/>
    <sheet name="Bahnemann_Ex6-3" sheetId="34" r:id="rId33"/>
    <sheet name="Bahnemann_Consistency" sheetId="35" r:id="rId34"/>
    <sheet name="Bahnemann_StrDed" sheetId="36" r:id="rId35"/>
    <sheet name="Bahnemann_FranchDed" sheetId="37" r:id="rId36"/>
    <sheet name="2014_Q5" sheetId="38" r:id="rId37"/>
    <sheet name="2012_Q6" sheetId="39" r:id="rId38"/>
    <sheet name="2011_Q1" sheetId="40" r:id="rId39"/>
    <sheet name="ISO_StandardCSLC" sheetId="41" r:id="rId40"/>
    <sheet name="ISO_PACR_CSLC" sheetId="42" r:id="rId41"/>
    <sheet name="ISO_HistExp_CSLC" sheetId="43" r:id="rId42"/>
    <sheet name="ISO_CalcExpMod" sheetId="44" r:id="rId43"/>
    <sheet name="ISO_NoBasicPremiums" sheetId="45" r:id="rId44"/>
    <sheet name="Q5_2015" sheetId="46" r:id="rId45"/>
    <sheet name="Q2_2011" sheetId="47" r:id="rId46"/>
    <sheet name="Q5_2012" sheetId="48" r:id="rId47"/>
    <sheet name="NCCI_ExperienceEx" sheetId="49" r:id="rId48"/>
    <sheet name="Q1a_2018" sheetId="50" r:id="rId49"/>
    <sheet name="Q1b_2018" sheetId="51" r:id="rId50"/>
    <sheet name="Mahler_Rating" sheetId="52" r:id="rId51"/>
    <sheet name="NCCI_BasicPremFactor" sheetId="53" r:id="rId52"/>
    <sheet name="NCCI_BasicPremFactorPractice" sheetId="54" r:id="rId53"/>
    <sheet name="NCCI_InfoMergeEx" sheetId="55" r:id="rId54"/>
    <sheet name="NCCI_InfoSevPDF" sheetId="56" r:id="rId5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6" l="1"/>
  <c r="K8" i="56" s="1"/>
  <c r="L8" i="56" s="1"/>
  <c r="K7" i="56"/>
  <c r="L7" i="56" s="1"/>
  <c r="C7" i="56"/>
  <c r="C5" i="56"/>
  <c r="K11" i="55"/>
  <c r="K10" i="55"/>
  <c r="K9" i="55"/>
  <c r="K8" i="55"/>
  <c r="K7" i="55"/>
  <c r="K6" i="55"/>
  <c r="Q46" i="54"/>
  <c r="M46" i="54"/>
  <c r="Q45" i="54"/>
  <c r="M45" i="54"/>
  <c r="Q44" i="54"/>
  <c r="M44" i="54"/>
  <c r="N36" i="54"/>
  <c r="M36" i="54"/>
  <c r="N35" i="54"/>
  <c r="M35" i="54"/>
  <c r="N34" i="54"/>
  <c r="M34" i="54"/>
  <c r="L23" i="54"/>
  <c r="L22" i="54"/>
  <c r="L21" i="54"/>
  <c r="L24" i="54" s="1"/>
  <c r="L18" i="54"/>
  <c r="L17" i="54"/>
  <c r="L7" i="54"/>
  <c r="L6" i="54"/>
  <c r="L13" i="54" s="1"/>
  <c r="L14" i="54" s="1"/>
  <c r="F44" i="53"/>
  <c r="D44" i="53"/>
  <c r="F43" i="53"/>
  <c r="D43" i="53"/>
  <c r="F42" i="53"/>
  <c r="D42" i="53"/>
  <c r="F40" i="53"/>
  <c r="D40" i="53"/>
  <c r="F39" i="53"/>
  <c r="D39" i="53"/>
  <c r="K38" i="53"/>
  <c r="F38" i="53"/>
  <c r="D38" i="53"/>
  <c r="M37" i="53"/>
  <c r="M36" i="53"/>
  <c r="M35" i="53"/>
  <c r="M38" i="53" s="1"/>
  <c r="N38" i="53" s="1"/>
  <c r="J9" i="53" s="1"/>
  <c r="J10" i="53" s="1"/>
  <c r="J23" i="53"/>
  <c r="J22" i="53"/>
  <c r="J21" i="53"/>
  <c r="J24" i="53" s="1"/>
  <c r="J18" i="53"/>
  <c r="J17" i="53"/>
  <c r="J8" i="53"/>
  <c r="M49" i="53" s="1"/>
  <c r="J6" i="53"/>
  <c r="D14" i="52"/>
  <c r="D13" i="52"/>
  <c r="D12" i="52"/>
  <c r="D11" i="52"/>
  <c r="D10" i="52"/>
  <c r="Q22" i="51"/>
  <c r="P22" i="51"/>
  <c r="O42" i="51" s="1"/>
  <c r="O22" i="51"/>
  <c r="O41" i="51" s="1"/>
  <c r="N22" i="51"/>
  <c r="P21" i="51"/>
  <c r="O21" i="51"/>
  <c r="N21" i="51"/>
  <c r="P20" i="51"/>
  <c r="O20" i="51"/>
  <c r="Q21" i="51" s="1"/>
  <c r="N20" i="51"/>
  <c r="P19" i="51"/>
  <c r="O19" i="51"/>
  <c r="N19" i="51"/>
  <c r="P18" i="51"/>
  <c r="O18" i="51"/>
  <c r="Q20" i="51" s="1"/>
  <c r="N18" i="51"/>
  <c r="I18" i="51"/>
  <c r="H18" i="51"/>
  <c r="G18" i="51"/>
  <c r="F18" i="51"/>
  <c r="E18" i="51"/>
  <c r="D18" i="51"/>
  <c r="N29" i="50"/>
  <c r="P17" i="50"/>
  <c r="P25" i="50" s="1"/>
  <c r="N17" i="50"/>
  <c r="I18" i="50"/>
  <c r="H18" i="50"/>
  <c r="O17" i="50" s="1"/>
  <c r="G18" i="50"/>
  <c r="F18" i="50"/>
  <c r="E18" i="50"/>
  <c r="D18" i="50"/>
  <c r="P16" i="50"/>
  <c r="O16" i="50"/>
  <c r="N16" i="50"/>
  <c r="N28" i="50" s="1"/>
  <c r="P15" i="50"/>
  <c r="O15" i="50"/>
  <c r="N15" i="50"/>
  <c r="N27" i="50" s="1"/>
  <c r="P14" i="50"/>
  <c r="O14" i="50"/>
  <c r="N14" i="50"/>
  <c r="N26" i="50" s="1"/>
  <c r="P13" i="50"/>
  <c r="O13" i="50"/>
  <c r="N13" i="50"/>
  <c r="N25" i="50" s="1"/>
  <c r="P12" i="50"/>
  <c r="O12" i="50"/>
  <c r="N12" i="50"/>
  <c r="N24" i="50" s="1"/>
  <c r="N30" i="49"/>
  <c r="M30" i="49"/>
  <c r="N29" i="49"/>
  <c r="M29" i="49"/>
  <c r="O29" i="49" s="1"/>
  <c r="N28" i="49"/>
  <c r="M28" i="49"/>
  <c r="N27" i="49"/>
  <c r="M27" i="49"/>
  <c r="Q26" i="49"/>
  <c r="N26" i="49"/>
  <c r="M26" i="49"/>
  <c r="M18" i="49"/>
  <c r="M17" i="49"/>
  <c r="M8" i="49"/>
  <c r="M44" i="49" s="1"/>
  <c r="M7" i="49"/>
  <c r="M4" i="49"/>
  <c r="M3" i="49"/>
  <c r="Q54" i="48"/>
  <c r="Q50" i="48"/>
  <c r="Q48" i="48"/>
  <c r="Q49" i="48" s="1"/>
  <c r="O45" i="48"/>
  <c r="Q39" i="48"/>
  <c r="Q40" i="48" s="1"/>
  <c r="Q38" i="48"/>
  <c r="Q33" i="48"/>
  <c r="Q34" i="48" s="1"/>
  <c r="Q35" i="48" s="1"/>
  <c r="O14" i="48"/>
  <c r="O13" i="48"/>
  <c r="O10" i="48"/>
  <c r="O9" i="48"/>
  <c r="K19" i="47"/>
  <c r="K18" i="47"/>
  <c r="K16" i="47"/>
  <c r="K15" i="47"/>
  <c r="K13" i="47"/>
  <c r="K12" i="47"/>
  <c r="I18" i="46"/>
  <c r="H18" i="46"/>
  <c r="G18" i="46"/>
  <c r="F18" i="46"/>
  <c r="E18" i="46"/>
  <c r="D18" i="46"/>
  <c r="T18" i="45"/>
  <c r="T17" i="45"/>
  <c r="S10" i="45"/>
  <c r="R10" i="45"/>
  <c r="Q10" i="45"/>
  <c r="U10" i="45" s="1"/>
  <c r="S9" i="45"/>
  <c r="R9" i="45"/>
  <c r="Q9" i="45"/>
  <c r="C9" i="45"/>
  <c r="P3" i="45"/>
  <c r="P46" i="44"/>
  <c r="N46" i="44"/>
  <c r="P45" i="44"/>
  <c r="N45" i="44"/>
  <c r="P44" i="44"/>
  <c r="N44" i="44"/>
  <c r="P43" i="44"/>
  <c r="N43" i="44"/>
  <c r="N42" i="44"/>
  <c r="N41" i="44"/>
  <c r="M31" i="44"/>
  <c r="L31" i="44"/>
  <c r="K31" i="44"/>
  <c r="M30" i="44"/>
  <c r="K30" i="44"/>
  <c r="L30" i="44" s="1"/>
  <c r="N30" i="44" s="1"/>
  <c r="O30" i="44" s="1"/>
  <c r="M29" i="44"/>
  <c r="L29" i="44"/>
  <c r="N29" i="44" s="1"/>
  <c r="K29" i="44"/>
  <c r="M28" i="44"/>
  <c r="K28" i="44"/>
  <c r="L28" i="44" s="1"/>
  <c r="N28" i="44" s="1"/>
  <c r="M27" i="44"/>
  <c r="K27" i="44"/>
  <c r="L27" i="44" s="1"/>
  <c r="M26" i="44"/>
  <c r="K26" i="44"/>
  <c r="L26" i="44" s="1"/>
  <c r="M25" i="44"/>
  <c r="K25" i="44"/>
  <c r="L25" i="44" s="1"/>
  <c r="M24" i="44"/>
  <c r="K24" i="44"/>
  <c r="L24" i="44" s="1"/>
  <c r="N24" i="44" s="1"/>
  <c r="M23" i="44"/>
  <c r="K23" i="44"/>
  <c r="L23" i="44" s="1"/>
  <c r="M22" i="44"/>
  <c r="L22" i="44"/>
  <c r="N22" i="44" s="1"/>
  <c r="O22" i="44" s="1"/>
  <c r="K22" i="44"/>
  <c r="K11" i="44"/>
  <c r="K10" i="44"/>
  <c r="O45" i="44" s="1"/>
  <c r="Q45" i="44" s="1"/>
  <c r="K9" i="44"/>
  <c r="L5" i="44"/>
  <c r="K8" i="44" s="1"/>
  <c r="X24" i="43"/>
  <c r="W24" i="43"/>
  <c r="T24" i="43"/>
  <c r="S24" i="43"/>
  <c r="R24" i="43"/>
  <c r="Q24" i="43"/>
  <c r="U24" i="43" s="1"/>
  <c r="Y24" i="43" s="1"/>
  <c r="X23" i="43"/>
  <c r="T23" i="43"/>
  <c r="S23" i="43"/>
  <c r="R23" i="43"/>
  <c r="Q23" i="43"/>
  <c r="X22" i="43"/>
  <c r="T22" i="43"/>
  <c r="S22" i="43"/>
  <c r="R22" i="43"/>
  <c r="Q22" i="43"/>
  <c r="U22" i="43" s="1"/>
  <c r="Y22" i="43" s="1"/>
  <c r="X21" i="43"/>
  <c r="T21" i="43"/>
  <c r="S21" i="43"/>
  <c r="R21" i="43"/>
  <c r="Q21" i="43"/>
  <c r="U21" i="43" s="1"/>
  <c r="Y21" i="43" s="1"/>
  <c r="X20" i="43"/>
  <c r="U20" i="43"/>
  <c r="T20" i="43"/>
  <c r="S20" i="43"/>
  <c r="R20" i="43"/>
  <c r="Q20" i="43"/>
  <c r="X19" i="43"/>
  <c r="T19" i="43"/>
  <c r="S19" i="43"/>
  <c r="U19" i="43" s="1"/>
  <c r="Y19" i="43" s="1"/>
  <c r="R19" i="43"/>
  <c r="Q19" i="43"/>
  <c r="T23" i="42"/>
  <c r="S23" i="42"/>
  <c r="R23" i="42"/>
  <c r="P23" i="42"/>
  <c r="O23" i="42"/>
  <c r="N23" i="42"/>
  <c r="T22" i="42"/>
  <c r="S22" i="42"/>
  <c r="R22" i="42"/>
  <c r="P22" i="42"/>
  <c r="O22" i="42"/>
  <c r="N22" i="42"/>
  <c r="T21" i="42"/>
  <c r="S21" i="42"/>
  <c r="R21" i="42"/>
  <c r="P21" i="42"/>
  <c r="Q21" i="42" s="1"/>
  <c r="U21" i="42" s="1"/>
  <c r="O21" i="42"/>
  <c r="N21" i="42"/>
  <c r="T20" i="42"/>
  <c r="S20" i="42"/>
  <c r="R20" i="42"/>
  <c r="P20" i="42"/>
  <c r="O20" i="42"/>
  <c r="N20" i="42"/>
  <c r="T19" i="42"/>
  <c r="S19" i="42"/>
  <c r="R19" i="42"/>
  <c r="P19" i="42"/>
  <c r="O19" i="42"/>
  <c r="N19" i="42"/>
  <c r="T18" i="42"/>
  <c r="S18" i="42"/>
  <c r="R18" i="42"/>
  <c r="P18" i="42"/>
  <c r="O18" i="42"/>
  <c r="N18" i="42"/>
  <c r="P25" i="41"/>
  <c r="O25" i="41"/>
  <c r="N25" i="41"/>
  <c r="M25" i="41"/>
  <c r="Q25" i="41" s="1"/>
  <c r="P24" i="41"/>
  <c r="O24" i="41"/>
  <c r="N24" i="41"/>
  <c r="M24" i="41"/>
  <c r="P23" i="41"/>
  <c r="O23" i="41"/>
  <c r="N23" i="41"/>
  <c r="M23" i="41"/>
  <c r="P22" i="41"/>
  <c r="O22" i="41"/>
  <c r="N22" i="41"/>
  <c r="M22" i="41"/>
  <c r="Q22" i="41" s="1"/>
  <c r="P21" i="41"/>
  <c r="O21" i="41"/>
  <c r="N21" i="41"/>
  <c r="Q21" i="41" s="1"/>
  <c r="M21" i="41"/>
  <c r="P20" i="41"/>
  <c r="O20" i="41"/>
  <c r="N20" i="41"/>
  <c r="M20" i="41"/>
  <c r="L14" i="41"/>
  <c r="L13" i="41"/>
  <c r="L27" i="40"/>
  <c r="M27" i="40" s="1"/>
  <c r="N27" i="40" s="1"/>
  <c r="L26" i="40"/>
  <c r="M26" i="40" s="1"/>
  <c r="M25" i="40"/>
  <c r="L25" i="40"/>
  <c r="F13" i="40"/>
  <c r="O7" i="40" s="1"/>
  <c r="M18" i="40" s="1"/>
  <c r="N18" i="40" s="1"/>
  <c r="E13" i="40"/>
  <c r="N7" i="40"/>
  <c r="M24" i="39"/>
  <c r="M23" i="39"/>
  <c r="M22" i="39"/>
  <c r="N11" i="39"/>
  <c r="M11" i="39"/>
  <c r="Q11" i="39" s="1"/>
  <c r="L11" i="39"/>
  <c r="L24" i="39" s="1"/>
  <c r="N10" i="39"/>
  <c r="Q10" i="39" s="1"/>
  <c r="M10" i="39"/>
  <c r="O10" i="39" s="1"/>
  <c r="L10" i="39"/>
  <c r="L23" i="39" s="1"/>
  <c r="N9" i="39"/>
  <c r="N12" i="39" s="1"/>
  <c r="M9" i="39"/>
  <c r="M12" i="39" s="1"/>
  <c r="L9" i="39"/>
  <c r="K17" i="38"/>
  <c r="K16" i="38"/>
  <c r="K15" i="38"/>
  <c r="F12" i="38"/>
  <c r="K11" i="38" s="1"/>
  <c r="E12" i="38"/>
  <c r="D12" i="38"/>
  <c r="M8" i="56" l="1"/>
  <c r="N7" i="56" s="1"/>
  <c r="O7" i="56" s="1"/>
  <c r="J9" i="56"/>
  <c r="O36" i="54"/>
  <c r="L8" i="54"/>
  <c r="O34" i="54"/>
  <c r="M37" i="54"/>
  <c r="O47" i="54"/>
  <c r="P45" i="54" s="1"/>
  <c r="R45" i="54" s="1"/>
  <c r="L15" i="54"/>
  <c r="L16" i="54" s="1"/>
  <c r="O35" i="54"/>
  <c r="J7" i="53"/>
  <c r="J20" i="53"/>
  <c r="J25" i="53"/>
  <c r="N48" i="53"/>
  <c r="P48" i="53" s="1"/>
  <c r="N47" i="53"/>
  <c r="P47" i="53" s="1"/>
  <c r="N46" i="53"/>
  <c r="P46" i="53" s="1"/>
  <c r="P49" i="53" s="1"/>
  <c r="J12" i="53" s="1"/>
  <c r="J13" i="53"/>
  <c r="J14" i="53" s="1"/>
  <c r="J15" i="53"/>
  <c r="J11" i="53"/>
  <c r="M18" i="52"/>
  <c r="M21" i="52" s="1"/>
  <c r="M24" i="52" s="1"/>
  <c r="O33" i="51"/>
  <c r="O34" i="51"/>
  <c r="O35" i="51" s="1"/>
  <c r="O28" i="50"/>
  <c r="O25" i="50"/>
  <c r="O29" i="50"/>
  <c r="O27" i="50"/>
  <c r="O26" i="50"/>
  <c r="O24" i="50"/>
  <c r="P28" i="50"/>
  <c r="P29" i="50"/>
  <c r="P26" i="50"/>
  <c r="P24" i="50"/>
  <c r="P27" i="50"/>
  <c r="O30" i="49"/>
  <c r="P30" i="49" s="1"/>
  <c r="O27" i="49"/>
  <c r="N12" i="49"/>
  <c r="N14" i="49" s="1"/>
  <c r="O28" i="49"/>
  <c r="P28" i="49" s="1"/>
  <c r="O26" i="49"/>
  <c r="P26" i="49" s="1"/>
  <c r="P29" i="49"/>
  <c r="M43" i="49"/>
  <c r="Q51" i="48"/>
  <c r="R53" i="48" s="1"/>
  <c r="P58" i="48" s="1"/>
  <c r="T10" i="45"/>
  <c r="U9" i="45"/>
  <c r="U11" i="45"/>
  <c r="T9" i="45"/>
  <c r="O29" i="44"/>
  <c r="N25" i="44"/>
  <c r="N23" i="44"/>
  <c r="O23" i="44" s="1"/>
  <c r="N26" i="44"/>
  <c r="N31" i="44"/>
  <c r="O31" i="44" s="1"/>
  <c r="N27" i="44"/>
  <c r="O26" i="44"/>
  <c r="O28" i="44"/>
  <c r="O42" i="44"/>
  <c r="Q42" i="44" s="1"/>
  <c r="O44" i="44"/>
  <c r="Q44" i="44" s="1"/>
  <c r="O25" i="44"/>
  <c r="O46" i="44"/>
  <c r="Q46" i="44" s="1"/>
  <c r="O27" i="44"/>
  <c r="O24" i="44"/>
  <c r="O41" i="44"/>
  <c r="Q41" i="44" s="1"/>
  <c r="O43" i="44"/>
  <c r="Q43" i="44" s="1"/>
  <c r="Y20" i="43"/>
  <c r="Y25" i="43" s="1"/>
  <c r="U23" i="43"/>
  <c r="Y23" i="43" s="1"/>
  <c r="Q20" i="42"/>
  <c r="U20" i="42" s="1"/>
  <c r="Q23" i="42"/>
  <c r="U23" i="42" s="1"/>
  <c r="Q22" i="42"/>
  <c r="U22" i="42" s="1"/>
  <c r="Q19" i="42"/>
  <c r="U19" i="42" s="1"/>
  <c r="Q18" i="42"/>
  <c r="U18" i="42" s="1"/>
  <c r="U24" i="42" s="1"/>
  <c r="Q24" i="41"/>
  <c r="Q23" i="41"/>
  <c r="Q20" i="41"/>
  <c r="N25" i="40"/>
  <c r="N26" i="40"/>
  <c r="M19" i="40"/>
  <c r="N19" i="40" s="1"/>
  <c r="M20" i="40"/>
  <c r="N20" i="40" s="1"/>
  <c r="O20" i="40" s="1"/>
  <c r="O9" i="39"/>
  <c r="Q12" i="39"/>
  <c r="R12" i="39" s="1"/>
  <c r="N24" i="39"/>
  <c r="L12" i="39"/>
  <c r="O12" i="39" s="1"/>
  <c r="P12" i="39" s="1"/>
  <c r="N23" i="39"/>
  <c r="O11" i="39"/>
  <c r="L22" i="39"/>
  <c r="N22" i="39" s="1"/>
  <c r="Q9" i="39"/>
  <c r="L15" i="38"/>
  <c r="M15" i="38" s="1"/>
  <c r="L17" i="38"/>
  <c r="M17" i="38" s="1"/>
  <c r="K12" i="38"/>
  <c r="L16" i="38" s="1"/>
  <c r="O37" i="54" l="1"/>
  <c r="P37" i="54" s="1"/>
  <c r="L9" i="54" s="1"/>
  <c r="L10" i="54" s="1"/>
  <c r="L11" i="54" s="1"/>
  <c r="L20" i="54" s="1"/>
  <c r="K9" i="56"/>
  <c r="L9" i="56" s="1"/>
  <c r="M9" i="56" s="1"/>
  <c r="N8" i="56" s="1"/>
  <c r="O8" i="56" s="1"/>
  <c r="J10" i="56"/>
  <c r="P46" i="54"/>
  <c r="R46" i="54" s="1"/>
  <c r="P44" i="54"/>
  <c r="R44" i="54" s="1"/>
  <c r="R47" i="54" s="1"/>
  <c r="L12" i="54" s="1"/>
  <c r="J19" i="53"/>
  <c r="J16" i="53"/>
  <c r="J26" i="53" s="1"/>
  <c r="O35" i="50"/>
  <c r="O34" i="50"/>
  <c r="O38" i="50"/>
  <c r="O37" i="50"/>
  <c r="O31" i="49"/>
  <c r="P27" i="49"/>
  <c r="P31" i="49" s="1"/>
  <c r="T11" i="45"/>
  <c r="O32" i="44"/>
  <c r="Q47" i="44"/>
  <c r="Q26" i="41"/>
  <c r="O18" i="40"/>
  <c r="O19" i="40"/>
  <c r="P11" i="39"/>
  <c r="P9" i="39"/>
  <c r="R9" i="39"/>
  <c r="R11" i="39"/>
  <c r="P10" i="39"/>
  <c r="R10" i="39"/>
  <c r="J28" i="38"/>
  <c r="J27" i="38"/>
  <c r="J25" i="38"/>
  <c r="M16" i="38"/>
  <c r="N23" i="38" s="1"/>
  <c r="L25" i="54" l="1"/>
  <c r="L26" i="54" s="1"/>
  <c r="L19" i="54"/>
  <c r="J11" i="56"/>
  <c r="K10" i="56"/>
  <c r="L10" i="56" s="1"/>
  <c r="M10" i="56" s="1"/>
  <c r="N9" i="56" s="1"/>
  <c r="O9" i="56" s="1"/>
  <c r="M38" i="49"/>
  <c r="M39" i="49"/>
  <c r="M47" i="49" s="1"/>
  <c r="Q17" i="45"/>
  <c r="Q18" i="45"/>
  <c r="R18" i="45"/>
  <c r="R17" i="45"/>
  <c r="T39" i="44"/>
  <c r="S38" i="44"/>
  <c r="J12" i="56" l="1"/>
  <c r="K11" i="56"/>
  <c r="L11" i="56" s="1"/>
  <c r="M11" i="56" s="1"/>
  <c r="N10" i="56" s="1"/>
  <c r="O10" i="56" s="1"/>
  <c r="M46" i="49"/>
  <c r="S18" i="45"/>
  <c r="U18" i="45" s="1"/>
  <c r="S17" i="45"/>
  <c r="U17" i="45" s="1"/>
  <c r="T42" i="44"/>
  <c r="T41" i="44"/>
  <c r="K12" i="56" l="1"/>
  <c r="L12" i="56" s="1"/>
  <c r="M12" i="56" s="1"/>
  <c r="N11" i="56" s="1"/>
  <c r="O11" i="56" s="1"/>
  <c r="J13" i="56"/>
  <c r="S44" i="44"/>
  <c r="W45" i="44"/>
  <c r="J14" i="56" l="1"/>
  <c r="K13" i="56"/>
  <c r="L13" i="56" s="1"/>
  <c r="M13" i="56" s="1"/>
  <c r="N12" i="56" s="1"/>
  <c r="O12" i="56" s="1"/>
  <c r="J15" i="56" l="1"/>
  <c r="K14" i="56"/>
  <c r="L14" i="56" s="1"/>
  <c r="M14" i="56" s="1"/>
  <c r="N13" i="56" s="1"/>
  <c r="O13" i="56" s="1"/>
  <c r="J16" i="56" l="1"/>
  <c r="K15" i="56"/>
  <c r="L15" i="56" s="1"/>
  <c r="M15" i="56" s="1"/>
  <c r="N14" i="56" s="1"/>
  <c r="O14" i="56" s="1"/>
  <c r="K16" i="56" l="1"/>
  <c r="L16" i="56" s="1"/>
  <c r="M16" i="56" s="1"/>
  <c r="N15" i="56" s="1"/>
  <c r="O15" i="56" s="1"/>
  <c r="J17" i="56"/>
  <c r="K17" i="56" s="1"/>
  <c r="L17" i="56" s="1"/>
  <c r="M17" i="56" s="1"/>
  <c r="N16" i="56" s="1"/>
  <c r="O17" i="56" l="1"/>
  <c r="O16" i="56"/>
  <c r="O17" i="37" l="1"/>
  <c r="P17" i="37" s="1"/>
  <c r="N17" i="37"/>
  <c r="M17" i="37"/>
  <c r="O16" i="37"/>
  <c r="N16" i="37"/>
  <c r="M16" i="37"/>
  <c r="O15" i="37"/>
  <c r="Q15" i="37" s="1"/>
  <c r="N15" i="37"/>
  <c r="R15" i="37" s="1"/>
  <c r="M15" i="37"/>
  <c r="Q14" i="37"/>
  <c r="O14" i="37"/>
  <c r="N14" i="37"/>
  <c r="M14" i="37"/>
  <c r="P14" i="37" s="1"/>
  <c r="O13" i="37"/>
  <c r="Q13" i="37" s="1"/>
  <c r="N13" i="37"/>
  <c r="M13" i="37"/>
  <c r="P13" i="37" s="1"/>
  <c r="O12" i="37"/>
  <c r="Q12" i="37" s="1"/>
  <c r="N12" i="37"/>
  <c r="M12" i="37"/>
  <c r="S11" i="37"/>
  <c r="R11" i="37"/>
  <c r="Q11" i="37"/>
  <c r="P11" i="37"/>
  <c r="N11" i="37"/>
  <c r="M11" i="37"/>
  <c r="C27" i="36"/>
  <c r="C26" i="36"/>
  <c r="C25" i="36"/>
  <c r="M23" i="36"/>
  <c r="E21" i="36"/>
  <c r="Q16" i="36"/>
  <c r="O16" i="36"/>
  <c r="N16" i="36"/>
  <c r="R16" i="36" s="1"/>
  <c r="M16" i="36"/>
  <c r="O15" i="36"/>
  <c r="R15" i="36" s="1"/>
  <c r="N15" i="36"/>
  <c r="M15" i="36"/>
  <c r="O14" i="36"/>
  <c r="Q14" i="36" s="1"/>
  <c r="N14" i="36"/>
  <c r="M14" i="36"/>
  <c r="Q13" i="36"/>
  <c r="O13" i="36"/>
  <c r="N13" i="36"/>
  <c r="R13" i="36" s="1"/>
  <c r="M13" i="36"/>
  <c r="P12" i="36"/>
  <c r="O12" i="36"/>
  <c r="Q12" i="36" s="1"/>
  <c r="N12" i="36"/>
  <c r="M12" i="36"/>
  <c r="S19" i="36" s="1"/>
  <c r="O11" i="36"/>
  <c r="Q11" i="36" s="1"/>
  <c r="N11" i="36"/>
  <c r="M11" i="36"/>
  <c r="S10" i="36"/>
  <c r="R10" i="36"/>
  <c r="Q10" i="36"/>
  <c r="P10" i="36"/>
  <c r="N10" i="36"/>
  <c r="M10" i="36"/>
  <c r="L9" i="35"/>
  <c r="K9" i="35"/>
  <c r="L8" i="35"/>
  <c r="M8" i="35" s="1"/>
  <c r="K22" i="35" s="1"/>
  <c r="K27" i="35" s="1"/>
  <c r="K8" i="35"/>
  <c r="L7" i="35"/>
  <c r="K7" i="35"/>
  <c r="L6" i="35"/>
  <c r="M7" i="35" s="1"/>
  <c r="K6" i="35"/>
  <c r="L5" i="35"/>
  <c r="K5" i="35"/>
  <c r="L47" i="34"/>
  <c r="M40" i="34"/>
  <c r="L37" i="34"/>
  <c r="C34" i="34"/>
  <c r="L31" i="34"/>
  <c r="C32" i="34"/>
  <c r="C31" i="34"/>
  <c r="L27" i="34"/>
  <c r="C28" i="34"/>
  <c r="C26" i="34"/>
  <c r="M24" i="34"/>
  <c r="C23" i="34"/>
  <c r="D20" i="34"/>
  <c r="M25" i="34" s="1"/>
  <c r="C19" i="34"/>
  <c r="D19" i="34" s="1"/>
  <c r="M17" i="34" s="1"/>
  <c r="O16" i="34"/>
  <c r="M16" i="34"/>
  <c r="L13" i="34"/>
  <c r="M12" i="34"/>
  <c r="F15" i="33"/>
  <c r="E15" i="33"/>
  <c r="O11" i="33" s="1"/>
  <c r="D15" i="33"/>
  <c r="N11" i="33" s="1"/>
  <c r="F14" i="33"/>
  <c r="F13" i="33"/>
  <c r="P9" i="33" s="1"/>
  <c r="M11" i="33"/>
  <c r="F12" i="33"/>
  <c r="P10" i="33"/>
  <c r="O10" i="33"/>
  <c r="N10" i="33"/>
  <c r="M10" i="33"/>
  <c r="F11" i="33"/>
  <c r="P7" i="33" s="1"/>
  <c r="Q9" i="33"/>
  <c r="O9" i="33"/>
  <c r="N9" i="33"/>
  <c r="M9" i="33"/>
  <c r="G10" i="33"/>
  <c r="F10" i="33"/>
  <c r="P6" i="33" s="1"/>
  <c r="P8" i="33"/>
  <c r="O8" i="33"/>
  <c r="N8" i="33"/>
  <c r="M8" i="33"/>
  <c r="G9" i="33"/>
  <c r="Q5" i="33" s="1"/>
  <c r="F9" i="33"/>
  <c r="P5" i="33" s="1"/>
  <c r="Q7" i="33"/>
  <c r="O7" i="33"/>
  <c r="N7" i="33"/>
  <c r="M7" i="33"/>
  <c r="H8" i="33"/>
  <c r="R4" i="33" s="1"/>
  <c r="F8" i="33"/>
  <c r="P4" i="33" s="1"/>
  <c r="Q6" i="33"/>
  <c r="O6" i="33"/>
  <c r="N6" i="33"/>
  <c r="M6" i="33"/>
  <c r="O5" i="33"/>
  <c r="N5" i="33"/>
  <c r="M5" i="33"/>
  <c r="O4" i="33"/>
  <c r="N4" i="33"/>
  <c r="M4" i="33"/>
  <c r="P3" i="33"/>
  <c r="O3" i="33"/>
  <c r="N3" i="33"/>
  <c r="M3" i="33"/>
  <c r="N32" i="32"/>
  <c r="N31" i="32" s="1"/>
  <c r="N13" i="32"/>
  <c r="N17" i="32" s="1"/>
  <c r="C11" i="32"/>
  <c r="N9" i="32"/>
  <c r="O8" i="32" s="1"/>
  <c r="I43" i="31"/>
  <c r="K23" i="31"/>
  <c r="J23" i="31"/>
  <c r="K22" i="31"/>
  <c r="J22" i="31"/>
  <c r="K21" i="31"/>
  <c r="J21" i="31"/>
  <c r="K20" i="31"/>
  <c r="L20" i="31" s="1"/>
  <c r="J20" i="31"/>
  <c r="K19" i="31"/>
  <c r="J19" i="31"/>
  <c r="K18" i="31"/>
  <c r="J18" i="31"/>
  <c r="K17" i="31"/>
  <c r="J17" i="31"/>
  <c r="E18" i="31"/>
  <c r="D18" i="31"/>
  <c r="K16" i="31"/>
  <c r="J16" i="31"/>
  <c r="K15" i="31"/>
  <c r="L15" i="31" s="1"/>
  <c r="J15" i="31"/>
  <c r="I15" i="31"/>
  <c r="I16" i="31" s="1"/>
  <c r="I17" i="31" s="1"/>
  <c r="I18" i="31" s="1"/>
  <c r="I19" i="31" s="1"/>
  <c r="I20" i="31" s="1"/>
  <c r="I21" i="31" s="1"/>
  <c r="I22" i="31" s="1"/>
  <c r="I23" i="31" s="1"/>
  <c r="K14" i="31"/>
  <c r="J14" i="31"/>
  <c r="C9" i="31"/>
  <c r="C10" i="31" s="1"/>
  <c r="C11" i="31" s="1"/>
  <c r="C12" i="31" s="1"/>
  <c r="C13" i="31" s="1"/>
  <c r="C14" i="31" s="1"/>
  <c r="C15" i="31" s="1"/>
  <c r="C16" i="31" s="1"/>
  <c r="C17" i="31" s="1"/>
  <c r="I48" i="30"/>
  <c r="J45" i="30"/>
  <c r="J44" i="30" s="1"/>
  <c r="I44" i="30"/>
  <c r="I36" i="30"/>
  <c r="C13" i="30"/>
  <c r="I11" i="30"/>
  <c r="C11" i="30"/>
  <c r="I10" i="30"/>
  <c r="C8" i="30"/>
  <c r="C7" i="30"/>
  <c r="C6" i="30"/>
  <c r="I5" i="30"/>
  <c r="I4" i="30"/>
  <c r="I3" i="30"/>
  <c r="I2" i="30"/>
  <c r="Q26" i="29"/>
  <c r="P26" i="29"/>
  <c r="C25" i="29"/>
  <c r="C24" i="29"/>
  <c r="C23" i="29"/>
  <c r="I20" i="29"/>
  <c r="C20" i="29"/>
  <c r="I18" i="29"/>
  <c r="N18" i="29" s="1"/>
  <c r="C19" i="29"/>
  <c r="J17" i="29"/>
  <c r="C18" i="29"/>
  <c r="D15" i="29"/>
  <c r="D14" i="29"/>
  <c r="Q12" i="29"/>
  <c r="P12" i="29"/>
  <c r="I8" i="29"/>
  <c r="Q10" i="29" s="1"/>
  <c r="E7" i="29"/>
  <c r="D7" i="29"/>
  <c r="I5" i="29"/>
  <c r="J5" i="29" s="1"/>
  <c r="J16" i="28"/>
  <c r="K16" i="28" s="1"/>
  <c r="J15" i="28"/>
  <c r="K15" i="28" s="1"/>
  <c r="K14" i="28"/>
  <c r="J14" i="28"/>
  <c r="J13" i="28"/>
  <c r="K13" i="28" s="1"/>
  <c r="K12" i="28"/>
  <c r="J12" i="28"/>
  <c r="J11" i="28"/>
  <c r="K11" i="28" s="1"/>
  <c r="J10" i="28"/>
  <c r="K10" i="28" s="1"/>
  <c r="J9" i="28"/>
  <c r="K9" i="28" s="1"/>
  <c r="J8" i="28"/>
  <c r="K8" i="28" s="1"/>
  <c r="C9" i="28"/>
  <c r="I8" i="28" s="1"/>
  <c r="J7" i="28"/>
  <c r="K7" i="28" s="1"/>
  <c r="I7" i="28"/>
  <c r="T21" i="28"/>
  <c r="U21" i="28" s="1"/>
  <c r="V21" i="28" s="1"/>
  <c r="W21" i="28" s="1"/>
  <c r="X21" i="28" s="1"/>
  <c r="Y21" i="28" s="1"/>
  <c r="Z21" i="28" s="1"/>
  <c r="AA21" i="28" s="1"/>
  <c r="AB21" i="28" s="1"/>
  <c r="I4" i="28"/>
  <c r="J65" i="27"/>
  <c r="J66" i="27" s="1"/>
  <c r="J67" i="27" s="1"/>
  <c r="J68" i="27" s="1"/>
  <c r="J69" i="27" s="1"/>
  <c r="J70" i="27" s="1"/>
  <c r="J71" i="27" s="1"/>
  <c r="J72" i="27" s="1"/>
  <c r="J73" i="27" s="1"/>
  <c r="J74" i="27" s="1"/>
  <c r="J75" i="27" s="1"/>
  <c r="J76" i="27" s="1"/>
  <c r="J77" i="27" s="1"/>
  <c r="J78" i="27" s="1"/>
  <c r="J79" i="27" s="1"/>
  <c r="J80" i="27" s="1"/>
  <c r="J81" i="27" s="1"/>
  <c r="J82" i="27" s="1"/>
  <c r="J83" i="27" s="1"/>
  <c r="J84" i="27" s="1"/>
  <c r="J85" i="27" s="1"/>
  <c r="J86" i="27" s="1"/>
  <c r="J87" i="27" s="1"/>
  <c r="J88" i="27" s="1"/>
  <c r="J89" i="27" s="1"/>
  <c r="J90" i="27" s="1"/>
  <c r="J91" i="27" s="1"/>
  <c r="J92" i="27" s="1"/>
  <c r="J93" i="27" s="1"/>
  <c r="J94" i="27" s="1"/>
  <c r="L64" i="27"/>
  <c r="J62" i="27"/>
  <c r="K43" i="27"/>
  <c r="C21" i="27"/>
  <c r="K17" i="27"/>
  <c r="L17" i="27" s="1"/>
  <c r="K16" i="27"/>
  <c r="L16" i="27" s="1"/>
  <c r="K15" i="27"/>
  <c r="L15" i="27" s="1"/>
  <c r="K14" i="27"/>
  <c r="L14" i="27" s="1"/>
  <c r="K13" i="27"/>
  <c r="L13" i="27" s="1"/>
  <c r="K12" i="27"/>
  <c r="L12" i="27" s="1"/>
  <c r="K11" i="27"/>
  <c r="L11" i="27" s="1"/>
  <c r="K10" i="27"/>
  <c r="L10" i="27" s="1"/>
  <c r="M9" i="27"/>
  <c r="M10" i="27" s="1"/>
  <c r="M11" i="27" s="1"/>
  <c r="M12" i="27" s="1"/>
  <c r="M13" i="27" s="1"/>
  <c r="M14" i="27" s="1"/>
  <c r="M15" i="27" s="1"/>
  <c r="M16" i="27" s="1"/>
  <c r="M17" i="27" s="1"/>
  <c r="K9" i="27"/>
  <c r="L9" i="27" s="1"/>
  <c r="C9" i="27"/>
  <c r="J9" i="27" s="1"/>
  <c r="L8" i="27"/>
  <c r="N8" i="27" s="1"/>
  <c r="K8" i="27"/>
  <c r="K42" i="27" s="1"/>
  <c r="J8" i="27"/>
  <c r="J42" i="27" s="1"/>
  <c r="C5" i="27"/>
  <c r="J4" i="27"/>
  <c r="M23" i="23"/>
  <c r="C19" i="23"/>
  <c r="C16" i="23"/>
  <c r="D14" i="23"/>
  <c r="C5" i="23"/>
  <c r="L37" i="22"/>
  <c r="M37" i="22" s="1"/>
  <c r="N37" i="22" s="1"/>
  <c r="O37" i="22" s="1"/>
  <c r="L36" i="22"/>
  <c r="M36" i="22" s="1"/>
  <c r="N36" i="22" s="1"/>
  <c r="O36" i="22" s="1"/>
  <c r="L35" i="22"/>
  <c r="M35" i="22" s="1"/>
  <c r="N35" i="22" s="1"/>
  <c r="O35" i="22" s="1"/>
  <c r="L22" i="22"/>
  <c r="C6" i="22"/>
  <c r="M12" i="21"/>
  <c r="B13" i="21"/>
  <c r="C6" i="21" s="1"/>
  <c r="M11" i="21"/>
  <c r="M10" i="21"/>
  <c r="C5" i="21"/>
  <c r="Q17" i="37" l="1"/>
  <c r="R14" i="37"/>
  <c r="P12" i="37"/>
  <c r="R16" i="37"/>
  <c r="R17" i="37"/>
  <c r="S14" i="37"/>
  <c r="S17" i="37"/>
  <c r="S15" i="37"/>
  <c r="R13" i="37"/>
  <c r="S13" i="37" s="1"/>
  <c r="R12" i="37"/>
  <c r="S12" i="37" s="1"/>
  <c r="P16" i="37"/>
  <c r="P15" i="37"/>
  <c r="Q16" i="37"/>
  <c r="R14" i="36"/>
  <c r="R12" i="36"/>
  <c r="S12" i="36" s="1"/>
  <c r="R11" i="36"/>
  <c r="S11" i="36" s="1"/>
  <c r="S14" i="36"/>
  <c r="S16" i="36"/>
  <c r="O20" i="36"/>
  <c r="S13" i="36"/>
  <c r="P16" i="36"/>
  <c r="P15" i="36"/>
  <c r="P14" i="36"/>
  <c r="Q15" i="36"/>
  <c r="S15" i="36" s="1"/>
  <c r="P13" i="36"/>
  <c r="N24" i="36" s="1"/>
  <c r="P11" i="36"/>
  <c r="M9" i="35"/>
  <c r="M6" i="35"/>
  <c r="J14" i="35" s="1"/>
  <c r="L19" i="35"/>
  <c r="K21" i="35"/>
  <c r="N26" i="34"/>
  <c r="M28" i="34" s="1"/>
  <c r="N18" i="34"/>
  <c r="M21" i="34" s="1"/>
  <c r="M41" i="34"/>
  <c r="M43" i="34" s="1"/>
  <c r="M45" i="34" s="1"/>
  <c r="M10" i="34"/>
  <c r="M11" i="34"/>
  <c r="M38" i="34"/>
  <c r="N18" i="33"/>
  <c r="R7" i="33"/>
  <c r="N19" i="33"/>
  <c r="R5" i="33"/>
  <c r="N16" i="33"/>
  <c r="R9" i="33"/>
  <c r="N15" i="33"/>
  <c r="P11" i="33"/>
  <c r="H10" i="33"/>
  <c r="R6" i="33" s="1"/>
  <c r="I10" i="33"/>
  <c r="G12" i="33"/>
  <c r="Q8" i="33" s="1"/>
  <c r="G14" i="33"/>
  <c r="Q10" i="33" s="1"/>
  <c r="H12" i="33"/>
  <c r="R8" i="33" s="1"/>
  <c r="G8" i="33"/>
  <c r="Q4" i="33" s="1"/>
  <c r="H14" i="33"/>
  <c r="R10" i="33" s="1"/>
  <c r="N20" i="32"/>
  <c r="N23" i="32" s="1"/>
  <c r="N26" i="32" s="1"/>
  <c r="O16" i="32"/>
  <c r="O12" i="32"/>
  <c r="L18" i="31"/>
  <c r="L22" i="31"/>
  <c r="L16" i="31"/>
  <c r="I6" i="31"/>
  <c r="L14" i="31"/>
  <c r="L17" i="31"/>
  <c r="L19" i="31"/>
  <c r="L21" i="31"/>
  <c r="L23" i="31"/>
  <c r="J48" i="30"/>
  <c r="Q24" i="29"/>
  <c r="N14" i="29"/>
  <c r="M14" i="29"/>
  <c r="P10" i="29"/>
  <c r="I21" i="29"/>
  <c r="I22" i="29" s="1"/>
  <c r="I23" i="29" s="1"/>
  <c r="R24" i="29" s="1"/>
  <c r="N28" i="29" s="1"/>
  <c r="J8" i="29"/>
  <c r="C10" i="28"/>
  <c r="C11" i="28" s="1"/>
  <c r="C12" i="28"/>
  <c r="I10" i="28"/>
  <c r="I47" i="28"/>
  <c r="I48" i="28"/>
  <c r="I49" i="28"/>
  <c r="I50" i="28"/>
  <c r="K45" i="28"/>
  <c r="I54" i="28"/>
  <c r="S22" i="28"/>
  <c r="T22" i="28" s="1"/>
  <c r="U22" i="28" s="1"/>
  <c r="V22" i="28" s="1"/>
  <c r="W22" i="28" s="1"/>
  <c r="X22" i="28" s="1"/>
  <c r="X23" i="28" s="1"/>
  <c r="I46" i="28"/>
  <c r="I9" i="28"/>
  <c r="I53" i="28"/>
  <c r="J45" i="28"/>
  <c r="I52" i="28"/>
  <c r="I51" i="28"/>
  <c r="O8" i="27"/>
  <c r="K45" i="27"/>
  <c r="K47" i="27"/>
  <c r="K49" i="27"/>
  <c r="K51" i="27"/>
  <c r="N14" i="27"/>
  <c r="L48" i="27"/>
  <c r="M48" i="27" s="1"/>
  <c r="O14" i="27"/>
  <c r="N9" i="27"/>
  <c r="O9" i="27"/>
  <c r="L43" i="27"/>
  <c r="M43" i="27" s="1"/>
  <c r="N10" i="27"/>
  <c r="O10" i="27"/>
  <c r="L44" i="27"/>
  <c r="M44" i="27" s="1"/>
  <c r="J43" i="27"/>
  <c r="N16" i="27"/>
  <c r="L50" i="27"/>
  <c r="M50" i="27" s="1"/>
  <c r="O16" i="27"/>
  <c r="N17" i="27"/>
  <c r="O17" i="27"/>
  <c r="L51" i="27"/>
  <c r="M51" i="27" s="1"/>
  <c r="N11" i="27"/>
  <c r="O11" i="27"/>
  <c r="L45" i="27"/>
  <c r="M45" i="27" s="1"/>
  <c r="N15" i="27"/>
  <c r="O15" i="27"/>
  <c r="L49" i="27"/>
  <c r="M49" i="27" s="1"/>
  <c r="N12" i="27"/>
  <c r="L46" i="27"/>
  <c r="M46" i="27" s="1"/>
  <c r="O12" i="27"/>
  <c r="N13" i="27"/>
  <c r="O13" i="27"/>
  <c r="L47" i="27"/>
  <c r="M47" i="27" s="1"/>
  <c r="K44" i="27"/>
  <c r="K46" i="27"/>
  <c r="K48" i="27"/>
  <c r="K50" i="27"/>
  <c r="L42" i="27"/>
  <c r="C10" i="27"/>
  <c r="N17" i="23"/>
  <c r="C6" i="23"/>
  <c r="N10" i="23"/>
  <c r="N18" i="23"/>
  <c r="O20" i="23" s="1"/>
  <c r="N11" i="23"/>
  <c r="O14" i="23" s="1"/>
  <c r="N11" i="21"/>
  <c r="N33" i="21" s="1"/>
  <c r="N10" i="21"/>
  <c r="M23" i="21" s="1"/>
  <c r="M27" i="21"/>
  <c r="N32" i="21"/>
  <c r="M19" i="21"/>
  <c r="M18" i="21"/>
  <c r="O32" i="21"/>
  <c r="R27" i="21"/>
  <c r="O33" i="21"/>
  <c r="N12" i="21"/>
  <c r="N34" i="21" s="1"/>
  <c r="O34" i="21" s="1"/>
  <c r="O15" i="20"/>
  <c r="N15" i="20"/>
  <c r="M15" i="20"/>
  <c r="L15" i="20"/>
  <c r="O14" i="20"/>
  <c r="N14" i="20"/>
  <c r="M14" i="20"/>
  <c r="L14" i="20"/>
  <c r="O13" i="20"/>
  <c r="N13" i="20"/>
  <c r="M13" i="20"/>
  <c r="L13" i="20"/>
  <c r="O12" i="20"/>
  <c r="N12" i="20"/>
  <c r="M12" i="20"/>
  <c r="P12" i="20" s="1"/>
  <c r="R12" i="20" s="1"/>
  <c r="L12" i="20"/>
  <c r="R11" i="20"/>
  <c r="Q11" i="20"/>
  <c r="P11" i="20"/>
  <c r="O11" i="20"/>
  <c r="N11" i="20"/>
  <c r="M11" i="20"/>
  <c r="L11" i="20"/>
  <c r="O15" i="19"/>
  <c r="N15" i="19"/>
  <c r="M15" i="19"/>
  <c r="L15" i="19"/>
  <c r="O14" i="19"/>
  <c r="N14" i="19"/>
  <c r="M14" i="19"/>
  <c r="L14" i="19"/>
  <c r="O13" i="19"/>
  <c r="N13" i="19"/>
  <c r="M13" i="19"/>
  <c r="L13" i="19"/>
  <c r="O12" i="19"/>
  <c r="N12" i="19"/>
  <c r="M12" i="19"/>
  <c r="L12" i="19"/>
  <c r="R11" i="19"/>
  <c r="Q11" i="19"/>
  <c r="P11" i="19"/>
  <c r="O11" i="19"/>
  <c r="N11" i="19"/>
  <c r="M11" i="19"/>
  <c r="L11" i="19"/>
  <c r="P36" i="18"/>
  <c r="P35" i="18"/>
  <c r="O35" i="18"/>
  <c r="P34" i="18"/>
  <c r="P33" i="18"/>
  <c r="P32" i="18"/>
  <c r="P31" i="18"/>
  <c r="O31" i="18"/>
  <c r="P30" i="18"/>
  <c r="P29" i="18"/>
  <c r="P28" i="18"/>
  <c r="P27" i="18"/>
  <c r="O27" i="18"/>
  <c r="P26" i="18"/>
  <c r="N26" i="18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C22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O25" i="18"/>
  <c r="Q25" i="18" s="1"/>
  <c r="R25" i="18" s="1"/>
  <c r="S66" i="18"/>
  <c r="V64" i="18"/>
  <c r="U64" i="18"/>
  <c r="S64" i="18"/>
  <c r="Q64" i="18"/>
  <c r="P64" i="18"/>
  <c r="V63" i="18"/>
  <c r="U63" i="18"/>
  <c r="S63" i="18"/>
  <c r="Q63" i="18"/>
  <c r="P63" i="18"/>
  <c r="V62" i="18"/>
  <c r="U62" i="18"/>
  <c r="S62" i="18"/>
  <c r="Q62" i="18"/>
  <c r="P62" i="18"/>
  <c r="O62" i="18"/>
  <c r="V61" i="18"/>
  <c r="U61" i="18"/>
  <c r="S61" i="18"/>
  <c r="Q61" i="18"/>
  <c r="P61" i="18"/>
  <c r="R61" i="18" s="1"/>
  <c r="O61" i="18"/>
  <c r="O12" i="18"/>
  <c r="O33" i="18" s="1"/>
  <c r="V60" i="18"/>
  <c r="U60" i="18"/>
  <c r="S60" i="18"/>
  <c r="Q60" i="18"/>
  <c r="P60" i="18"/>
  <c r="O60" i="18"/>
  <c r="T60" i="18" s="1"/>
  <c r="N11" i="18"/>
  <c r="V59" i="18"/>
  <c r="U59" i="18"/>
  <c r="S59" i="18"/>
  <c r="Q59" i="18"/>
  <c r="P59" i="18"/>
  <c r="R59" i="18" s="1"/>
  <c r="O59" i="18"/>
  <c r="V58" i="18"/>
  <c r="U58" i="18"/>
  <c r="S58" i="18"/>
  <c r="Q58" i="18"/>
  <c r="P58" i="18"/>
  <c r="R58" i="18" s="1"/>
  <c r="O58" i="18"/>
  <c r="T58" i="18" s="1"/>
  <c r="V57" i="18"/>
  <c r="U57" i="18"/>
  <c r="S57" i="18"/>
  <c r="Q57" i="18"/>
  <c r="P57" i="18"/>
  <c r="O57" i="18"/>
  <c r="O8" i="18"/>
  <c r="O11" i="18" s="1"/>
  <c r="V56" i="18"/>
  <c r="U56" i="18"/>
  <c r="T56" i="18"/>
  <c r="S56" i="18"/>
  <c r="Q56" i="18"/>
  <c r="P56" i="18"/>
  <c r="O56" i="18"/>
  <c r="N7" i="18"/>
  <c r="V55" i="18"/>
  <c r="U55" i="18"/>
  <c r="S55" i="18"/>
  <c r="Q55" i="18"/>
  <c r="P55" i="18"/>
  <c r="O55" i="18"/>
  <c r="V54" i="18"/>
  <c r="U54" i="18"/>
  <c r="T54" i="18"/>
  <c r="S54" i="18"/>
  <c r="Q54" i="18"/>
  <c r="P54" i="18"/>
  <c r="O54" i="18"/>
  <c r="N54" i="18"/>
  <c r="N55" i="18" s="1"/>
  <c r="N56" i="18" s="1"/>
  <c r="N57" i="18" s="1"/>
  <c r="N58" i="18" s="1"/>
  <c r="N59" i="18" s="1"/>
  <c r="N60" i="18" s="1"/>
  <c r="N61" i="18" s="1"/>
  <c r="N62" i="18" s="1"/>
  <c r="N63" i="18" s="1"/>
  <c r="N64" i="18" s="1"/>
  <c r="U53" i="18"/>
  <c r="T53" i="18"/>
  <c r="S53" i="18"/>
  <c r="R53" i="18"/>
  <c r="O53" i="18"/>
  <c r="O38" i="17"/>
  <c r="O37" i="17"/>
  <c r="O36" i="17"/>
  <c r="O35" i="17"/>
  <c r="O34" i="17"/>
  <c r="O33" i="17"/>
  <c r="O32" i="17"/>
  <c r="O84" i="17"/>
  <c r="O31" i="17"/>
  <c r="O30" i="17"/>
  <c r="O29" i="17"/>
  <c r="O28" i="17"/>
  <c r="N28" i="17"/>
  <c r="N29" i="17" s="1"/>
  <c r="C23" i="17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P27" i="17"/>
  <c r="O57" i="17" s="1"/>
  <c r="S73" i="17"/>
  <c r="V68" i="17"/>
  <c r="U68" i="17"/>
  <c r="S68" i="17"/>
  <c r="Q68" i="17"/>
  <c r="P68" i="17"/>
  <c r="V67" i="17"/>
  <c r="U67" i="17"/>
  <c r="S67" i="17"/>
  <c r="Q67" i="17"/>
  <c r="P67" i="17"/>
  <c r="V66" i="17"/>
  <c r="U66" i="17"/>
  <c r="S66" i="17"/>
  <c r="Q66" i="17"/>
  <c r="P66" i="17"/>
  <c r="V65" i="17"/>
  <c r="U65" i="17"/>
  <c r="S65" i="17"/>
  <c r="Q65" i="17"/>
  <c r="P65" i="17"/>
  <c r="V64" i="17"/>
  <c r="U64" i="17"/>
  <c r="S64" i="17"/>
  <c r="Q64" i="17"/>
  <c r="P64" i="17"/>
  <c r="O12" i="17"/>
  <c r="V63" i="17"/>
  <c r="U63" i="17"/>
  <c r="S63" i="17"/>
  <c r="Q63" i="17"/>
  <c r="P63" i="17"/>
  <c r="N11" i="17"/>
  <c r="V62" i="17"/>
  <c r="U62" i="17"/>
  <c r="S62" i="17"/>
  <c r="Q62" i="17"/>
  <c r="P62" i="17"/>
  <c r="V61" i="17"/>
  <c r="U61" i="17"/>
  <c r="S61" i="17"/>
  <c r="Q61" i="17"/>
  <c r="P61" i="17"/>
  <c r="O9" i="17"/>
  <c r="V60" i="17"/>
  <c r="U60" i="17"/>
  <c r="S60" i="17"/>
  <c r="Q60" i="17"/>
  <c r="P60" i="17"/>
  <c r="O8" i="17"/>
  <c r="V59" i="17"/>
  <c r="U59" i="17"/>
  <c r="S59" i="17"/>
  <c r="Q59" i="17"/>
  <c r="P59" i="17"/>
  <c r="V58" i="17"/>
  <c r="U58" i="17"/>
  <c r="S58" i="17"/>
  <c r="Q58" i="17"/>
  <c r="P58" i="17"/>
  <c r="N58" i="17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U57" i="17"/>
  <c r="S57" i="17"/>
  <c r="R57" i="17"/>
  <c r="O3" i="17"/>
  <c r="S16" i="37" l="1"/>
  <c r="O21" i="34"/>
  <c r="M14" i="34"/>
  <c r="M13" i="34"/>
  <c r="M48" i="34"/>
  <c r="M33" i="34"/>
  <c r="M32" i="34"/>
  <c r="I12" i="33"/>
  <c r="I8" i="33"/>
  <c r="S8" i="33"/>
  <c r="S7" i="33"/>
  <c r="N22" i="33"/>
  <c r="N21" i="33"/>
  <c r="S4" i="33"/>
  <c r="S5" i="33"/>
  <c r="S6" i="33"/>
  <c r="S9" i="33"/>
  <c r="N25" i="32"/>
  <c r="N29" i="32"/>
  <c r="N34" i="32" s="1"/>
  <c r="O19" i="32"/>
  <c r="N22" i="32"/>
  <c r="N24" i="32"/>
  <c r="O36" i="31"/>
  <c r="J52" i="31" s="1"/>
  <c r="J27" i="31"/>
  <c r="I28" i="31"/>
  <c r="I5" i="31"/>
  <c r="M28" i="29"/>
  <c r="J22" i="29"/>
  <c r="J20" i="29"/>
  <c r="M49" i="28"/>
  <c r="K50" i="28"/>
  <c r="J50" i="28"/>
  <c r="M48" i="28"/>
  <c r="K49" i="28"/>
  <c r="J49" i="28"/>
  <c r="V24" i="28"/>
  <c r="V25" i="28" s="1"/>
  <c r="Y22" i="28"/>
  <c r="V23" i="28"/>
  <c r="J51" i="28"/>
  <c r="M50" i="28"/>
  <c r="K51" i="28"/>
  <c r="K52" i="28"/>
  <c r="J52" i="28"/>
  <c r="M51" i="28"/>
  <c r="M47" i="28"/>
  <c r="J48" i="28"/>
  <c r="K48" i="28"/>
  <c r="U23" i="28"/>
  <c r="U24" i="28" s="1"/>
  <c r="K46" i="28"/>
  <c r="J46" i="28"/>
  <c r="M45" i="28"/>
  <c r="O54" i="28"/>
  <c r="K54" i="28"/>
  <c r="J54" i="28"/>
  <c r="M53" i="28"/>
  <c r="X24" i="28"/>
  <c r="T23" i="28"/>
  <c r="K53" i="28"/>
  <c r="J53" i="28"/>
  <c r="M52" i="28"/>
  <c r="M46" i="28"/>
  <c r="K47" i="28"/>
  <c r="J47" i="28"/>
  <c r="W23" i="28"/>
  <c r="I11" i="28"/>
  <c r="C13" i="28"/>
  <c r="C11" i="27"/>
  <c r="J10" i="27"/>
  <c r="M42" i="27"/>
  <c r="M52" i="27" s="1"/>
  <c r="O13" i="23"/>
  <c r="O21" i="23"/>
  <c r="O25" i="23" s="1"/>
  <c r="P13" i="20"/>
  <c r="Q13" i="20" s="1"/>
  <c r="Q12" i="20"/>
  <c r="P12" i="19"/>
  <c r="R12" i="19" s="1"/>
  <c r="P13" i="19" s="1"/>
  <c r="Q13" i="19" s="1"/>
  <c r="R60" i="18"/>
  <c r="W60" i="18" s="1"/>
  <c r="R63" i="18"/>
  <c r="R54" i="18"/>
  <c r="Q33" i="18"/>
  <c r="Q31" i="18"/>
  <c r="R64" i="18"/>
  <c r="W54" i="18"/>
  <c r="X54" i="18" s="1"/>
  <c r="Q27" i="18"/>
  <c r="R55" i="18"/>
  <c r="R56" i="18"/>
  <c r="W56" i="18" s="1"/>
  <c r="R57" i="18"/>
  <c r="Q35" i="18"/>
  <c r="W53" i="18"/>
  <c r="X53" i="18" s="1"/>
  <c r="R62" i="18"/>
  <c r="W59" i="18"/>
  <c r="W58" i="18"/>
  <c r="T61" i="18"/>
  <c r="W61" i="18" s="1"/>
  <c r="O28" i="18"/>
  <c r="Q28" i="18" s="1"/>
  <c r="O32" i="18"/>
  <c r="Q32" i="18" s="1"/>
  <c r="O36" i="18"/>
  <c r="Q36" i="18" s="1"/>
  <c r="R36" i="18" s="1"/>
  <c r="T59" i="18"/>
  <c r="T55" i="18"/>
  <c r="T57" i="18"/>
  <c r="O63" i="18"/>
  <c r="T62" i="18"/>
  <c r="O64" i="18"/>
  <c r="O26" i="18"/>
  <c r="Q26" i="18" s="1"/>
  <c r="R26" i="18" s="1"/>
  <c r="O30" i="18"/>
  <c r="Q30" i="18" s="1"/>
  <c r="O34" i="18"/>
  <c r="Q34" i="18" s="1"/>
  <c r="R34" i="18" s="1"/>
  <c r="O29" i="18"/>
  <c r="Q29" i="18" s="1"/>
  <c r="R68" i="17"/>
  <c r="R67" i="17"/>
  <c r="R58" i="17"/>
  <c r="Q27" i="17"/>
  <c r="R27" i="17" s="1"/>
  <c r="R59" i="17"/>
  <c r="R63" i="17"/>
  <c r="R66" i="17"/>
  <c r="R62" i="17"/>
  <c r="R65" i="17"/>
  <c r="R61" i="17"/>
  <c r="R60" i="17"/>
  <c r="R64" i="17"/>
  <c r="N30" i="17"/>
  <c r="P29" i="17"/>
  <c r="P28" i="17"/>
  <c r="T57" i="17"/>
  <c r="W57" i="17" s="1"/>
  <c r="X57" i="17" s="1"/>
  <c r="M21" i="16"/>
  <c r="O21" i="16" s="1"/>
  <c r="L21" i="16"/>
  <c r="O20" i="16"/>
  <c r="M20" i="16"/>
  <c r="L20" i="16"/>
  <c r="O19" i="16"/>
  <c r="M19" i="16"/>
  <c r="L19" i="16"/>
  <c r="O18" i="16"/>
  <c r="M18" i="16"/>
  <c r="L18" i="16"/>
  <c r="M17" i="16"/>
  <c r="O17" i="16" s="1"/>
  <c r="L17" i="16"/>
  <c r="M16" i="16"/>
  <c r="M22" i="16" s="1"/>
  <c r="M25" i="16" s="1"/>
  <c r="L16" i="16"/>
  <c r="C13" i="16"/>
  <c r="C12" i="16"/>
  <c r="M7" i="16"/>
  <c r="M6" i="16"/>
  <c r="M5" i="16"/>
  <c r="N7" i="15"/>
  <c r="M12" i="15" s="1"/>
  <c r="M10" i="15" s="1"/>
  <c r="N6" i="15"/>
  <c r="N5" i="15"/>
  <c r="N18" i="14"/>
  <c r="M19" i="14" s="1"/>
  <c r="M18" i="14"/>
  <c r="M11" i="14"/>
  <c r="L11" i="14"/>
  <c r="M10" i="14"/>
  <c r="L10" i="14"/>
  <c r="M9" i="14"/>
  <c r="L9" i="14"/>
  <c r="M8" i="14"/>
  <c r="L8" i="14"/>
  <c r="M7" i="14"/>
  <c r="M12" i="14" s="1"/>
  <c r="L7" i="14"/>
  <c r="K17" i="13"/>
  <c r="J17" i="13"/>
  <c r="M20" i="13" s="1"/>
  <c r="K16" i="13"/>
  <c r="J16" i="13"/>
  <c r="K15" i="13"/>
  <c r="M21" i="13" s="1"/>
  <c r="J15" i="13"/>
  <c r="K14" i="13"/>
  <c r="J14" i="13"/>
  <c r="K13" i="13"/>
  <c r="J13" i="13"/>
  <c r="L20" i="13" s="1"/>
  <c r="H15" i="12"/>
  <c r="H14" i="12"/>
  <c r="O11" i="12"/>
  <c r="H13" i="12"/>
  <c r="H12" i="12"/>
  <c r="H11" i="12"/>
  <c r="H10" i="12"/>
  <c r="H9" i="12"/>
  <c r="K6" i="12"/>
  <c r="H8" i="12"/>
  <c r="H7" i="12"/>
  <c r="O4" i="12"/>
  <c r="H6" i="12"/>
  <c r="M10" i="12" s="1"/>
  <c r="L5" i="11"/>
  <c r="N9" i="11" s="1"/>
  <c r="O11" i="11" s="1"/>
  <c r="K5" i="11"/>
  <c r="L4" i="11"/>
  <c r="K4" i="11"/>
  <c r="N7" i="11" s="1"/>
  <c r="P34" i="10"/>
  <c r="C24" i="10"/>
  <c r="O16" i="10"/>
  <c r="N16" i="10"/>
  <c r="O15" i="10"/>
  <c r="N15" i="10"/>
  <c r="Q15" i="10" s="1"/>
  <c r="P14" i="10"/>
  <c r="O14" i="10"/>
  <c r="N14" i="10"/>
  <c r="O13" i="10"/>
  <c r="N13" i="10"/>
  <c r="O12" i="10"/>
  <c r="N12" i="10"/>
  <c r="C13" i="10"/>
  <c r="C14" i="10" s="1"/>
  <c r="O11" i="10"/>
  <c r="N11" i="10"/>
  <c r="C12" i="10"/>
  <c r="O10" i="10"/>
  <c r="N10" i="10"/>
  <c r="Q10" i="10" s="1"/>
  <c r="O9" i="10"/>
  <c r="N9" i="10"/>
  <c r="O8" i="10"/>
  <c r="N8" i="10"/>
  <c r="O7" i="10"/>
  <c r="N7" i="10"/>
  <c r="O6" i="10"/>
  <c r="N6" i="10"/>
  <c r="P6" i="10" s="1"/>
  <c r="M6" i="10"/>
  <c r="O5" i="10"/>
  <c r="N5" i="10"/>
  <c r="M5" i="10"/>
  <c r="Q4" i="10"/>
  <c r="Q16" i="10" s="1"/>
  <c r="P4" i="10"/>
  <c r="M34" i="10" s="1"/>
  <c r="U15" i="9"/>
  <c r="T15" i="9"/>
  <c r="V15" i="9" s="1"/>
  <c r="V14" i="9"/>
  <c r="U14" i="9"/>
  <c r="T14" i="9"/>
  <c r="U13" i="9"/>
  <c r="T13" i="9"/>
  <c r="V13" i="9" s="1"/>
  <c r="U12" i="9"/>
  <c r="T12" i="9"/>
  <c r="V12" i="9" s="1"/>
  <c r="U11" i="9"/>
  <c r="V11" i="9" s="1"/>
  <c r="T11" i="9"/>
  <c r="U10" i="9"/>
  <c r="T10" i="9"/>
  <c r="V10" i="9" s="1"/>
  <c r="U9" i="9"/>
  <c r="T9" i="9"/>
  <c r="V9" i="9" s="1"/>
  <c r="V8" i="9"/>
  <c r="U8" i="9"/>
  <c r="T8" i="9"/>
  <c r="U7" i="9"/>
  <c r="T7" i="9"/>
  <c r="V7" i="9" s="1"/>
  <c r="U6" i="9"/>
  <c r="T6" i="9"/>
  <c r="V6" i="9" s="1"/>
  <c r="P14" i="8"/>
  <c r="O14" i="8"/>
  <c r="Q14" i="8" s="1"/>
  <c r="N14" i="8"/>
  <c r="M14" i="8"/>
  <c r="P13" i="8"/>
  <c r="O13" i="8"/>
  <c r="N13" i="8"/>
  <c r="Q13" i="8" s="1"/>
  <c r="M13" i="8"/>
  <c r="P12" i="8"/>
  <c r="O12" i="8"/>
  <c r="N12" i="8"/>
  <c r="M12" i="8"/>
  <c r="P11" i="8"/>
  <c r="O11" i="8"/>
  <c r="N11" i="8"/>
  <c r="M11" i="8"/>
  <c r="P10" i="8"/>
  <c r="O10" i="8"/>
  <c r="N10" i="8"/>
  <c r="Q10" i="8" s="1"/>
  <c r="M10" i="8"/>
  <c r="P9" i="8"/>
  <c r="O9" i="8"/>
  <c r="N9" i="8"/>
  <c r="M9" i="8"/>
  <c r="P8" i="8"/>
  <c r="O8" i="8"/>
  <c r="N8" i="8"/>
  <c r="M8" i="8"/>
  <c r="P7" i="8"/>
  <c r="O7" i="8"/>
  <c r="N7" i="8"/>
  <c r="Q7" i="8" s="1"/>
  <c r="M7" i="8"/>
  <c r="P6" i="8"/>
  <c r="O6" i="8"/>
  <c r="N6" i="8"/>
  <c r="Q6" i="8" s="1"/>
  <c r="M6" i="8"/>
  <c r="P5" i="8"/>
  <c r="O5" i="8"/>
  <c r="N5" i="8"/>
  <c r="Q5" i="8" s="1"/>
  <c r="M5" i="8"/>
  <c r="P4" i="8"/>
  <c r="O4" i="8"/>
  <c r="N4" i="8"/>
  <c r="M4" i="8"/>
  <c r="J13" i="7"/>
  <c r="I13" i="7"/>
  <c r="K13" i="7" s="1"/>
  <c r="J12" i="7"/>
  <c r="I12" i="7"/>
  <c r="J11" i="7"/>
  <c r="I11" i="7"/>
  <c r="J10" i="7"/>
  <c r="I10" i="7"/>
  <c r="J9" i="7"/>
  <c r="I9" i="7"/>
  <c r="J8" i="7"/>
  <c r="I8" i="7"/>
  <c r="J7" i="7"/>
  <c r="I7" i="7"/>
  <c r="K7" i="7" s="1"/>
  <c r="C8" i="7"/>
  <c r="H6" i="7" s="1"/>
  <c r="J6" i="7"/>
  <c r="I6" i="7"/>
  <c r="C7" i="7"/>
  <c r="J5" i="7"/>
  <c r="I5" i="7"/>
  <c r="K6" i="7" s="1"/>
  <c r="H5" i="7"/>
  <c r="J4" i="7"/>
  <c r="J24" i="7" s="1"/>
  <c r="I4" i="7"/>
  <c r="H4" i="7"/>
  <c r="J3" i="7"/>
  <c r="I3" i="7"/>
  <c r="H3" i="7"/>
  <c r="Q8" i="6"/>
  <c r="Q7" i="6"/>
  <c r="Q6" i="6"/>
  <c r="N34" i="5"/>
  <c r="Q21" i="5"/>
  <c r="Q20" i="5"/>
  <c r="Q19" i="5"/>
  <c r="Q18" i="5"/>
  <c r="O8" i="5"/>
  <c r="N36" i="5" s="1"/>
  <c r="N8" i="5"/>
  <c r="N35" i="5" s="1"/>
  <c r="O7" i="5"/>
  <c r="N7" i="5"/>
  <c r="N33" i="5" s="1"/>
  <c r="N28" i="32" l="1"/>
  <c r="K27" i="31"/>
  <c r="L27" i="31" s="1"/>
  <c r="J28" i="31"/>
  <c r="M27" i="31"/>
  <c r="I44" i="31"/>
  <c r="I29" i="31"/>
  <c r="Z22" i="28"/>
  <c r="Y23" i="28"/>
  <c r="Y24" i="28" s="1"/>
  <c r="C14" i="28"/>
  <c r="I12" i="28"/>
  <c r="W24" i="28"/>
  <c r="W25" i="28" s="1"/>
  <c r="X25" i="28"/>
  <c r="X26" i="28" s="1"/>
  <c r="J44" i="27"/>
  <c r="J11" i="27"/>
  <c r="C12" i="27"/>
  <c r="O24" i="23"/>
  <c r="R13" i="20"/>
  <c r="Q12" i="19"/>
  <c r="R13" i="19"/>
  <c r="W55" i="18"/>
  <c r="X55" i="18" s="1"/>
  <c r="R31" i="18"/>
  <c r="W62" i="18"/>
  <c r="X59" i="18"/>
  <c r="R32" i="18"/>
  <c r="R28" i="18"/>
  <c r="X61" i="18"/>
  <c r="X62" i="18"/>
  <c r="W57" i="18"/>
  <c r="X57" i="18" s="1"/>
  <c r="X56" i="18"/>
  <c r="T63" i="18"/>
  <c r="W63" i="18" s="1"/>
  <c r="X63" i="18" s="1"/>
  <c r="R29" i="18"/>
  <c r="R27" i="18"/>
  <c r="T64" i="18"/>
  <c r="W64" i="18" s="1"/>
  <c r="X60" i="18"/>
  <c r="R33" i="18"/>
  <c r="R30" i="18"/>
  <c r="R35" i="18"/>
  <c r="O59" i="17"/>
  <c r="Q29" i="17"/>
  <c r="Q28" i="17"/>
  <c r="R28" i="17" s="1"/>
  <c r="O58" i="17"/>
  <c r="P30" i="17"/>
  <c r="N31" i="17"/>
  <c r="M29" i="16"/>
  <c r="M28" i="16"/>
  <c r="L12" i="14"/>
  <c r="M14" i="14"/>
  <c r="N12" i="14"/>
  <c r="L21" i="13"/>
  <c r="N12" i="12"/>
  <c r="L4" i="12"/>
  <c r="N13" i="12"/>
  <c r="O9" i="12"/>
  <c r="N5" i="12"/>
  <c r="K11" i="12"/>
  <c r="N11" i="12"/>
  <c r="K10" i="12"/>
  <c r="K5" i="12"/>
  <c r="O7" i="12"/>
  <c r="K9" i="12"/>
  <c r="O8" i="12"/>
  <c r="N7" i="12"/>
  <c r="L10" i="12"/>
  <c r="O13" i="12"/>
  <c r="M6" i="12"/>
  <c r="M13" i="12"/>
  <c r="K12" i="12"/>
  <c r="L13" i="12"/>
  <c r="O12" i="12"/>
  <c r="M11" i="12"/>
  <c r="M21" i="12" s="1"/>
  <c r="L5" i="12"/>
  <c r="L18" i="12" s="1"/>
  <c r="N6" i="12"/>
  <c r="L9" i="12"/>
  <c r="N10" i="12"/>
  <c r="L12" i="12"/>
  <c r="M7" i="12"/>
  <c r="L6" i="12"/>
  <c r="K4" i="12"/>
  <c r="M5" i="12"/>
  <c r="O6" i="12"/>
  <c r="P19" i="12" s="1"/>
  <c r="K8" i="12"/>
  <c r="J20" i="12" s="1"/>
  <c r="M9" i="12"/>
  <c r="O10" i="12"/>
  <c r="P21" i="12" s="1"/>
  <c r="M12" i="12"/>
  <c r="M22" i="12" s="1"/>
  <c r="L8" i="12"/>
  <c r="L20" i="12" s="1"/>
  <c r="N9" i="12"/>
  <c r="O5" i="12"/>
  <c r="P18" i="12" s="1"/>
  <c r="M4" i="12"/>
  <c r="K7" i="12"/>
  <c r="J19" i="12" s="1"/>
  <c r="M8" i="12"/>
  <c r="M20" i="12" s="1"/>
  <c r="N4" i="12"/>
  <c r="L7" i="12"/>
  <c r="N8" i="12"/>
  <c r="L11" i="12"/>
  <c r="K13" i="12"/>
  <c r="P12" i="10"/>
  <c r="Q14" i="10"/>
  <c r="P10" i="10"/>
  <c r="Q12" i="10"/>
  <c r="P15" i="10"/>
  <c r="P5" i="10"/>
  <c r="P7" i="10"/>
  <c r="Q13" i="10"/>
  <c r="P16" i="10"/>
  <c r="Q8" i="10"/>
  <c r="Q5" i="10"/>
  <c r="Q11" i="10"/>
  <c r="Q6" i="10"/>
  <c r="Q9" i="10"/>
  <c r="P11" i="10"/>
  <c r="N35" i="10" s="1"/>
  <c r="C15" i="10"/>
  <c r="M8" i="10"/>
  <c r="Q7" i="10"/>
  <c r="Q36" i="10" s="1"/>
  <c r="P13" i="10"/>
  <c r="P9" i="10"/>
  <c r="P35" i="10"/>
  <c r="Q35" i="10"/>
  <c r="P36" i="10"/>
  <c r="M7" i="10"/>
  <c r="P8" i="10"/>
  <c r="Q12" i="8"/>
  <c r="Q8" i="8"/>
  <c r="Q9" i="8"/>
  <c r="Q23" i="8"/>
  <c r="O23" i="8"/>
  <c r="P23" i="8"/>
  <c r="Q11" i="8"/>
  <c r="R11" i="8" s="1"/>
  <c r="K8" i="7"/>
  <c r="K12" i="7"/>
  <c r="K5" i="7"/>
  <c r="K9" i="7"/>
  <c r="K4" i="7"/>
  <c r="K10" i="7"/>
  <c r="I19" i="7"/>
  <c r="I29" i="7" s="1"/>
  <c r="I20" i="7"/>
  <c r="I30" i="7" s="1"/>
  <c r="K11" i="7"/>
  <c r="J23" i="7" s="1"/>
  <c r="J33" i="7" s="1"/>
  <c r="I24" i="7"/>
  <c r="I34" i="7" s="1"/>
  <c r="C9" i="7"/>
  <c r="K39" i="4"/>
  <c r="L33" i="4"/>
  <c r="K33" i="4"/>
  <c r="L32" i="4"/>
  <c r="K32" i="4"/>
  <c r="K31" i="4"/>
  <c r="O28" i="4"/>
  <c r="O25" i="4"/>
  <c r="M23" i="4"/>
  <c r="M25" i="4" s="1"/>
  <c r="C24" i="4"/>
  <c r="M22" i="4"/>
  <c r="C23" i="4"/>
  <c r="O20" i="4"/>
  <c r="C20" i="4"/>
  <c r="M18" i="4"/>
  <c r="M20" i="4" s="1"/>
  <c r="C19" i="4"/>
  <c r="P17" i="4"/>
  <c r="M17" i="4"/>
  <c r="K28" i="31" l="1"/>
  <c r="L28" i="31" s="1"/>
  <c r="J29" i="31"/>
  <c r="K29" i="31" s="1"/>
  <c r="L29" i="31" s="1"/>
  <c r="M28" i="31"/>
  <c r="I30" i="31"/>
  <c r="I45" i="31"/>
  <c r="Y25" i="28"/>
  <c r="Y26" i="28" s="1"/>
  <c r="AA22" i="28"/>
  <c r="Z23" i="28"/>
  <c r="X27" i="28"/>
  <c r="I13" i="28"/>
  <c r="C15" i="28"/>
  <c r="W26" i="28"/>
  <c r="J45" i="27"/>
  <c r="C13" i="27"/>
  <c r="J12" i="27"/>
  <c r="P14" i="20"/>
  <c r="Q14" i="20" s="1"/>
  <c r="P14" i="19"/>
  <c r="Q14" i="19" s="1"/>
  <c r="X58" i="18"/>
  <c r="X64" i="18"/>
  <c r="O60" i="17"/>
  <c r="Q30" i="17"/>
  <c r="R30" i="17" s="1"/>
  <c r="P31" i="17"/>
  <c r="N32" i="17"/>
  <c r="T58" i="17"/>
  <c r="W58" i="17" s="1"/>
  <c r="X58" i="17" s="1"/>
  <c r="R29" i="17"/>
  <c r="T59" i="17"/>
  <c r="W59" i="17" s="1"/>
  <c r="M15" i="14"/>
  <c r="K21" i="14"/>
  <c r="P20" i="12"/>
  <c r="J21" i="12"/>
  <c r="O19" i="12"/>
  <c r="M19" i="12"/>
  <c r="M18" i="12"/>
  <c r="O20" i="12"/>
  <c r="Q20" i="12" s="1"/>
  <c r="L22" i="12"/>
  <c r="N22" i="12" s="1"/>
  <c r="N20" i="12"/>
  <c r="J18" i="12"/>
  <c r="P22" i="12"/>
  <c r="O18" i="12"/>
  <c r="Q18" i="12" s="1"/>
  <c r="N18" i="12"/>
  <c r="L19" i="12"/>
  <c r="Q19" i="12" s="1"/>
  <c r="O22" i="12"/>
  <c r="Q22" i="12" s="1"/>
  <c r="O21" i="12"/>
  <c r="J22" i="12"/>
  <c r="L21" i="12"/>
  <c r="N21" i="12" s="1"/>
  <c r="N36" i="10"/>
  <c r="M35" i="10"/>
  <c r="M36" i="10"/>
  <c r="C16" i="10"/>
  <c r="M9" i="10"/>
  <c r="R12" i="8"/>
  <c r="R10" i="8"/>
  <c r="R7" i="8"/>
  <c r="R6" i="8"/>
  <c r="R13" i="8"/>
  <c r="R5" i="8"/>
  <c r="R9" i="8"/>
  <c r="R14" i="8"/>
  <c r="R8" i="8"/>
  <c r="Q20" i="8" s="1"/>
  <c r="V20" i="8" s="1"/>
  <c r="Q19" i="8"/>
  <c r="V19" i="8" s="1"/>
  <c r="J34" i="7"/>
  <c r="J21" i="7"/>
  <c r="J31" i="7" s="1"/>
  <c r="J22" i="7"/>
  <c r="J32" i="7" s="1"/>
  <c r="I21" i="7"/>
  <c r="I31" i="7" s="1"/>
  <c r="C10" i="7"/>
  <c r="H7" i="7"/>
  <c r="J20" i="7"/>
  <c r="J30" i="7" s="1"/>
  <c r="J19" i="7"/>
  <c r="J29" i="7" s="1"/>
  <c r="I23" i="7"/>
  <c r="I33" i="7" s="1"/>
  <c r="I22" i="7"/>
  <c r="I32" i="7" s="1"/>
  <c r="O44" i="4"/>
  <c r="M44" i="4"/>
  <c r="M45" i="4"/>
  <c r="K37" i="4"/>
  <c r="O45" i="4"/>
  <c r="K36" i="4"/>
  <c r="I31" i="31" l="1"/>
  <c r="J30" i="31"/>
  <c r="K30" i="31" s="1"/>
  <c r="L30" i="31" s="1"/>
  <c r="I46" i="31"/>
  <c r="M29" i="31"/>
  <c r="Y27" i="28"/>
  <c r="Y28" i="28" s="1"/>
  <c r="I14" i="28"/>
  <c r="C16" i="28"/>
  <c r="Z24" i="28"/>
  <c r="AB22" i="28"/>
  <c r="AA23" i="28"/>
  <c r="J13" i="27"/>
  <c r="C14" i="27"/>
  <c r="J46" i="27"/>
  <c r="R14" i="20"/>
  <c r="R14" i="19"/>
  <c r="X59" i="17"/>
  <c r="P32" i="17"/>
  <c r="N33" i="17"/>
  <c r="Q31" i="17"/>
  <c r="R31" i="17" s="1"/>
  <c r="O61" i="17"/>
  <c r="T60" i="17"/>
  <c r="W60" i="17" s="1"/>
  <c r="X60" i="17" s="1"/>
  <c r="Q21" i="12"/>
  <c r="N19" i="12"/>
  <c r="M10" i="10"/>
  <c r="C17" i="10"/>
  <c r="Q21" i="8"/>
  <c r="V21" i="8" s="1"/>
  <c r="P19" i="8"/>
  <c r="U19" i="8" s="1"/>
  <c r="P18" i="8"/>
  <c r="O21" i="8"/>
  <c r="T21" i="8" s="1"/>
  <c r="P22" i="8"/>
  <c r="U22" i="8" s="1"/>
  <c r="P20" i="8"/>
  <c r="T31" i="8" s="1"/>
  <c r="P21" i="8"/>
  <c r="U21" i="8" s="1"/>
  <c r="O22" i="8"/>
  <c r="T22" i="8" s="1"/>
  <c r="O18" i="8"/>
  <c r="Q22" i="8"/>
  <c r="V22" i="8" s="1"/>
  <c r="Q18" i="8"/>
  <c r="V18" i="8" s="1"/>
  <c r="O19" i="8"/>
  <c r="S30" i="8" s="1"/>
  <c r="O20" i="8"/>
  <c r="S31" i="8" s="1"/>
  <c r="U18" i="8"/>
  <c r="T18" i="8"/>
  <c r="H8" i="7"/>
  <c r="C11" i="7"/>
  <c r="K19" i="7"/>
  <c r="M30" i="31" l="1"/>
  <c r="I47" i="31"/>
  <c r="J31" i="31"/>
  <c r="K31" i="31" s="1"/>
  <c r="L31" i="31" s="1"/>
  <c r="I32" i="31"/>
  <c r="Z25" i="28"/>
  <c r="Z26" i="28" s="1"/>
  <c r="I15" i="28"/>
  <c r="C17" i="28"/>
  <c r="I16" i="28" s="1"/>
  <c r="L45" i="28" s="1"/>
  <c r="AA24" i="28"/>
  <c r="L52" i="28"/>
  <c r="AB23" i="28"/>
  <c r="C15" i="27"/>
  <c r="J14" i="27"/>
  <c r="J47" i="27"/>
  <c r="P15" i="20"/>
  <c r="Q15" i="20" s="1"/>
  <c r="P15" i="19"/>
  <c r="Q15" i="19" s="1"/>
  <c r="T61" i="17"/>
  <c r="W61" i="17"/>
  <c r="X61" i="17" s="1"/>
  <c r="N34" i="17"/>
  <c r="P33" i="17"/>
  <c r="Q32" i="17"/>
  <c r="R32" i="17" s="1"/>
  <c r="O62" i="17"/>
  <c r="C18" i="10"/>
  <c r="M11" i="10"/>
  <c r="T29" i="8"/>
  <c r="S32" i="8"/>
  <c r="S29" i="8"/>
  <c r="T19" i="8"/>
  <c r="T20" i="8"/>
  <c r="T30" i="8"/>
  <c r="T32" i="8"/>
  <c r="U20" i="8"/>
  <c r="T33" i="8"/>
  <c r="S33" i="8"/>
  <c r="C12" i="7"/>
  <c r="H9" i="7"/>
  <c r="K23" i="7" s="1"/>
  <c r="M31" i="31" l="1"/>
  <c r="I33" i="31"/>
  <c r="J32" i="31"/>
  <c r="I48" i="31"/>
  <c r="L53" i="28"/>
  <c r="N53" i="28" s="1"/>
  <c r="L54" i="28"/>
  <c r="L49" i="28"/>
  <c r="L47" i="28"/>
  <c r="L46" i="28"/>
  <c r="L48" i="28"/>
  <c r="L51" i="28"/>
  <c r="AB24" i="28"/>
  <c r="Z27" i="28"/>
  <c r="Z28" i="28" s="1"/>
  <c r="Z29" i="28" s="1"/>
  <c r="L50" i="28"/>
  <c r="AA25" i="28"/>
  <c r="J48" i="27"/>
  <c r="J15" i="27"/>
  <c r="C16" i="27"/>
  <c r="R15" i="20"/>
  <c r="R15" i="19"/>
  <c r="T62" i="17"/>
  <c r="W62" i="17" s="1"/>
  <c r="X62" i="17" s="1"/>
  <c r="N35" i="17"/>
  <c r="P34" i="17"/>
  <c r="Q33" i="17"/>
  <c r="R33" i="17" s="1"/>
  <c r="O63" i="17"/>
  <c r="C19" i="10"/>
  <c r="M12" i="10"/>
  <c r="C13" i="7"/>
  <c r="H10" i="7"/>
  <c r="K20" i="7" s="1"/>
  <c r="K32" i="31" l="1"/>
  <c r="L32" i="31" s="1"/>
  <c r="I34" i="31"/>
  <c r="M32" i="31"/>
  <c r="I49" i="31"/>
  <c r="J33" i="31"/>
  <c r="K33" i="31" s="1"/>
  <c r="L33" i="31" s="1"/>
  <c r="AB25" i="28"/>
  <c r="AB26" i="28"/>
  <c r="O53" i="28"/>
  <c r="N52" i="28"/>
  <c r="AA26" i="28"/>
  <c r="AB27" i="28"/>
  <c r="C17" i="27"/>
  <c r="J17" i="27" s="1"/>
  <c r="J16" i="27"/>
  <c r="J49" i="27"/>
  <c r="P15" i="27"/>
  <c r="T63" i="17"/>
  <c r="W63" i="17" s="1"/>
  <c r="X63" i="17" s="1"/>
  <c r="O64" i="17"/>
  <c r="Q34" i="17"/>
  <c r="R34" i="17" s="1"/>
  <c r="P35" i="17"/>
  <c r="N36" i="17"/>
  <c r="M13" i="10"/>
  <c r="C20" i="10"/>
  <c r="C14" i="7"/>
  <c r="H11" i="7"/>
  <c r="K22" i="7" s="1"/>
  <c r="I50" i="31" l="1"/>
  <c r="I35" i="31"/>
  <c r="M33" i="31"/>
  <c r="J34" i="31"/>
  <c r="K34" i="31" s="1"/>
  <c r="L34" i="31" s="1"/>
  <c r="O52" i="28"/>
  <c r="N51" i="28"/>
  <c r="AA27" i="28"/>
  <c r="AA28" i="28" s="1"/>
  <c r="AA29" i="28" s="1"/>
  <c r="AA30" i="28" s="1"/>
  <c r="AB28" i="28"/>
  <c r="AB29" i="28" s="1"/>
  <c r="AB30" i="28" s="1"/>
  <c r="J50" i="27"/>
  <c r="P16" i="27"/>
  <c r="J51" i="27"/>
  <c r="P17" i="27"/>
  <c r="P8" i="27"/>
  <c r="P9" i="27"/>
  <c r="P10" i="27"/>
  <c r="P11" i="27"/>
  <c r="P12" i="27"/>
  <c r="P13" i="27"/>
  <c r="P14" i="27"/>
  <c r="P36" i="17"/>
  <c r="N37" i="17"/>
  <c r="T64" i="17"/>
  <c r="W64" i="17" s="1"/>
  <c r="X64" i="17" s="1"/>
  <c r="Q35" i="17"/>
  <c r="R35" i="17" s="1"/>
  <c r="O65" i="17"/>
  <c r="M14" i="10"/>
  <c r="C21" i="10"/>
  <c r="C15" i="7"/>
  <c r="H13" i="7" s="1"/>
  <c r="K21" i="7" s="1"/>
  <c r="H12" i="7"/>
  <c r="J35" i="31" l="1"/>
  <c r="K35" i="31" s="1"/>
  <c r="L35" i="31" s="1"/>
  <c r="I36" i="31"/>
  <c r="M34" i="31"/>
  <c r="I51" i="31"/>
  <c r="AB31" i="28"/>
  <c r="O51" i="28"/>
  <c r="N50" i="28"/>
  <c r="K86" i="27"/>
  <c r="L86" i="27" s="1"/>
  <c r="K88" i="27"/>
  <c r="L88" i="27" s="1"/>
  <c r="K82" i="27"/>
  <c r="L82" i="27" s="1"/>
  <c r="K68" i="27"/>
  <c r="L68" i="27" s="1"/>
  <c r="K76" i="27"/>
  <c r="L76" i="27" s="1"/>
  <c r="K78" i="27"/>
  <c r="L78" i="27" s="1"/>
  <c r="K80" i="27"/>
  <c r="L80" i="27" s="1"/>
  <c r="K74" i="27"/>
  <c r="L74" i="27" s="1"/>
  <c r="K71" i="27"/>
  <c r="L71" i="27" s="1"/>
  <c r="K84" i="27"/>
  <c r="L84" i="27" s="1"/>
  <c r="K89" i="27"/>
  <c r="L89" i="27" s="1"/>
  <c r="K70" i="27"/>
  <c r="L70" i="27" s="1"/>
  <c r="K72" i="27"/>
  <c r="L72" i="27" s="1"/>
  <c r="K66" i="27"/>
  <c r="L66" i="27" s="1"/>
  <c r="K75" i="27"/>
  <c r="L75" i="27" s="1"/>
  <c r="K67" i="27"/>
  <c r="L67" i="27" s="1"/>
  <c r="K94" i="27"/>
  <c r="L94" i="27" s="1"/>
  <c r="K81" i="27"/>
  <c r="L81" i="27" s="1"/>
  <c r="K91" i="27"/>
  <c r="L91" i="27" s="1"/>
  <c r="K93" i="27"/>
  <c r="L93" i="27" s="1"/>
  <c r="K87" i="27"/>
  <c r="L87" i="27" s="1"/>
  <c r="K65" i="27"/>
  <c r="L65" i="27" s="1"/>
  <c r="K73" i="27"/>
  <c r="L73" i="27" s="1"/>
  <c r="K83" i="27"/>
  <c r="L83" i="27" s="1"/>
  <c r="K85" i="27"/>
  <c r="L85" i="27" s="1"/>
  <c r="K79" i="27"/>
  <c r="L79" i="27" s="1"/>
  <c r="K77" i="27"/>
  <c r="L77" i="27" s="1"/>
  <c r="K92" i="27"/>
  <c r="L92" i="27" s="1"/>
  <c r="K69" i="27"/>
  <c r="L69" i="27" s="1"/>
  <c r="K90" i="27"/>
  <c r="L90" i="27" s="1"/>
  <c r="N38" i="17"/>
  <c r="P38" i="17" s="1"/>
  <c r="P37" i="17"/>
  <c r="T65" i="17"/>
  <c r="W65" i="17" s="1"/>
  <c r="X65" i="17" s="1"/>
  <c r="O66" i="17"/>
  <c r="Q36" i="17"/>
  <c r="R36" i="17" s="1"/>
  <c r="M15" i="10"/>
  <c r="C22" i="10"/>
  <c r="M16" i="10" s="1"/>
  <c r="J36" i="31" l="1"/>
  <c r="K36" i="31" s="1"/>
  <c r="L36" i="31" s="1"/>
  <c r="M35" i="31"/>
  <c r="N35" i="31" s="1"/>
  <c r="I52" i="31"/>
  <c r="K52" i="31" s="1"/>
  <c r="O50" i="28"/>
  <c r="N49" i="28"/>
  <c r="T66" i="17"/>
  <c r="W66" i="17" s="1"/>
  <c r="X66" i="17" s="1"/>
  <c r="O67" i="17"/>
  <c r="Q37" i="17"/>
  <c r="R37" i="17" s="1"/>
  <c r="Q38" i="17"/>
  <c r="O68" i="17"/>
  <c r="O35" i="31" l="1"/>
  <c r="J51" i="31" s="1"/>
  <c r="K51" i="31" s="1"/>
  <c r="N34" i="31"/>
  <c r="O49" i="28"/>
  <c r="N48" i="28"/>
  <c r="T68" i="17"/>
  <c r="W68" i="17" s="1"/>
  <c r="R38" i="17"/>
  <c r="T67" i="17"/>
  <c r="W67" i="17" s="1"/>
  <c r="X67" i="17" s="1"/>
  <c r="O34" i="31" l="1"/>
  <c r="J50" i="31" s="1"/>
  <c r="K50" i="31" s="1"/>
  <c r="N33" i="31"/>
  <c r="O48" i="28"/>
  <c r="N47" i="28"/>
  <c r="X68" i="17"/>
  <c r="O83" i="17"/>
  <c r="O33" i="31" l="1"/>
  <c r="J49" i="31" s="1"/>
  <c r="K49" i="31" s="1"/>
  <c r="N32" i="31"/>
  <c r="O47" i="28"/>
  <c r="N46" i="28"/>
  <c r="O32" i="31" l="1"/>
  <c r="J48" i="31" s="1"/>
  <c r="K48" i="31" s="1"/>
  <c r="N31" i="31"/>
  <c r="N45" i="28"/>
  <c r="O45" i="28" s="1"/>
  <c r="O46" i="28"/>
  <c r="O31" i="31" l="1"/>
  <c r="J47" i="31" s="1"/>
  <c r="K47" i="31" s="1"/>
  <c r="N30" i="31"/>
  <c r="O30" i="31" l="1"/>
  <c r="J46" i="31" s="1"/>
  <c r="K46" i="31" s="1"/>
  <c r="N29" i="31"/>
  <c r="N28" i="31" l="1"/>
  <c r="O29" i="31"/>
  <c r="J45" i="31" s="1"/>
  <c r="K45" i="31" s="1"/>
  <c r="O28" i="31" l="1"/>
  <c r="J44" i="31" s="1"/>
  <c r="K44" i="31" s="1"/>
  <c r="N27" i="31"/>
  <c r="O27" i="31" s="1"/>
  <c r="J43" i="31" s="1"/>
  <c r="K43" i="31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3" i="3"/>
  <c r="A14" i="3" s="1"/>
  <c r="A15" i="3" s="1"/>
  <c r="A16" i="3" s="1"/>
  <c r="A17" i="3" s="1"/>
  <c r="A18" i="3" s="1"/>
  <c r="A12" i="3"/>
</calcChain>
</file>

<file path=xl/sharedStrings.xml><?xml version="1.0" encoding="utf-8"?>
<sst xmlns="http://schemas.openxmlformats.org/spreadsheetml/2006/main" count="3532" uniqueCount="1791">
  <si>
    <t>Instructions</t>
  </si>
  <si>
    <t>Use it to practice solving core problems while viewing the source material and associated BA PDFs. Or,</t>
  </si>
  <si>
    <t>use it to audit our approach to solving these calculations.</t>
  </si>
  <si>
    <t xml:space="preserve">The spreadsheets are set up to be somewhat like the Pearson VUE CBT environment to help you feel </t>
  </si>
  <si>
    <t>more comfortable on exam day.</t>
  </si>
  <si>
    <t>Please let BattleActs know about your experience; we're always looking for ways to improve our products.</t>
  </si>
  <si>
    <t>slay the beast</t>
  </si>
  <si>
    <t>This workbook accompanies the Exam 8 OneStop PDF found in Step 1 of the BattleActs PowerPack.</t>
  </si>
  <si>
    <t>OneStop Excel File Solutions</t>
  </si>
  <si>
    <t>Problem</t>
  </si>
  <si>
    <t>Reading</t>
  </si>
  <si>
    <t>Problem Type</t>
  </si>
  <si>
    <t>Description</t>
  </si>
  <si>
    <t>Exam 8 PowerPack</t>
  </si>
  <si>
    <t>GLM Prediction</t>
  </si>
  <si>
    <t>GLM Design Matrix</t>
  </si>
  <si>
    <t>Offset Deductibles</t>
  </si>
  <si>
    <t>Quantiles Test</t>
  </si>
  <si>
    <t>Double Lift Chart</t>
  </si>
  <si>
    <t>Loss Ratio Lift Chart</t>
  </si>
  <si>
    <t>Confusion Matrix</t>
  </si>
  <si>
    <t>Predict auto claim severity using a GLM</t>
  </si>
  <si>
    <t>Define the design matrix and vector of responses</t>
  </si>
  <si>
    <t>Offset deductibles within a GLM</t>
  </si>
  <si>
    <t>Perform a quantiles test and plot the results</t>
  </si>
  <si>
    <t>Produce a double lift chart</t>
  </si>
  <si>
    <t>Produce a loss ratio lift chart</t>
  </si>
  <si>
    <t>Calculate a confusion matrix for a given discrimination threshold</t>
  </si>
  <si>
    <t>Calculate the sensitivity, specificity, and false positive rate</t>
  </si>
  <si>
    <t>GLM.Basics</t>
  </si>
  <si>
    <t>GLM.Validation</t>
  </si>
  <si>
    <t>Quintiles Test</t>
  </si>
  <si>
    <t>Interpret Quintiles</t>
  </si>
  <si>
    <t>Efficiency Test</t>
  </si>
  <si>
    <t>Basic Premium Expense</t>
  </si>
  <si>
    <t>Retrospective Premium</t>
  </si>
  <si>
    <t>Retrospective Cash Flow</t>
  </si>
  <si>
    <t>Large Deductible Cash Flow</t>
  </si>
  <si>
    <t>Deductible Payments 1</t>
  </si>
  <si>
    <t>Deductible Payments 2</t>
  </si>
  <si>
    <t>Table M Charge</t>
  </si>
  <si>
    <t>Table M Savings</t>
  </si>
  <si>
    <t>Net Insurance Charge</t>
  </si>
  <si>
    <t>Table M Balance Equations</t>
  </si>
  <si>
    <t>Ltd Table M Balance Equations</t>
  </si>
  <si>
    <t>Empirical Table M (Vertical)</t>
  </si>
  <si>
    <t>Empirical Table M (Horizontal)</t>
  </si>
  <si>
    <t>Policy Loss Cost</t>
  </si>
  <si>
    <t>Table L Lee Diagram</t>
  </si>
  <si>
    <t>Empirical Table L</t>
  </si>
  <si>
    <t>ICRLL Method</t>
  </si>
  <si>
    <t>Apply the quintiles test</t>
  </si>
  <si>
    <t>Interpret the results of a quintiles test</t>
  </si>
  <si>
    <t>Use the efficiency test to determine the best ratng plan</t>
  </si>
  <si>
    <t>Calculate the expense portion of the basic premium</t>
  </si>
  <si>
    <t>Calculate the retrospective rating premium</t>
  </si>
  <si>
    <t>Visualize the cash flow for the insured &amp; insurer under a retrospective plan</t>
  </si>
  <si>
    <t>Visualize the cash flow for the insured &amp; insurer under a LDD plan</t>
  </si>
  <si>
    <t>Calculate the insurance payments with both a per-occurrence and an aggregate deductible (ground-up loss)</t>
  </si>
  <si>
    <t>Calculate the insurance payments with both a per-occurrence and an aggregate deductible (excess loss)</t>
  </si>
  <si>
    <t>Estimate the Net Insurance Charge</t>
  </si>
  <si>
    <t>Derive the Table M balance equations</t>
  </si>
  <si>
    <t>Derive the Limited Table M balance equations</t>
  </si>
  <si>
    <t>Derive the Table L balance equations</t>
  </si>
  <si>
    <t>Construct a Table M using the vertical slicing method</t>
  </si>
  <si>
    <t>Construct a Table M using the horizontal slicing method</t>
  </si>
  <si>
    <t>Calculate the total policy cost under various deductible options</t>
  </si>
  <si>
    <t>Draw a Lee Diagram to represent the policy</t>
  </si>
  <si>
    <t>Construct a Table L using empirical data</t>
  </si>
  <si>
    <t>Apply the ICRLL method to determine the total policy loss cost</t>
  </si>
  <si>
    <t>Estimate the excess severity behavior and fit a Pareto distribution</t>
  </si>
  <si>
    <t>Calculate increased limits factors loaded for expenses</t>
  </si>
  <si>
    <t>Check increased limits factors for consistency</t>
  </si>
  <si>
    <t>Calculate the credibility and premium for a claims-free exposure</t>
  </si>
  <si>
    <t>Choose an appropriate exposure base for credibility calculations</t>
  </si>
  <si>
    <t>Determine which state has greater variation</t>
  </si>
  <si>
    <t>Calculate the CSLC using the standard approach</t>
  </si>
  <si>
    <t>Use the Present Average Company Rates approach to calculate the CSLC</t>
  </si>
  <si>
    <t>Use the historical exposures approach to calculate the CSLC</t>
  </si>
  <si>
    <t>Calculate the ISO experience modification given the CSLC</t>
  </si>
  <si>
    <t>Calculate the BLEL when no basic premiums are available</t>
  </si>
  <si>
    <t>Apply the multi-dimensional credibility technique</t>
  </si>
  <si>
    <t>Use SSE to demonstrate if the multi-dimensional technique is better</t>
  </si>
  <si>
    <t>Apply the multi-dimensional credibility technique to calculate the loss cost</t>
  </si>
  <si>
    <t>Calculate the NCCI experience modification</t>
  </si>
  <si>
    <t>Apply the chi-squared test for shifting risk parameters</t>
  </si>
  <si>
    <t>Use the MSE to determine the optimal credibility</t>
  </si>
  <si>
    <t>Determine the optimal least squares accident year weights</t>
  </si>
  <si>
    <t>Calculate the basic premium factor</t>
  </si>
  <si>
    <t>Calculate the expected number of claims and the basic premium factor</t>
  </si>
  <si>
    <t>Construct the aggregate loss distribution</t>
  </si>
  <si>
    <t>Discretize the per-claim severity distribution</t>
  </si>
  <si>
    <t>Estimate Excess Severity</t>
  </si>
  <si>
    <t>Expense Loaded ILFs</t>
  </si>
  <si>
    <t>Consistency</t>
  </si>
  <si>
    <t>Straight Deductibles</t>
  </si>
  <si>
    <t>Franchise Deductibles</t>
  </si>
  <si>
    <t>Experience of a Single Car-Year</t>
  </si>
  <si>
    <t>Exposure Base</t>
  </si>
  <si>
    <t>Relative Credibility</t>
  </si>
  <si>
    <t>Company Subject Loss Cost</t>
  </si>
  <si>
    <t>Present Average Co. Rates</t>
  </si>
  <si>
    <t>Historical Exposures</t>
  </si>
  <si>
    <t>Experience Modification</t>
  </si>
  <si>
    <t>Basic Limits Expected Loss Cost</t>
  </si>
  <si>
    <t>Multi-dimensional Credibility</t>
  </si>
  <si>
    <t>Sum of Squared Errors (SSE)</t>
  </si>
  <si>
    <t>Expected Loss Cost</t>
  </si>
  <si>
    <t>Chi-squared testing</t>
  </si>
  <si>
    <t>Mean-Squared Error (MSE)</t>
  </si>
  <si>
    <t>Accident Year Weights</t>
  </si>
  <si>
    <t>Basic Premium Factor</t>
  </si>
  <si>
    <t>Expected Number of Claims</t>
  </si>
  <si>
    <t>Aggregate Loss Distribution</t>
  </si>
  <si>
    <t>Discretize Severity Distribution</t>
  </si>
  <si>
    <t>Table L Balance Equations</t>
  </si>
  <si>
    <t>Fisher.ExpRating</t>
  </si>
  <si>
    <t>Calculate the Table M charge &amp; insurance charge using a uniform distribution</t>
  </si>
  <si>
    <t>Calculate the Table M savings &amp; insurance savings using an exponential distribution</t>
  </si>
  <si>
    <t>Perform loss &amp; premium calculations for a straight deductible</t>
  </si>
  <si>
    <t>Perform loss &amp; premium calculations for a franchise deductible</t>
  </si>
  <si>
    <t>Fisher.RiskSharing</t>
  </si>
  <si>
    <t>Fisher.OtherLSPlans</t>
  </si>
  <si>
    <t>Fisher.AggExcess</t>
  </si>
  <si>
    <t>Fisher.Visualization</t>
  </si>
  <si>
    <t>Fisher.TableM</t>
  </si>
  <si>
    <t>Fisher.LimitedTableM</t>
  </si>
  <si>
    <t>Fisher.TableL</t>
  </si>
  <si>
    <t>Bahnemann.Chapter5</t>
  </si>
  <si>
    <t>Bahnemann.Chapter6</t>
  </si>
  <si>
    <t>Bailey.Simon</t>
  </si>
  <si>
    <t>ISO.Rating</t>
  </si>
  <si>
    <t>Couret.Venter</t>
  </si>
  <si>
    <t>NCCI.ExperienceRating</t>
  </si>
  <si>
    <t>Mahler.Credibility</t>
  </si>
  <si>
    <t>NCCI.Circular</t>
  </si>
  <si>
    <t>NCCI.InformationalExhibits</t>
  </si>
  <si>
    <t>Reading:</t>
  </si>
  <si>
    <t>Model:</t>
  </si>
  <si>
    <t>Source text</t>
  </si>
  <si>
    <t>Solution</t>
  </si>
  <si>
    <t>Problem Type:</t>
  </si>
  <si>
    <t>To begin we need to understand the types of predictor variables used in the GLM. To do this, look at the model output.</t>
  </si>
  <si>
    <t>Marital status is clearly a categorical variable as there isn't a continuous range of marital statuses. Looking at the model output, since</t>
  </si>
  <si>
    <t>Given</t>
  </si>
  <si>
    <t>y</t>
  </si>
  <si>
    <t>Target variable = loss cost</t>
  </si>
  <si>
    <r>
      <t>there is only one coefficient (β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 for marital status, we infer marital status is a binary variable, so either 1 or 0. 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</si>
  <si>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</si>
  <si>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Driver age (predictor)</t>
  </si>
  <si>
    <t xml:space="preserve">We're dependent on the question to specify which marital status corresponds to 0 and 1 respectively. Since it isn't explicitly called out, </t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</si>
  <si>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</si>
  <si>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Marital status (predictor)</t>
  </si>
  <si>
    <t>assume since most people are unmarried, that 0 = unmarried and 1=married. (This also matches with the logic of 1 = True and 0 = False.)</t>
  </si>
  <si>
    <t>log</t>
  </si>
  <si>
    <t>Link function</t>
  </si>
  <si>
    <t>Gamma</t>
  </si>
  <si>
    <t>Distribution</t>
  </si>
  <si>
    <t xml:space="preserve">&lt;= We assume the loss cost after accounting for the predictors is </t>
  </si>
  <si>
    <t xml:space="preserve">Next, driver age could be treated as either a continuous or discrete/categorical variable as we typically measure age in a whole number </t>
  </si>
  <si>
    <t>random and follows a Gamma distribution.</t>
  </si>
  <si>
    <r>
      <t>of years. Since the GLM output only has one coefficient for driver age (β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we infer age is a continuous variable as otherwise there would be</t>
    </r>
  </si>
  <si>
    <r>
      <t xml:space="preserve"> a coefficient β</t>
    </r>
    <r>
      <rPr>
        <vertAlign val="subscript"/>
        <sz val="11"/>
        <color theme="1"/>
        <rFont val="Calibri"/>
        <family val="2"/>
        <scheme val="minor"/>
      </rPr>
      <t>1,i</t>
    </r>
    <r>
      <rPr>
        <sz val="11"/>
        <color theme="1"/>
        <rFont val="Calibri"/>
        <family val="2"/>
        <scheme val="minor"/>
      </rPr>
      <t xml:space="preserve"> for each age in the data set. </t>
    </r>
  </si>
  <si>
    <t>Coefficient</t>
  </si>
  <si>
    <t>Parameter</t>
  </si>
  <si>
    <t>&lt;= GLM Software output</t>
  </si>
  <si>
    <r>
      <t>β</t>
    </r>
    <r>
      <rPr>
        <vertAlign val="subscript"/>
        <sz val="9.9"/>
        <color theme="1"/>
        <rFont val="Calibri"/>
        <family val="2"/>
      </rPr>
      <t xml:space="preserve">0 </t>
    </r>
    <r>
      <rPr>
        <sz val="9.9"/>
        <color theme="1"/>
        <rFont val="Calibri"/>
        <family val="2"/>
      </rPr>
      <t>(Intercept)</t>
    </r>
  </si>
  <si>
    <t>Now we understand the GLM output, we can set up the GLM equation as follows:</t>
  </si>
  <si>
    <r>
      <t>β</t>
    </r>
    <r>
      <rPr>
        <vertAlign val="subscript"/>
        <sz val="9.9"/>
        <color theme="1"/>
        <rFont val="Calibri"/>
        <family val="2"/>
      </rPr>
      <t xml:space="preserve">1 </t>
    </r>
    <r>
      <rPr>
        <sz val="9.9"/>
        <color theme="1"/>
        <rFont val="Calibri"/>
        <family val="2"/>
      </rPr>
      <t>(Coefficient for driver age)</t>
    </r>
  </si>
  <si>
    <r>
      <t>β</t>
    </r>
    <r>
      <rPr>
        <vertAlign val="subscript"/>
        <sz val="9.9"/>
        <color theme="1"/>
        <rFont val="Calibri"/>
        <family val="2"/>
      </rPr>
      <t xml:space="preserve">2 </t>
    </r>
    <r>
      <rPr>
        <sz val="9.9"/>
        <color theme="1"/>
        <rFont val="Calibri"/>
        <family val="2"/>
      </rPr>
      <t>(Coefficient for marital status)</t>
    </r>
  </si>
  <si>
    <t>Here we're using the natural logarithm for the log-link function g.</t>
  </si>
  <si>
    <t>φ (Dispersion parameter)</t>
  </si>
  <si>
    <t>Now it's a matter of plugging in the numbers and then inverting the link function</t>
  </si>
  <si>
    <t>Find</t>
  </si>
  <si>
    <t>a.)</t>
  </si>
  <si>
    <t>Predict the average claim severity for:</t>
  </si>
  <si>
    <t>a.) i.)</t>
  </si>
  <si>
    <r>
      <t>g(μ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) = </t>
    </r>
  </si>
  <si>
    <t>i.)</t>
  </si>
  <si>
    <t>=</t>
  </si>
  <si>
    <t>ii.)</t>
  </si>
  <si>
    <t>Inverting the link function by exponentiating gives</t>
  </si>
  <si>
    <r>
      <t>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</t>
    </r>
  </si>
  <si>
    <t>b.)</t>
  </si>
  <si>
    <t>Calculate the variance of the loss cost for:</t>
  </si>
  <si>
    <t>a.) ii.)</t>
  </si>
  <si>
    <t>Notice how we could also write this as</t>
  </si>
  <si>
    <t>In a.)i.) above this becomes</t>
  </si>
  <si>
    <t>We can split this apart as:</t>
  </si>
  <si>
    <t>is the "base rate" – the average severity for the whole book of business/data set</t>
  </si>
  <si>
    <t>We can further interpret the results of a.) as follows:</t>
  </si>
  <si>
    <t>b.) We now have fully specified Gamma distributions for part a.) so we can calculate the variance as φ * V(μ), which for a Gamma distribution</t>
  </si>
  <si>
    <r>
      <t>is φ * μ</t>
    </r>
    <r>
      <rPr>
        <vertAlign val="superscript"/>
        <sz val="11"/>
        <color theme="1"/>
        <rFont val="Calibri"/>
        <family val="2"/>
        <scheme val="minor"/>
      </rPr>
      <t>2</t>
    </r>
  </si>
  <si>
    <t>b. i.)           Variance =</t>
  </si>
  <si>
    <t>b. ii.)         Variance =</t>
  </si>
  <si>
    <r>
      <t>The higher-risk driver (determined by the average claim severity, μ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 has a higher variance than the lower risk driver despite φ being constant.</t>
    </r>
  </si>
  <si>
    <t>----</t>
  </si>
  <si>
    <t xml:space="preserve">&lt;= Model specification for GLM software, </t>
  </si>
  <si>
    <t>input along with a data set of observations.</t>
  </si>
  <si>
    <t>Return to TOC</t>
  </si>
  <si>
    <t>2013.Q2</t>
  </si>
  <si>
    <t>Average Severity = Dollars of loss / Number of Claims</t>
  </si>
  <si>
    <t xml:space="preserve">An actuary is building a log-link generalized linear model to create a Homeowners Hurricane Severity model </t>
  </si>
  <si>
    <t xml:space="preserve">Average Severity </t>
  </si>
  <si>
    <t>using the data below.</t>
  </si>
  <si>
    <t>Hurricane</t>
  </si>
  <si>
    <t>Distance to Coast</t>
  </si>
  <si>
    <t xml:space="preserve"> Shutters</t>
  </si>
  <si>
    <r>
      <rPr>
        <sz val="11"/>
        <color theme="1"/>
        <rFont val="Calibri"/>
        <family val="2"/>
      </rPr>
      <t>≤</t>
    </r>
    <r>
      <rPr>
        <sz val="9.9"/>
        <color theme="1"/>
        <rFont val="Calibri"/>
        <family val="2"/>
      </rPr>
      <t xml:space="preserve"> 25 miles</t>
    </r>
  </si>
  <si>
    <t>&gt; 25 miles</t>
  </si>
  <si>
    <t>Dollars of loss</t>
  </si>
  <si>
    <t>Number of Claims</t>
  </si>
  <si>
    <t>Yes</t>
  </si>
  <si>
    <t>No</t>
  </si>
  <si>
    <t>We have four distinct data points in the GLM, one for each combination of Hurricane Shutters and Distance to Coast. As such, the design matrix will have</t>
  </si>
  <si>
    <t>four rows.</t>
  </si>
  <si>
    <t>Alice: "Although there are only four records in the data set, remember these likely came from many observations that were aggregated to this level."</t>
  </si>
  <si>
    <t>Average Coverage A Amount</t>
  </si>
  <si>
    <t>The design matrix consists of a column for each parameter. In the case of a categorical variable the value is either 1 or 0 depending on whether or not</t>
  </si>
  <si>
    <t>the record has that rating characteristic. For a continuous variable, the actual value is used after any transformation needed.</t>
  </si>
  <si>
    <t>β0</t>
  </si>
  <si>
    <t>β1</t>
  </si>
  <si>
    <t>β2</t>
  </si>
  <si>
    <t>β3</t>
  </si>
  <si>
    <t>Alice: "Notice there's a row for every observation and all rows</t>
  </si>
  <si>
    <r>
      <t xml:space="preserve">The model will include four parameters: </t>
    </r>
    <r>
      <rPr>
        <sz val="11"/>
        <color theme="1"/>
        <rFont val="Calibri"/>
        <family val="2"/>
      </rPr>
      <t>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>, and β</t>
    </r>
    <r>
      <rPr>
        <vertAlign val="subscript"/>
        <sz val="9.9"/>
        <color theme="1"/>
        <rFont val="Calibri"/>
        <family val="2"/>
      </rPr>
      <t>3</t>
    </r>
    <r>
      <rPr>
        <sz val="9.9"/>
        <color theme="1"/>
        <rFont val="Calibri"/>
        <family val="2"/>
      </rPr>
      <t>, where 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 xml:space="preserve"> is the intercept,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 xml:space="preserve"> is the average severity for homes with</t>
    </r>
  </si>
  <si>
    <t>X =</t>
  </si>
  <si>
    <r>
      <t>have a 1 in the intercept column (</t>
    </r>
    <r>
      <rPr>
        <b/>
        <sz val="11"/>
        <color rgb="FF0070C0"/>
        <rFont val="Calibri"/>
        <family val="2"/>
      </rPr>
      <t>β</t>
    </r>
    <r>
      <rPr>
        <b/>
        <vertAlign val="subscript"/>
        <sz val="11"/>
        <color rgb="FF0070C0"/>
        <rFont val="Calibri"/>
        <family val="2"/>
      </rPr>
      <t>0</t>
    </r>
    <r>
      <rPr>
        <b/>
        <sz val="11"/>
        <color rgb="FF0070C0"/>
        <rFont val="Calibri"/>
        <family val="2"/>
      </rPr>
      <t>)."</t>
    </r>
  </si>
  <si>
    <r>
      <t>hurricane shutters, 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is the average severity for homes greater than 25 miles from the coast, and β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is the average severity </t>
    </r>
  </si>
  <si>
    <t>for the natural log of the average Coverage A Amount (continuous variable).</t>
  </si>
  <si>
    <t>a.</t>
  </si>
  <si>
    <t>Define the design matrix [X].</t>
  </si>
  <si>
    <t>Alice: "It's important you follow the given description of the parameters because this tells you the base levels. Here it's implicit the base levels are:</t>
  </si>
  <si>
    <t>1. Homes with no hurricane shutters</t>
  </si>
  <si>
    <t>b.</t>
  </si>
  <si>
    <t>Define the vector of responses [Y].</t>
  </si>
  <si>
    <t>2. Homes less than or equal to 25 miles from the coast.</t>
  </si>
  <si>
    <t>Remember the base level is usually the one with the most exposures. This makes sense here as people tend to live close to the coast and not always</t>
  </si>
  <si>
    <t>have hurricane shutters."</t>
  </si>
  <si>
    <t xml:space="preserve">The vector of responses is a column vector of the average severities. It's important you write them down in the same order you processed the records </t>
  </si>
  <si>
    <t>when building the design matrix.</t>
  </si>
  <si>
    <t>Y =</t>
  </si>
  <si>
    <t>Offset deductibles in a GLM</t>
  </si>
  <si>
    <t>The modeler can offset the deductible. This is done as follows:</t>
  </si>
  <si>
    <t>1.)</t>
  </si>
  <si>
    <t>Transform the deductible relativities to the same scale as the link function.</t>
  </si>
  <si>
    <t xml:space="preserve">A loss elimination ratio (LER) analysis was performed to calculate relativities for Auto Collision deductibles. </t>
  </si>
  <si>
    <t>Here, the log-link function is used, so we get</t>
  </si>
  <si>
    <t>Deductible</t>
  </si>
  <si>
    <t>Factor</t>
  </si>
  <si>
    <t>Log(Factor)</t>
  </si>
  <si>
    <t>← This is the base level as it has a relativity of 1.000</t>
  </si>
  <si>
    <t>2.)</t>
  </si>
  <si>
    <r>
      <t xml:space="preserve">Add this to the </t>
    </r>
    <r>
      <rPr>
        <b/>
        <sz val="11"/>
        <color theme="1"/>
        <rFont val="Calibri"/>
        <family val="2"/>
        <scheme val="minor"/>
      </rPr>
      <t>linear predictor</t>
    </r>
    <r>
      <rPr>
        <sz val="11"/>
        <color theme="1"/>
        <rFont val="Calibri"/>
        <family val="2"/>
        <scheme val="minor"/>
      </rPr>
      <t>, i.e. the right hand side of the GLM equation:</t>
    </r>
  </si>
  <si>
    <t>A GLM is being built to model collision pure premium. The GLM will use a Gamma distribution with a log-link function.</t>
  </si>
  <si>
    <t xml:space="preserve">That is, </t>
  </si>
  <si>
    <t>Briefly explain how the modeler can account for the impact of the insured's choice of deductible.</t>
  </si>
  <si>
    <t>Do this for each record in the data set.</t>
  </si>
  <si>
    <t>The modeler was also provided with a curve which relates household income to collision pure premiums.</t>
  </si>
  <si>
    <r>
      <t>Offset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is 0 if the record had a $500 deductible, -0.105 if it had a $1,000 deductible, and -0.186 if it had a $1,500 deductible.</t>
    </r>
  </si>
  <si>
    <t>Briefly describe how the modeler can also account for this data in the model.</t>
  </si>
  <si>
    <t>The modeler can offset the household income curve as well as the deductible in the model.</t>
  </si>
  <si>
    <t>It is important to match the scale of each offset to the link function. In this case, we would take the log of the household income for</t>
  </si>
  <si>
    <t>each record in the data set. When there are two or more variables to be offset in the model, the offsets may be added together.</t>
  </si>
  <si>
    <t>For example, suppose a record in the data set has a $1,000 collision deductible and a household income of $75,000.</t>
  </si>
  <si>
    <t>Further, when the household income is applied to the curve, it results in a factor of 1.025.</t>
  </si>
  <si>
    <t>The offset for this record would be ln(0.9) + ln(1.025) = -0.081</t>
  </si>
  <si>
    <t>Source Text</t>
  </si>
  <si>
    <t>First rank the observations according to their predicted pure premium</t>
  </si>
  <si>
    <t>Perform a quantiles test</t>
  </si>
  <si>
    <t>Rank</t>
  </si>
  <si>
    <t xml:space="preserve">Observation </t>
  </si>
  <si>
    <t>Predicted Pure Premium</t>
  </si>
  <si>
    <t>Actual Premium Premium</t>
  </si>
  <si>
    <t>We'll assume each observation is one exposure since we're not given any information about weights.</t>
  </si>
  <si>
    <t>Since we're asked for quintiles, we'll need five groups. Since each observation is one exposure, we'll have two observations per quintile.</t>
  </si>
  <si>
    <t>Create a quantiles plot using quintiles.</t>
  </si>
  <si>
    <t>Quintile</t>
  </si>
  <si>
    <t>Average Predicted</t>
  </si>
  <si>
    <t>Average Actual</t>
  </si>
  <si>
    <t>Observations</t>
  </si>
  <si>
    <t>Overall</t>
  </si>
  <si>
    <t>NA</t>
  </si>
  <si>
    <t>The normalized values are found by dividing by the average overall predicted pure premium</t>
  </si>
  <si>
    <t>The predicted values are plotted on the x-axis and the actual values on the y-axis.</t>
  </si>
  <si>
    <t>We're asked to use quintiles so we need to first calculate the sort ratio for each record and then group into five groups by</t>
  </si>
  <si>
    <t>Produce a double lift chart using the data provided</t>
  </si>
  <si>
    <t>ranking the sort ratio in ascending order.</t>
  </si>
  <si>
    <t>An actuary wants to compare two Homeowners loss cost models. They have scored each model using the following records.</t>
  </si>
  <si>
    <t>Sort Ratio</t>
  </si>
  <si>
    <t>Record #</t>
  </si>
  <si>
    <t>Model A Loss Cost</t>
  </si>
  <si>
    <t>Model B Loss Cost</t>
  </si>
  <si>
    <t>Actual Loss Cost</t>
  </si>
  <si>
    <t>Next, normalize each column using the Total row</t>
  </si>
  <si>
    <t>Contains Ranks</t>
  </si>
  <si>
    <t>Model A Avg Loss Cost</t>
  </si>
  <si>
    <t>Model B Avg Loss Cost</t>
  </si>
  <si>
    <t>Actual Avg Loss Cost</t>
  </si>
  <si>
    <t>Model A</t>
  </si>
  <si>
    <t>Model B</t>
  </si>
  <si>
    <t>Actual</t>
  </si>
  <si>
    <t>Using quintiles, produce the standard double lift chart and alternate double lift chart then recommend a model.</t>
  </si>
  <si>
    <t>1, 2</t>
  </si>
  <si>
    <t>3, 4</t>
  </si>
  <si>
    <t>5, 6</t>
  </si>
  <si>
    <t>7, 8</t>
  </si>
  <si>
    <t>9, 10</t>
  </si>
  <si>
    <t>Total</t>
  </si>
  <si>
    <t>We can now plot the normalized figures to produce the standard double lift chart.</t>
  </si>
  <si>
    <t>To produce the alternate view, we calculate the percentage error for</t>
  </si>
  <si>
    <t>each quintile.</t>
  </si>
  <si>
    <t>% Error</t>
  </si>
  <si>
    <t xml:space="preserve">Model A </t>
  </si>
  <si>
    <t xml:space="preserve">In the standard double lift chart, Model A tracks the actual results more closely than </t>
  </si>
  <si>
    <t>Model B, i.e. Model A is the better model.</t>
  </si>
  <si>
    <t xml:space="preserve">In the alternate view, Model A has a flatter line than Model B, so Model A </t>
  </si>
  <si>
    <t>better approximates the actual pure premiums.</t>
  </si>
  <si>
    <t>Recommend using Model A.</t>
  </si>
  <si>
    <t>First compute the predicted loss ratio as Predicted Loss / Current Premium.</t>
  </si>
  <si>
    <t>Investigate which rating plan performs best using a loss ratio chart.</t>
  </si>
  <si>
    <t>Then order the resulting table by increasing predicted loss ratio</t>
  </si>
  <si>
    <t>A GLM is used to produce a new rating plan and its performance is measured using a holdout sample of 30 risks.</t>
  </si>
  <si>
    <t>Risk</t>
  </si>
  <si>
    <t>Current Premium</t>
  </si>
  <si>
    <t>Actual Loss</t>
  </si>
  <si>
    <t>Predicted Loss Ratio</t>
  </si>
  <si>
    <t>Quantile</t>
  </si>
  <si>
    <t>Actual Loss Ratio</t>
  </si>
  <si>
    <t>Each risk represents a single exposure.</t>
  </si>
  <si>
    <t>Predicted Loss</t>
  </si>
  <si>
    <t>As we view the deciles from left to right the loss ratios are generally increasing which</t>
  </si>
  <si>
    <t>means the proposed model performs better than the current model.</t>
  </si>
  <si>
    <t xml:space="preserve">Use a loss ratio chart with deciles to demonstrate whether the new plan represents an improvement </t>
  </si>
  <si>
    <t>over the current plan.</t>
  </si>
  <si>
    <t>Premium</t>
  </si>
  <si>
    <t>Confusion matrix</t>
  </si>
  <si>
    <t>Claim</t>
  </si>
  <si>
    <t>Claim went</t>
  </si>
  <si>
    <t>Predicted Probability</t>
  </si>
  <si>
    <t>Discriminant Threshold</t>
  </si>
  <si>
    <t>Number</t>
  </si>
  <si>
    <t>to Litigation</t>
  </si>
  <si>
    <t>of going to Lit</t>
  </si>
  <si>
    <t xml:space="preserve">An insurance company wants to make sure its litigation claims get assigned to a senior claims rep as soon as possible. </t>
  </si>
  <si>
    <t>A logistic model was built to predict the likelihood of a claim going to litigation.</t>
  </si>
  <si>
    <t>Claim went to</t>
  </si>
  <si>
    <t>Litigation</t>
  </si>
  <si>
    <t>Y</t>
  </si>
  <si>
    <t>N</t>
  </si>
  <si>
    <t>Here, TP means True Positive, TN means True Negative, FP means False Positive, and FN means False Negative.</t>
  </si>
  <si>
    <t>We assign these values as follows:</t>
  </si>
  <si>
    <t>TP -&gt; Claim went to Litigation = Y and Predicted Probability &gt; Disciminant Threshold</t>
  </si>
  <si>
    <t>FP -&gt; Claim went to Litigation = N and Predicted Probability &gt; Disciminant Threshold</t>
  </si>
  <si>
    <t>FN -&gt; Claim went to Litigation = Y and Predicted Probability &lt; Disciminant Threshold</t>
  </si>
  <si>
    <t>TN -&gt; Claim went to Litigation = N and Predicted Probability &lt; Disciminant Threshold</t>
  </si>
  <si>
    <t>General Confusion Matrix</t>
  </si>
  <si>
    <t>Predicted</t>
  </si>
  <si>
    <t>Positive</t>
  </si>
  <si>
    <t>Negative</t>
  </si>
  <si>
    <t>TP</t>
  </si>
  <si>
    <t>FN</t>
  </si>
  <si>
    <t>FP</t>
  </si>
  <si>
    <t>TN</t>
  </si>
  <si>
    <t>We assign the count of each type to the matrix.</t>
  </si>
  <si>
    <t xml:space="preserve">Observe the lower threshold has less false negatives and more false positives than the higher threshold. </t>
  </si>
  <si>
    <t xml:space="preserve">Whether this is a good or bad thing depends on the scenario. </t>
  </si>
  <si>
    <t>If the price of a false positive is low in terms of money/time/resources and the cost of missing a true positive is high then this is good.</t>
  </si>
  <si>
    <t>If it is the reverse, i.e. little gain for a lot of cost then this is bad.</t>
  </si>
  <si>
    <t>First relate the given confusion matrix to the general layout of a confusion matrix</t>
  </si>
  <si>
    <t>Calculate the sensitivity, specificity and false positive rate.</t>
  </si>
  <si>
    <t>The following confusion matrix:</t>
  </si>
  <si>
    <t>Sensitivity = TP / (TP + FN)  =</t>
  </si>
  <si>
    <t>Calculate the sensitivity, specificity, and false positive rate.</t>
  </si>
  <si>
    <t>Specificity = TN / (TN + FP) =</t>
  </si>
  <si>
    <t>False positive rate = 1 - Specificity   =</t>
  </si>
  <si>
    <t>Alice: "To help recall the denominator, notice it has each of the four letters exactly once and it begins with the term in the numerator.</t>
  </si>
  <si>
    <t xml:space="preserve">Further, on the exam, make sure you clearly label the confusion matrix to show which are actual values and which are predicted. </t>
  </si>
  <si>
    <t>Depending on which text/online source you read these may be switched. Here we're presenting the material in the same way as the</t>
  </si>
  <si>
    <t>GLM text."</t>
  </si>
  <si>
    <t>2018.Q9</t>
  </si>
  <si>
    <t>First rank the risks from smallest to largest experience modification</t>
  </si>
  <si>
    <t>Risk #</t>
  </si>
  <si>
    <t>Manual Premium</t>
  </si>
  <si>
    <t>Loss</t>
  </si>
  <si>
    <t>Mod</t>
  </si>
  <si>
    <t>Standard Premium</t>
  </si>
  <si>
    <t>Next, collapse into five groups. Here it is natural to group into consecutive pairs - on the exam make sure to state your logic when grouping.</t>
  </si>
  <si>
    <t>Risk #s</t>
  </si>
  <si>
    <t>Manual Premium
(1)</t>
  </si>
  <si>
    <t>Loss
(2)</t>
  </si>
  <si>
    <t>Manual LR
(3)</t>
  </si>
  <si>
    <t>Average Mod
(4)</t>
  </si>
  <si>
    <t>Standard Premium
(5)</t>
  </si>
  <si>
    <t>Standard LR
(6)</t>
  </si>
  <si>
    <t>(1), (2), (5)</t>
  </si>
  <si>
    <t>Sum over risks in quintile</t>
  </si>
  <si>
    <t>(3) = (2) / (1)</t>
  </si>
  <si>
    <t>(4) = Sumproduct of the experience mod and manual premium within quintile, divided by the sum of the manual premium in the quintile.</t>
  </si>
  <si>
    <t>(6) = (2) / [ (4) * (1) ]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</si>
  <si>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</si>
  <si>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t xml:space="preserve">1.) Since Standard Premium = Experience * Manual Premium for any given risk, it wasn't necessary to calculate the </t>
  </si>
  <si>
    <t xml:space="preserve">      average experience modification factor for each quintile. </t>
  </si>
  <si>
    <t>2.) We get the same result if we calculate (6) = (2) / (5).</t>
  </si>
  <si>
    <t>2011.Q16</t>
  </si>
  <si>
    <t>Apply the Quintiles Test and interpret the results</t>
  </si>
  <si>
    <t>We aren't give the premium in each quintile, so we'll need to use the adjusted versions of the manual and standard loss ratios.</t>
  </si>
  <si>
    <t xml:space="preserve">Also, we're already given the data in quintiles, so there is no need for the experience modification factor, we can presume the quintiles were calculated </t>
  </si>
  <si>
    <t>Actual Losses</t>
  </si>
  <si>
    <t>Expected Losses</t>
  </si>
  <si>
    <t>Modified Expected Loss</t>
  </si>
  <si>
    <t>with them already sorted from smallest to largest.</t>
  </si>
  <si>
    <t>Apply the Quintiles Test and interpret the results.</t>
  </si>
  <si>
    <t>Manual LR</t>
  </si>
  <si>
    <t>Standard LR</t>
  </si>
  <si>
    <t>Interpreting the results</t>
  </si>
  <si>
    <t>Manual Loss Ratio Dispersion</t>
  </si>
  <si>
    <t>Standard Loss Ratio Dispersion</t>
  </si>
  <si>
    <r>
      <t xml:space="preserve">There is an upward trend in the manual loss ratios so the plan does a good job at </t>
    </r>
    <r>
      <rPr>
        <b/>
        <sz val="11"/>
        <color theme="1"/>
        <rFont val="Calibri"/>
        <family val="2"/>
        <scheme val="minor"/>
      </rPr>
      <t>identifying</t>
    </r>
    <r>
      <rPr>
        <sz val="11"/>
        <color theme="1"/>
        <rFont val="Calibri"/>
        <family val="2"/>
        <scheme val="minor"/>
      </rPr>
      <t xml:space="preserve"> differences between risks.</t>
    </r>
  </si>
  <si>
    <t>There is no noticeable trend in the standard loss ratios. However the values are not approximately equal for all risks and the dispersion is not materially</t>
  </si>
  <si>
    <r>
      <t xml:space="preserve">lower than seen in the manual loss ratios. This implies the plan does </t>
    </r>
    <r>
      <rPr>
        <b/>
        <sz val="11"/>
        <color theme="1"/>
        <rFont val="Calibri"/>
        <family val="2"/>
        <scheme val="minor"/>
      </rPr>
      <t xml:space="preserve">not do a good job of adjusting </t>
    </r>
    <r>
      <rPr>
        <sz val="11"/>
        <color theme="1"/>
        <rFont val="Calibri"/>
        <family val="2"/>
        <scheme val="minor"/>
      </rPr>
      <t>for differences between risks.</t>
    </r>
  </si>
  <si>
    <t>Apply the efficiency test</t>
  </si>
  <si>
    <t>Insurer 1's Plan</t>
  </si>
  <si>
    <t>Manual Loss Ratio</t>
  </si>
  <si>
    <t>Standard Loss Ratio</t>
  </si>
  <si>
    <t>Alice: "The efficiency test is defined using sample variance</t>
  </si>
  <si>
    <t xml:space="preserve">even though you'll get the same answer if you use the </t>
  </si>
  <si>
    <t xml:space="preserve">population variance calculation instead. It's hard to say </t>
  </si>
  <si>
    <t xml:space="preserve">if the CAS would penalize you for using population </t>
  </si>
  <si>
    <t>variance in the exam."</t>
  </si>
  <si>
    <t>Insurer 2's Plan</t>
  </si>
  <si>
    <t>Sample Variance</t>
  </si>
  <si>
    <t>Efficiency Test Statistic:</t>
  </si>
  <si>
    <t>Use the Efficiency Test to determine which experience rating plan is better.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</si>
  <si>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Here we are using the following formula for the sample variance:</t>
    </r>
  </si>
  <si>
    <t>Alice: "Notice here we're using the Var.S() Excel function. This is okay because we're not provided with any other information.</t>
  </si>
  <si>
    <t>However, if we were told the quintiles had different manual premium volumes then you need to calculate the sample variance by</t>
  </si>
  <si>
    <t>hand by finding the first and second moments. This is because Var.S() assumes all values have the same weight."</t>
  </si>
  <si>
    <t>Calculate the expenses as a percentage of the guaranteed cost premium</t>
  </si>
  <si>
    <t>The formula for the expense portion of the basic premium as a percentage of the guaranteed cost premium is:</t>
  </si>
  <si>
    <t>Loss Conversion Factor</t>
  </si>
  <si>
    <t>We're given</t>
  </si>
  <si>
    <t>Expected Loss Ratio</t>
  </si>
  <si>
    <t>c = Loss Conversion Factor</t>
  </si>
  <si>
    <t>Expense Ratio</t>
  </si>
  <si>
    <t>E = Expected Loss Ratio</t>
  </si>
  <si>
    <t>e = Expense Ratio</t>
  </si>
  <si>
    <t>Calculate the expense portion of the basic premium as a percentage of the guaranteed-cost premium.</t>
  </si>
  <si>
    <t>Plugging these into the formula yields:</t>
  </si>
  <si>
    <t>The retrospective rating formula is:</t>
  </si>
  <si>
    <t>Large Claims</t>
  </si>
  <si>
    <t>B =&gt;</t>
  </si>
  <si>
    <t>Basic Premium Amount</t>
  </si>
  <si>
    <t>c =&gt;</t>
  </si>
  <si>
    <t>B = Basic Premium Amount</t>
  </si>
  <si>
    <t>T =&gt;</t>
  </si>
  <si>
    <t>Tax Multiplier</t>
  </si>
  <si>
    <t>T = Tax Multiplier</t>
  </si>
  <si>
    <t>Per-Occurrence Limit</t>
  </si>
  <si>
    <t>Maximum ratable loss</t>
  </si>
  <si>
    <t>We need to calculate L, the ratable loss and then we may apply the formula.</t>
  </si>
  <si>
    <t>To find L we must read the claims information carefully and apply the per-occurrence limit and then the maximum ratable loss constraint.</t>
  </si>
  <si>
    <t>Evaluate each claim in turn and keep track of the cumulative claims so you can apply the maximum ratable loss condition.</t>
  </si>
  <si>
    <t>Calculate the retrospective rating premium.</t>
  </si>
  <si>
    <t>Amount Below</t>
  </si>
  <si>
    <t>per-occurrence limit</t>
  </si>
  <si>
    <t>Comments</t>
  </si>
  <si>
    <t>We're told these are all individually below the per-occurrence limit.</t>
  </si>
  <si>
    <t>TOTAL</t>
  </si>
  <si>
    <t>Now cap the total at the maximum ratable loss if it exceeds it.</t>
  </si>
  <si>
    <t xml:space="preserve">Ratable Loss = </t>
  </si>
  <si>
    <t>&lt;= L</t>
  </si>
  <si>
    <t>Finally, apply the retrospective rating formula</t>
  </si>
  <si>
    <t xml:space="preserve">R = </t>
  </si>
  <si>
    <t xml:space="preserve">= </t>
  </si>
  <si>
    <t>Insurer Cash Flow</t>
  </si>
  <si>
    <t>The loss conversion factor is c = 1 + ULAE %, i.e.</t>
  </si>
  <si>
    <t>Columns (11) – (19) are cumulative figures to date</t>
  </si>
  <si>
    <t>Visualize the cash flow for both the policyholder and the insurer under an incurred retrospective rating plan.</t>
  </si>
  <si>
    <t>c =</t>
  </si>
  <si>
    <t>Now let's calculate the basic premium which should cover the converted expected excess loss and ALAE along with any fixed expenses.</t>
  </si>
  <si>
    <t>Pricing Assumptions</t>
  </si>
  <si>
    <t>Initial Premium</t>
  </si>
  <si>
    <t>The basic premium is the ( Expected Excess Loss &amp; ALAE multiplied by the loss conversion factor ) plus commission, general expenses, and UW profit.</t>
  </si>
  <si>
    <t>Expected Primary Loss &amp; ALAE</t>
  </si>
  <si>
    <t>B =</t>
  </si>
  <si>
    <t>Expected Excess Loss &amp; ALAE</t>
  </si>
  <si>
    <t>&lt;= Basic Premium</t>
  </si>
  <si>
    <t>Commission</t>
  </si>
  <si>
    <t>General Expenses</t>
  </si>
  <si>
    <t>Underwriting Profit Provision</t>
  </si>
  <si>
    <t>T =</t>
  </si>
  <si>
    <t>ULAE</t>
  </si>
  <si>
    <t>Tax Rate</t>
  </si>
  <si>
    <t xml:space="preserve">To calculate the incurred retrospective rating premium we need  L, the ratable loss amount. </t>
  </si>
  <si>
    <t>We'll use the payment pattern to determine it at each point in time.</t>
  </si>
  <si>
    <t>There is no aggregate excess loss exposure.</t>
  </si>
  <si>
    <t>We're given the payment pattern, let's look at this information in more detail before working with it.</t>
  </si>
  <si>
    <t>1. This is a 1-year incurred retrospective rating plan; no premium adjustments will occur until 18 months have elapsed, and then are evaluated annually.</t>
  </si>
  <si>
    <t>2. The initial premium is paid immediately at the start, along with the commission.</t>
  </si>
  <si>
    <t>(11) = (8)</t>
  </si>
  <si>
    <t>3. We assume all losses are at ultimate after 7.5 years and that ALAE is included in the ratable loss.</t>
  </si>
  <si>
    <t>(12) = (2) * Expected Primary Loss &amp; ALAE</t>
  </si>
  <si>
    <t>(17) = (5) * General Expenses</t>
  </si>
  <si>
    <t>4. Since it's a 1-year policy, all general expenses happen within the first year. ULAE is accrued all the time the losses aren't at ultimate.</t>
  </si>
  <si>
    <t>(13) = (3) * Expected Excess Loss &amp; ALAE</t>
  </si>
  <si>
    <t>(18) = (Expected Primary and Excess Loss &amp; ALAE) * ULAE % * (6)</t>
  </si>
  <si>
    <t>(14) = (12) + (13)</t>
  </si>
  <si>
    <t>(19) = (11) - (14) - (15) - (16) - (17) - (18)</t>
  </si>
  <si>
    <t>(15) Commission is paid upfront then doesn't change.</t>
  </si>
  <si>
    <t>(20) = [(19) current row] - [(19) prior row]</t>
  </si>
  <si>
    <t>Payment Patterns</t>
  </si>
  <si>
    <t>Policyholder Cash Flow</t>
  </si>
  <si>
    <t>Time (Years)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</si>
  <si>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</si>
  <si>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• Both the policyholder and insurer have negative cash flows after t = 2.5. The insurer has a negative cash flow because it is paying out on losses.</t>
  </si>
  <si>
    <t xml:space="preserve">    The policyholder has a negative cash flow because they exchanged a larger upfront premium (guaranteed cost premium) for a lower initial premium</t>
  </si>
  <si>
    <t xml:space="preserve">    with additional premium payments later and the potential to receive premium refunds if their experience was better than expected.</t>
  </si>
  <si>
    <t>• The additional premium payments from the policyholder adjust but do not completely offset the loss experience paid by the insurer at the time.</t>
  </si>
  <si>
    <t xml:space="preserve">First premium adjustment occurs at t = 1.5. Losses better than expected so </t>
  </si>
  <si>
    <t>the policyholder receives a partial premium refund from the insurer.</t>
  </si>
  <si>
    <r>
      <t xml:space="preserve">Subsequent evaluations (t </t>
    </r>
    <r>
      <rPr>
        <sz val="11"/>
        <color theme="1"/>
        <rFont val="Calibri"/>
        <family val="2"/>
      </rPr>
      <t xml:space="preserve">≥ </t>
    </r>
    <r>
      <rPr>
        <sz val="9.9"/>
        <color theme="1"/>
        <rFont val="Calibri"/>
        <family val="2"/>
      </rPr>
      <t>2.5)</t>
    </r>
    <r>
      <rPr>
        <sz val="11"/>
        <color theme="1"/>
        <rFont val="Calibri"/>
        <family val="2"/>
        <scheme val="minor"/>
      </rPr>
      <t xml:space="preserve"> show losses gradually deteriorating;</t>
    </r>
  </si>
  <si>
    <t>this requires additional premium payments to the insurer.</t>
  </si>
  <si>
    <t>(7) = (1) * Expected Primary Loss &amp; ALAE</t>
  </si>
  <si>
    <t>The incurred retrospective rating plan basic premium at each point in time and illustrate the cash flows from both the</t>
  </si>
  <si>
    <t>(8) This is the initial premium until 1.5 years have elapsed. Afterwards, use (8) = [ B + c * (7) ] * T</t>
  </si>
  <si>
    <t>policyholder and insurer perspectives.</t>
  </si>
  <si>
    <t>(9) = -1 * (8)  as these are the cumulative payments made by the policyholder.</t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</si>
  <si>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</si>
  <si>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</si>
  <si>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</si>
  <si>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 xml:space="preserve">The ratable loss (column 7) is the primary incurred loss and ALAE after the consideration of any maximum or minimum ratable loss. </t>
  </si>
  <si>
    <t>much easier to test.</t>
  </si>
  <si>
    <r>
      <t xml:space="preserve">The requirement for the insured to make additional premium payments after the end of the policy period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</si>
  <si>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Note:</t>
  </si>
  <si>
    <t>In the text, Fisher uses an unrounded value of T. Here we've rounded T to 3 decimal places for convenience.</t>
  </si>
  <si>
    <t>Time</t>
  </si>
  <si>
    <t>(Years</t>
  </si>
  <si>
    <t>Excess Loss &amp;</t>
  </si>
  <si>
    <t>ALAE Paid</t>
  </si>
  <si>
    <t>Primary Loss &amp;</t>
  </si>
  <si>
    <t>Total Loss &amp;</t>
  </si>
  <si>
    <t>Tax</t>
  </si>
  <si>
    <t>General</t>
  </si>
  <si>
    <t>Expenses</t>
  </si>
  <si>
    <t>Cash Flow</t>
  </si>
  <si>
    <t>Incremental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</si>
  <si>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</si>
  <si>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</si>
  <si>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</si>
  <si>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</si>
  <si>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</si>
  <si>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</si>
  <si>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</si>
  <si>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</si>
  <si>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</si>
  <si>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</si>
  <si>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(Years)</t>
  </si>
  <si>
    <t>Primary</t>
  </si>
  <si>
    <t>Incurred Loss &amp;</t>
  </si>
  <si>
    <t>ALAE</t>
  </si>
  <si>
    <t>Paid Loss &amp;</t>
  </si>
  <si>
    <t>Excess Paid</t>
  </si>
  <si>
    <t>Loss &amp; ALAE</t>
  </si>
  <si>
    <t>Total Paid</t>
  </si>
  <si>
    <t>Loss &amp;</t>
  </si>
  <si>
    <t>(1)</t>
  </si>
  <si>
    <t>(2)</t>
  </si>
  <si>
    <t>(3)</t>
  </si>
  <si>
    <t>(4)</t>
  </si>
  <si>
    <t>(5)</t>
  </si>
  <si>
    <t>(6)</t>
  </si>
  <si>
    <t>[Ratable Loss, L]</t>
  </si>
  <si>
    <t>Primary Incurred</t>
  </si>
  <si>
    <t>Total Premium</t>
  </si>
  <si>
    <t>Paid</t>
  </si>
  <si>
    <t>Cumulative</t>
  </si>
  <si>
    <t>(7)</t>
  </si>
  <si>
    <t>(8)</t>
  </si>
  <si>
    <t>(9)</t>
  </si>
  <si>
    <t>(10)</t>
  </si>
  <si>
    <t>Under a large dollar deductible rating plan the policyholder is responsible for all losses in the deductible layer, i.e. all of the primary losses.</t>
  </si>
  <si>
    <t>Visualize the cash flow for both the policyholder and the insurer under a large dollar deductible rating plan.</t>
  </si>
  <si>
    <t>However, since the insurer pays all claims and then seeks to recover the deductible layer from the policyholder, ULAE applies to all claims.</t>
  </si>
  <si>
    <t>Using our Exam 5 knowledge the premium formula for a large dollar deductible rating plan is:</t>
  </si>
  <si>
    <t>Premium = { Expected Excess Loss &amp; ALAE + Commission + General Expense + UW Profit + [ULAE * (Expected Primary &amp; Excess Loss &amp; ALAE)] }* Tax Multiplier</t>
  </si>
  <si>
    <t>Also, unlike a retrospective policy,  the premium charged for a large dollar deductible does not change over time. So we immediately get the LDD premium as:</t>
  </si>
  <si>
    <t>1. This is a 1-year large dollar deductible rating plan and the insurer will recover losses in the deductible layer at the end of each quarter.</t>
  </si>
  <si>
    <t>2. Since it's a 1-year policy, all general expenses happen within the first year. ULAE is accrued all the time the losses aren't at ultimate.</t>
  </si>
  <si>
    <t>(11) Calculated at the top of the prior page.</t>
  </si>
  <si>
    <t>3. We assume all losses are at ultimate after 7.5 years.</t>
  </si>
  <si>
    <t>4. Commission is paid in full immediately at policy inception.</t>
  </si>
  <si>
    <t>(19) = (11) + (12) - (14) - (15) - (16) - (17) - (18)</t>
  </si>
  <si>
    <t>• (12) Deductible Loss Reimbursements could also be called Primary Loss &amp; ALAE Paid.</t>
  </si>
  <si>
    <t>• The policyholder always has a negative cash flow (unless they experienced no claims in a quarter).</t>
  </si>
  <si>
    <t xml:space="preserve">• The insurer has a negative cash flow after t = 0  because they have to pay general expenses during the first year plus ULAE on all claims, </t>
  </si>
  <si>
    <t xml:space="preserve">   and pay out on the excess portion of any claims above the deductible.</t>
  </si>
  <si>
    <t xml:space="preserve">• When all losses have reached ultimate and assuming all losses in the deductible layer are recovered, the insurer is </t>
  </si>
  <si>
    <t xml:space="preserve">   left with the UW profit.</t>
  </si>
  <si>
    <t>(7) Calculated at the top of the page.</t>
  </si>
  <si>
    <t>(8) = (2) * Expected Primary Loss &amp; ALAE</t>
  </si>
  <si>
    <t xml:space="preserve">The premium charged for the large dollar deductible rating plan and illustrate the cash flows from both the policyholder and </t>
  </si>
  <si>
    <t>(9) = -1 * (7) - (8)</t>
  </si>
  <si>
    <t>insurer perspectives.</t>
  </si>
  <si>
    <r>
      <t xml:space="preserve">The requirement for the insured to make additional payments for losses within the deductible layer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</si>
  <si>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Total Premium Paid</t>
  </si>
  <si>
    <t>Reimbursements</t>
  </si>
  <si>
    <t xml:space="preserve">Deductible Loss </t>
  </si>
  <si>
    <t xml:space="preserve">Cumulative </t>
  </si>
  <si>
    <t xml:space="preserve">Incremental </t>
  </si>
  <si>
    <t>Calculate the amount paid by the insured and the insurer under a per-occurrence and aggregate deductible policy.</t>
  </si>
  <si>
    <t xml:space="preserve">Each claim under the per-occurrence deductible is covered entirely by the insured unless their cumulative deductible payments reaches the </t>
  </si>
  <si>
    <t xml:space="preserve">aggregate limit. Each claim over the per-occurrence deductible contributes the per-occurrence limit to the cumulative deductible until the </t>
  </si>
  <si>
    <t>A Commercial General Liability policy has a per-occurrence deductible and an aggregate deductible of:</t>
  </si>
  <si>
    <t>aggregate deductible limit is reached.</t>
  </si>
  <si>
    <t>Per-occurrence deductible</t>
  </si>
  <si>
    <t>Aggregate deductible</t>
  </si>
  <si>
    <r>
      <t xml:space="preserve">We're given the </t>
    </r>
    <r>
      <rPr>
        <u/>
        <sz val="11"/>
        <color theme="1"/>
        <rFont val="Calibri"/>
        <family val="2"/>
        <scheme val="minor"/>
      </rPr>
      <t>ground-up losses for claims in excess of the per-occurrence limit</t>
    </r>
    <r>
      <rPr>
        <sz val="11"/>
        <color theme="1"/>
        <rFont val="Calibri"/>
        <family val="2"/>
        <scheme val="minor"/>
      </rPr>
      <t xml:space="preserve">. To solve the problem, figure out the applicable deductible </t>
    </r>
  </si>
  <si>
    <t>for each quarter. The insurance payment is the difference between the total claims and the deductible.</t>
  </si>
  <si>
    <t>Calculate the insurance payments and the insured's cumulative deductible payment for each quarter.</t>
  </si>
  <si>
    <t>Applying this we get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</si>
  <si>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</si>
  <si>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</si>
  <si>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</si>
  <si>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</si>
  <si>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</si>
  <si>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</si>
  <si>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</si>
  <si>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</si>
  <si>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</si>
  <si>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</si>
  <si>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</si>
  <si>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</si>
  <si>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(4) = min{ (1) + (2) * [Per-occurrence limit], [Aggregate limit] - Prior row (6) }</t>
  </si>
  <si>
    <t>(5) = (1) + (3) - (4)</t>
  </si>
  <si>
    <r>
      <t>Note</t>
    </r>
    <r>
      <rPr>
        <b/>
        <sz val="11"/>
        <color theme="1"/>
        <rFont val="Calibri"/>
        <family val="2"/>
        <scheme val="minor"/>
      </rPr>
      <t>:</t>
    </r>
  </si>
  <si>
    <t>A potential twist is being given aggregate losses in excess of the per-occurrence deductible in column (3) above.</t>
  </si>
  <si>
    <t xml:space="preserve">aggregate deductible. Each claim over the per-occurrence deductible contributes the per-occurrence limit to the cumulative deductible until the </t>
  </si>
  <si>
    <t>aggregate deductible is reached.</t>
  </si>
  <si>
    <r>
      <t xml:space="preserve">We're given excess losses for claims </t>
    </r>
    <r>
      <rPr>
        <u/>
        <sz val="11"/>
        <color theme="1"/>
        <rFont val="Calibri"/>
        <family val="2"/>
        <scheme val="minor"/>
      </rPr>
      <t>over</t>
    </r>
    <r>
      <rPr>
        <sz val="11"/>
        <color theme="1"/>
        <rFont val="Calibri"/>
        <family val="2"/>
        <scheme val="minor"/>
      </rPr>
      <t xml:space="preserve"> the per-occurrence limit, i.e. we need to add the per-occurrence deductible back in to get the ground up loss. </t>
    </r>
  </si>
  <si>
    <t>Now figure out the applicable deductible in each quarter. The insurance payment is the difference between the total claims and the deductible.</t>
  </si>
  <si>
    <t>Dollars of loss on claims that are each less than $100,000
(1)</t>
  </si>
  <si>
    <t>Number of claims over $100,000
(2)</t>
  </si>
  <si>
    <t>Excess loss dollars on claims over $100,000
(3)</t>
  </si>
  <si>
    <t>(4) = min{ (1) + (2) * [Per-occurrence deductible], [Aggregate deductible] - Prior row (6) }</t>
  </si>
  <si>
    <t>(5) = (1) + (2) * [per-occurrence deductible] + (3) - (4)</t>
  </si>
  <si>
    <t>Calculate the Table M charge and insurance charge from first principles given a uniform aggregate loss distribution.</t>
  </si>
  <si>
    <t>Although the problem can be solved using a Lee diagram, we'll solve it with what we know from first principles.</t>
  </si>
  <si>
    <t>By doing several problems like this you'll be able to apply the technique to any aggregate loss distribution the CAS may give you.</t>
  </si>
  <si>
    <t>Aggregate loss distibution</t>
  </si>
  <si>
    <t>Expected aggregate loss</t>
  </si>
  <si>
    <t>Insurance charge</t>
  </si>
  <si>
    <t>Calculate the Table M Charge and insurance charge for the following actual losses.</t>
  </si>
  <si>
    <t>Clearly, we need to form entry ratios. Remember, the (Table M) entry ratio is A / E, where A is the actual loss and E is the expected loss.</t>
  </si>
  <si>
    <t>A</t>
  </si>
  <si>
    <t>Table M charge</t>
  </si>
  <si>
    <t>Insurance Charge</t>
  </si>
  <si>
    <t>Entry Ratio</t>
  </si>
  <si>
    <t>Table M Charge:</t>
  </si>
  <si>
    <t>Alice: "Important detail: Let Y = A / E and let F be the cumulative distribution function of Y."</t>
  </si>
  <si>
    <t>Now we know the distribution for Y, we can write</t>
  </si>
  <si>
    <t>and so</t>
  </si>
  <si>
    <t>Using the same process with the remaining entry ratios results in the following completed table.</t>
  </si>
  <si>
    <t xml:space="preserve">Alice: "For those of you also reviewing the source, you'll see a similarity with Fisher's Chapter 3 Question 3. However, in the text (top p. 40) Fisher </t>
  </si>
  <si>
    <t xml:space="preserve">muddies the water by saying the insurance charge refers to an amount, not a ratio but then in Q3 asks the reader to find the ill-defined </t>
  </si>
  <si>
    <t>Table M insurance charge', which the solution shows is actually just the Table M Charge (i.e. a ratio), not the insurance charge."</t>
  </si>
  <si>
    <t>Calculate the Table M insurance savings from first principles given an exponential aggregate loss distribution.</t>
  </si>
  <si>
    <r>
      <t xml:space="preserve">First we need the pdf and cdf for an exponential distribution with mean </t>
    </r>
    <r>
      <rPr>
        <sz val="11"/>
        <color theme="1"/>
        <rFont val="Calibri"/>
        <family val="2"/>
      </rPr>
      <t>ϴ</t>
    </r>
  </si>
  <si>
    <t>A ~ Exponential</t>
  </si>
  <si>
    <t>Aggregate loss distribution</t>
  </si>
  <si>
    <t>p.d.f.</t>
  </si>
  <si>
    <t>c.d.f</t>
  </si>
  <si>
    <t>Calculate the Table M Savings and insurance savings for the following actual losses.</t>
  </si>
  <si>
    <t>Next, we need the formula for the Table M Savings:</t>
  </si>
  <si>
    <t>Insurance Savings</t>
  </si>
  <si>
    <t xml:space="preserve">It's clear we're going to need to work with entry ratios instead of actual and expected losses. </t>
  </si>
  <si>
    <t>Remember, the entry ratio is just the actual loss divided by the expected loss.</t>
  </si>
  <si>
    <t>Form the new distribution:</t>
  </si>
  <si>
    <t>Alice: "This is a really important part - forming the correct distribution."</t>
  </si>
  <si>
    <t>We now need the p.d.f. and c.d.f. of the new distribution. To do this, it's helpful to recall the following relationship:</t>
  </si>
  <si>
    <t>Let</t>
  </si>
  <si>
    <t>where a is non-zero. Then the p.d.f. of Y is given by</t>
  </si>
  <si>
    <r>
      <t>Here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(y) is the p.d.f. of Y and 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(x) is the p.d.f. of X.</t>
    </r>
  </si>
  <si>
    <t>This is an exponential distribution with mean 1 and so</t>
  </si>
  <si>
    <t xml:space="preserve">Plugging this into the formula for the Table M Savings gives: </t>
  </si>
  <si>
    <t>By carefully evaluating this integral, we can complete the table as follows:</t>
  </si>
  <si>
    <t>Estimate the net insurance charge at an entry ratio.</t>
  </si>
  <si>
    <t xml:space="preserve">We're told there is no per-occurrence limit but there is an aggregate limit. </t>
  </si>
  <si>
    <t>This means we would be dealing with a Table M although it is not necessary to know that to reach the answer.</t>
  </si>
  <si>
    <t xml:space="preserve">First we calculate </t>
  </si>
  <si>
    <t>This is the sum over all claims of the actual loss in excess of r*E, divided by the total expected loss.</t>
  </si>
  <si>
    <t>Claim #</t>
  </si>
  <si>
    <t>Here, n is the number of claims and E is the expected loss per claim.</t>
  </si>
  <si>
    <t>&lt;= This is the Table M charge</t>
  </si>
  <si>
    <t>Average</t>
  </si>
  <si>
    <t xml:space="preserve">The insurance charge is </t>
  </si>
  <si>
    <t xml:space="preserve">Next, calculate </t>
  </si>
  <si>
    <t>This is the sum over all claims smaller than r*E of the gap between r*E and the actual loss, divided by the total expected loss over all claims.</t>
  </si>
  <si>
    <t>r</t>
  </si>
  <si>
    <t>&lt;= This is the Table M savings</t>
  </si>
  <si>
    <t xml:space="preserve">The insurance saving is </t>
  </si>
  <si>
    <t>Net insurance charge          =</t>
  </si>
  <si>
    <t>Derive the Table M balance equations for a balanced retrospective rating plan</t>
  </si>
  <si>
    <t>A retrospective rating plan has a basic premium, B, that is fixed (doesn't vary with loss). Assume the plan only has an aggregate limit/deductible.</t>
  </si>
  <si>
    <t>We'll also assume our retrospective rating plan also has a minimum premium H and a maximum premium G.</t>
  </si>
  <si>
    <r>
      <t>These correspond to a minimum ratable loss L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and a maximum ratable loss L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respectively.</t>
    </r>
  </si>
  <si>
    <t xml:space="preserve">Using the retrospective rating formula, </t>
  </si>
  <si>
    <t>[1]</t>
  </si>
  <si>
    <t>we get</t>
  </si>
  <si>
    <t>Letting E[A] be the expected loss gives the following entry ratios:</t>
  </si>
  <si>
    <t>From this, we can draw the following Lee diagram</t>
  </si>
  <si>
    <r>
      <t xml:space="preserve">The green and yellow area is the </t>
    </r>
    <r>
      <rPr>
        <b/>
        <u/>
        <sz val="11"/>
        <color theme="1"/>
        <rFont val="Calibri"/>
        <family val="2"/>
        <scheme val="minor"/>
      </rPr>
      <t>average ratable loss</t>
    </r>
    <r>
      <rPr>
        <sz val="11"/>
        <color theme="1"/>
        <rFont val="Calibri"/>
        <family val="2"/>
        <scheme val="minor"/>
      </rPr>
      <t>, so</t>
    </r>
  </si>
  <si>
    <t>[2]</t>
  </si>
  <si>
    <t>Since the premium for a retrospective rating plan should cover the expected</t>
  </si>
  <si>
    <t xml:space="preserve">loss, expenses, and taxes we have </t>
  </si>
  <si>
    <t>Taking the expectation of the retrospective rating formula, [1], and equating gives</t>
  </si>
  <si>
    <t>[3]</t>
  </si>
  <si>
    <t>where we used [2] to replace E[L]</t>
  </si>
  <si>
    <t>At the minimum premium, H, the area of U is zero so we get</t>
  </si>
  <si>
    <t xml:space="preserve">which rearranges to </t>
  </si>
  <si>
    <t>[4]</t>
  </si>
  <si>
    <t>Substituting [4] into [3] yields</t>
  </si>
  <si>
    <t>[5]</t>
  </si>
  <si>
    <t xml:space="preserve">However, from the Lee diagram we know </t>
  </si>
  <si>
    <t>[6]</t>
  </si>
  <si>
    <t>Substituting [6] into [5] yields</t>
  </si>
  <si>
    <t>which gives the first balance equation:</t>
  </si>
  <si>
    <t xml:space="preserve">Next, ratable losses associated with the minimum premium may be expressed as </t>
  </si>
  <si>
    <t xml:space="preserve">Applying the retrospective rating formula yields </t>
  </si>
  <si>
    <t>Similarly we have</t>
  </si>
  <si>
    <t xml:space="preserve">Taking the difference of these two equations gives </t>
  </si>
  <si>
    <t>which rearranges to the second balance equation:</t>
  </si>
  <si>
    <t>The first balance equation tells us</t>
  </si>
  <si>
    <t>(the green shaded area labelled by U) is the difference between the expected retrospective premium at the minimum ratable loss and the minimum</t>
  </si>
  <si>
    <t>premium as R = (e + E[A])T, scaled by the factor cE[A]T.</t>
  </si>
  <si>
    <t>Derive the Limited Table M balance equations for a balanced retrospective rating plan</t>
  </si>
  <si>
    <t>A retrospective rating plan has a basic premium, B, that is fixed (doesn't vary with loss). Assume the plan only has a per-occurrence limit/deductible.</t>
  </si>
  <si>
    <t>Since the plan pays out on all losses, E[A], and we need to cover expenses and taxes</t>
  </si>
  <si>
    <t xml:space="preserve">we have </t>
  </si>
  <si>
    <r>
      <t>premium as R = (e + E[A])T, scaled by the factor cE[A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]T.</t>
    </r>
  </si>
  <si>
    <t>Derive the Table L balance equations for a balanced retrospective rating plan</t>
  </si>
  <si>
    <t xml:space="preserve">A retrospective rating plan has a basic premium, B, that is fixed (doesn't vary with loss). </t>
  </si>
  <si>
    <t>Assume the plan has both a per-occurrence limit/deductible and an aggregate limit/deductible.</t>
  </si>
  <si>
    <t>Notice the risks in the group are already ordered by increasing actual loss. If your risks aren't ordered, do that first.</t>
  </si>
  <si>
    <t>Calculate an empirical Table M using vertical slices</t>
  </si>
  <si>
    <r>
      <t>Note</t>
    </r>
    <r>
      <rPr>
        <sz val="11"/>
        <color theme="1"/>
        <rFont val="Calibri"/>
        <family val="2"/>
        <scheme val="minor"/>
      </rPr>
      <t>:</t>
    </r>
  </si>
  <si>
    <t>If you were given the grouping by expected number of claims, use the average actual aggregate loss for the group as the expected aggregate loss.</t>
  </si>
  <si>
    <t>Actual annual aggregate loss</t>
  </si>
  <si>
    <t>For graph</t>
  </si>
  <si>
    <t>Below ratio</t>
  </si>
  <si>
    <t>Above ratio</t>
  </si>
  <si>
    <t>x-axis</t>
  </si>
  <si>
    <t>Construct a Table M in increments of 0.1 from 0 to 3 using the vertical slicing method.</t>
  </si>
  <si>
    <t>We want to build a Table M for entry ratios between 0 and 3 in increments of 0.1 using the vertical slicing method. We'll show the calculation for r = 1.2</t>
  </si>
  <si>
    <t>3.)</t>
  </si>
  <si>
    <t>[Optional] Draw a Lee diagram and highlight the entry ratio being calculated.</t>
  </si>
  <si>
    <t>φ(r)</t>
  </si>
  <si>
    <r>
      <t>ϕ</t>
    </r>
    <r>
      <rPr>
        <sz val="9.9"/>
        <color theme="1"/>
        <rFont val="Calibri"/>
        <family val="2"/>
      </rPr>
      <t>(r)</t>
    </r>
  </si>
  <si>
    <t>In the graph, we've drawn a line corresponding to entry ratio r=1.2 and highlighted the portion of each risk's entry ratio that exceeds this.</t>
  </si>
  <si>
    <t>4.)</t>
  </si>
  <si>
    <r>
      <t xml:space="preserve">Calculate the portion of each entry ratio that exceeds the entry ratio under consideration and then the average value is the insurance charge, </t>
    </r>
    <r>
      <rPr>
        <sz val="11"/>
        <color theme="1"/>
        <rFont val="Calibri"/>
        <family val="2"/>
      </rPr>
      <t>φ</t>
    </r>
    <r>
      <rPr>
        <sz val="9.9"/>
        <color theme="1"/>
        <rFont val="Calibri"/>
        <family val="2"/>
      </rPr>
      <t>(r).</t>
    </r>
  </si>
  <si>
    <t>Excess of r = 1.2</t>
  </si>
  <si>
    <t>Insurance charge at r = 1.2 is the Total / # risks = 2.1/10 = 0.21</t>
  </si>
  <si>
    <t>5.)</t>
  </si>
  <si>
    <t xml:space="preserve">Compute the insurance savings using the formula: </t>
  </si>
  <si>
    <t>6.)</t>
  </si>
  <si>
    <t xml:space="preserve">Repeat this process for each entry ratio required in the Table M. </t>
  </si>
  <si>
    <t>The next page shows the completed Table M, you should verify the calculation for a couple of the values.</t>
  </si>
  <si>
    <r>
      <t>φ</t>
    </r>
    <r>
      <rPr>
        <sz val="9.9"/>
        <color theme="1"/>
        <rFont val="Calibri"/>
        <family val="2"/>
      </rPr>
      <t>(r)</t>
    </r>
  </si>
  <si>
    <t>Calculate an empirical Table M using horizontal slices.</t>
  </si>
  <si>
    <t>Experience for a group of risks with expected annual aggregate loss of $100,000</t>
  </si>
  <si>
    <t>Used to make the horizontal slices graph</t>
  </si>
  <si>
    <t>Entry Ratio, r</t>
  </si>
  <si>
    <t>Construct a Table M using the horizontal slicing method.</t>
  </si>
  <si>
    <t>[Optional] Draw a Lee diagram.</t>
  </si>
  <si>
    <t>For each distinct entry ratio, plus the 0 entry ratio, fill out the table below as follows:</t>
  </si>
  <si>
    <t># Risks: This is the number of risks with entry ratio r</t>
  </si>
  <si>
    <t># Risks over r: This is the number of risks with entry ratios strictly greater than r</t>
  </si>
  <si>
    <t>c.)</t>
  </si>
  <si>
    <t>% Risks over r: This is b.) / [Total # of risks]</t>
  </si>
  <si>
    <t>d.)</t>
  </si>
  <si>
    <t>Difference in r: This is the r value from the next row minus the r value from the current row. It is zero for the last row.</t>
  </si>
  <si>
    <t>e.)</t>
  </si>
  <si>
    <t>Insurance charge: Start at the last row and work upwards. The last row always has zero insurance charge.</t>
  </si>
  <si>
    <t>For row k, multiply the kth row difference in r by the kth row % risks over r then add this to the insurance charge for row k+1.</t>
  </si>
  <si>
    <t>f.)</t>
  </si>
  <si>
    <t># Risks</t>
  </si>
  <si>
    <t># Risks over r</t>
  </si>
  <si>
    <t>% Risks over r</t>
  </si>
  <si>
    <t>Difference in r</t>
  </si>
  <si>
    <t>Notice the horizontal method really only lends itself to calculating at entry ratios corresponding to known losses.</t>
  </si>
  <si>
    <t>To calculate an "in-between" entry ratio insurance charge, form a trapezoid and add that area instead.</t>
  </si>
  <si>
    <t>Fisher points out in practice there are usually sufficient losses to construct a Table M with intervals of 0.01 between rows</t>
  </si>
  <si>
    <t>and that linear interpolation is usually accurate enough.</t>
  </si>
  <si>
    <t>Source Text Chapter 3 Q13</t>
  </si>
  <si>
    <t>Calculate the total loss cost for the policy</t>
  </si>
  <si>
    <t>(a.)</t>
  </si>
  <si>
    <t xml:space="preserve">First we need to calculate the entry ratio(s) which characterises the policy. Here there's only one since there's an aggregate limit but no minimum. </t>
  </si>
  <si>
    <t>The (characteristic) entry ratio is the ratio of the aggregate deductible limit to the expected primary loss at the per-occurrence limit.</t>
  </si>
  <si>
    <t>The following is a table of insurance charges by per-occurrence deductible.</t>
  </si>
  <si>
    <t>Now we can look up the insurance charge in the Limited Table M.</t>
  </si>
  <si>
    <t>i.</t>
  </si>
  <si>
    <t>The cost of the aggregate deductible limit is then: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</si>
  <si>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</si>
  <si>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</si>
  <si>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The cost of the per-occurrence deductible is:</t>
  </si>
  <si>
    <t>iii.</t>
  </si>
  <si>
    <t>The total cost of the policy is then:</t>
  </si>
  <si>
    <t>Aggregate deductible limit</t>
  </si>
  <si>
    <t>(b.)</t>
  </si>
  <si>
    <t>The (characteristic) entry ratio is:</t>
  </si>
  <si>
    <t>The total cost of the policy</t>
  </si>
  <si>
    <t>Source text: Chapter 3 Q14</t>
  </si>
  <si>
    <t>Draw a Lee diagram and calculate the Table L insurance charge and savings</t>
  </si>
  <si>
    <t>A policy has the following properties:</t>
  </si>
  <si>
    <t xml:space="preserve">Next, we need to plot the limited loss distribution. Recall the formula for the Table L entry ratio is </t>
  </si>
  <si>
    <t xml:space="preserve">Since the limited loss distribution is continuous and uniform, we know it will be represented by a straight line. </t>
  </si>
  <si>
    <t>Draw a Lee diagram representing this policy and calculate the following:</t>
  </si>
  <si>
    <t>a)</t>
  </si>
  <si>
    <t>b)</t>
  </si>
  <si>
    <t>Bringing this all together yields the following Lee diagram</t>
  </si>
  <si>
    <t xml:space="preserve">Alice: "On a side note there are two ways you can figure out the </t>
  </si>
  <si>
    <t xml:space="preserve">corresponding x coordinate for any given entry ratio. </t>
  </si>
  <si>
    <t>First, you could find the equation of the line through (0,0) and (1,1.6)</t>
  </si>
  <si>
    <t>and then solve for x after substituting in the desired entry ratio for y.</t>
  </si>
  <si>
    <t>The second way is to set the known entry ratio equal to the Table L entry</t>
  </si>
  <si>
    <t>ratio definition. Using an entry ratio of 1.5 as an example we have</t>
  </si>
  <si>
    <t>1.5 = (Limited Actual Loss) / (Expected Unlimited Loss).</t>
  </si>
  <si>
    <t>We know the expected unlimited loss is 250, so the limited actual loss</t>
  </si>
  <si>
    <t xml:space="preserve">must be 1.5 * 250 = 375. </t>
  </si>
  <si>
    <r>
      <t>Now, recalling we're interested in curve F</t>
    </r>
    <r>
      <rPr>
        <b/>
        <i/>
        <vertAlign val="subscript"/>
        <sz val="11"/>
        <color theme="8"/>
        <rFont val="Calibri"/>
        <family val="2"/>
        <scheme val="minor"/>
      </rPr>
      <t>D</t>
    </r>
    <r>
      <rPr>
        <b/>
        <i/>
        <sz val="11"/>
        <color theme="8"/>
        <rFont val="Calibri"/>
        <family val="2"/>
        <scheme val="minor"/>
      </rPr>
      <t>, the maximum possible</t>
    </r>
  </si>
  <si>
    <t>limited loss is 400. So the associated x value is 375/400 = 1.5/1.6."</t>
  </si>
  <si>
    <t>Table L insurance charge = A + B + C</t>
  </si>
  <si>
    <t>Table L insurance savings = A + E</t>
  </si>
  <si>
    <t xml:space="preserve">Note the area under the curve F is equal to 1 and we can calculate x-axis coordinates by taking the ratio of the entry ratio to the maximum </t>
  </si>
  <si>
    <t>entry ratio for each curve (see Alice's sidenote). This gives</t>
  </si>
  <si>
    <t>Then using</t>
  </si>
  <si>
    <t>Construct a Table L from empirical data</t>
  </si>
  <si>
    <t xml:space="preserve">Compute the excess ratio </t>
  </si>
  <si>
    <t>Experience for a group of risks with a per-occurrence limit of $50,000</t>
  </si>
  <si>
    <t>Since we're not told the expected limited (or unlimited) aggregate losses, we approximate them with the average values from the table.</t>
  </si>
  <si>
    <t>Unlimited Aggregate Loss</t>
  </si>
  <si>
    <t>Limited Aggregate Loss</t>
  </si>
  <si>
    <r>
      <t xml:space="preserve">Compute the entry ratio for each risk. Again, since the </t>
    </r>
    <r>
      <rPr>
        <u/>
        <sz val="11"/>
        <color theme="1"/>
        <rFont val="Calibri"/>
        <family val="2"/>
        <scheme val="minor"/>
      </rPr>
      <t>expected</t>
    </r>
    <r>
      <rPr>
        <sz val="11"/>
        <color theme="1"/>
        <rFont val="Calibri"/>
        <family val="2"/>
        <scheme val="minor"/>
      </rPr>
      <t xml:space="preserve"> unlimited aggregate losses are unknown, use the average of all risks.</t>
    </r>
  </si>
  <si>
    <t>Remember: The Table L entry ratio is defined as</t>
  </si>
  <si>
    <t>Actual Unlimited</t>
  </si>
  <si>
    <t>Actual Limited</t>
  </si>
  <si>
    <t>Entry</t>
  </si>
  <si>
    <t>Aggregate Loss</t>
  </si>
  <si>
    <t>Ratio, r</t>
  </si>
  <si>
    <t>Construct a Table L using the above data.</t>
  </si>
  <si>
    <r>
      <t xml:space="preserve">Apply the horizontal slicing method, making sure to arrange the unique entry ratios in </t>
    </r>
    <r>
      <rPr>
        <b/>
        <sz val="11"/>
        <color theme="1"/>
        <rFont val="Calibri"/>
        <family val="2"/>
        <scheme val="minor"/>
      </rPr>
      <t xml:space="preserve">ascending </t>
    </r>
    <r>
      <rPr>
        <sz val="11"/>
        <color theme="1"/>
        <rFont val="Calibri"/>
        <family val="2"/>
        <scheme val="minor"/>
      </rPr>
      <t>order and include a row for the 0 entry ratio.</t>
    </r>
  </si>
  <si>
    <t>Unique Entry Ratios</t>
  </si>
  <si>
    <t>The difference in r entry is the entry ratio in row k+1 minus the entry ratio in row k, where k is the current row. It is always 0 for the last row.</t>
  </si>
  <si>
    <t xml:space="preserve">is calculated as (% Risks over r) * (Difference in r) for row k, plus the entry for row k+1, column </t>
  </si>
  <si>
    <t>Complete the Table L by using the formula</t>
  </si>
  <si>
    <t>Entry Ratio r</t>
  </si>
  <si>
    <t>Apply the ICRLL method to determine the total policy loss cost.</t>
  </si>
  <si>
    <r>
      <t xml:space="preserve">Since the ICRLL method is used to </t>
    </r>
    <r>
      <rPr>
        <u/>
        <sz val="11"/>
        <color theme="1"/>
        <rFont val="Calibri"/>
        <family val="2"/>
        <scheme val="minor"/>
      </rPr>
      <t>transform a Limited Table M into a Table M</t>
    </r>
    <r>
      <rPr>
        <sz val="11"/>
        <color theme="1"/>
        <rFont val="Calibri"/>
        <family val="2"/>
        <scheme val="minor"/>
      </rPr>
      <t>, we need to work with entry ratios from the Limited Table M at first.</t>
    </r>
  </si>
  <si>
    <t>Consider a workers' compensation policy which has the following characteristics:</t>
  </si>
  <si>
    <r>
      <t xml:space="preserve">Compute the </t>
    </r>
    <r>
      <rPr>
        <b/>
        <sz val="11"/>
        <color theme="1"/>
        <rFont val="Calibri"/>
        <family val="2"/>
        <scheme val="minor"/>
      </rPr>
      <t xml:space="preserve">Limited Table M </t>
    </r>
    <r>
      <rPr>
        <sz val="11"/>
        <color theme="1"/>
        <rFont val="Calibri"/>
        <family val="2"/>
        <scheme val="minor"/>
      </rPr>
      <t xml:space="preserve">entry ratio </t>
    </r>
  </si>
  <si>
    <t>Per-occurrence limit</t>
  </si>
  <si>
    <t>Aggregate limit</t>
  </si>
  <si>
    <t xml:space="preserve">Since the actual limited aggregate loss is (currently) unknown for the policy (we're pricing future losses), </t>
  </si>
  <si>
    <t>Expected unlimited aggregate loss</t>
  </si>
  <si>
    <t>we substitute the aggregate policy limit for the actual limited aggregate loss.</t>
  </si>
  <si>
    <t>Expected limited aggregate loss</t>
  </si>
  <si>
    <t xml:space="preserve">This gives </t>
  </si>
  <si>
    <t>Compute the excess ratio</t>
  </si>
  <si>
    <t>You may use the information in the following tables</t>
  </si>
  <si>
    <t>Expected Loss Group</t>
  </si>
  <si>
    <t>Range of Values</t>
  </si>
  <si>
    <t>Min</t>
  </si>
  <si>
    <t>Compute the ICRLL adjustment</t>
  </si>
  <si>
    <t>630,000 - 720,000</t>
  </si>
  <si>
    <t>720,001 - 830,000</t>
  </si>
  <si>
    <t>This gives</t>
  </si>
  <si>
    <t>830,001 - 990,000</t>
  </si>
  <si>
    <t>990,001 - 1,180,000</t>
  </si>
  <si>
    <t>Compute the adjusted expected loss = E * (State/hazard group adjustment) * ICRLL</t>
  </si>
  <si>
    <t>1,180,001 - 1,415,000</t>
  </si>
  <si>
    <t>1,415,001 - 1,744,000</t>
  </si>
  <si>
    <t>Find the expected loss group (ELG) that contains the adjusted expected loss.</t>
  </si>
  <si>
    <t>Table M</t>
  </si>
  <si>
    <t>7.)</t>
  </si>
  <si>
    <t>Calculate the aggregate limit charge,</t>
  </si>
  <si>
    <t>Using the ICRLL method, calculate the total loss cost for the workers' compensation policy.</t>
  </si>
  <si>
    <t>8.)</t>
  </si>
  <si>
    <t>Calculate the per-occurrence limit charge,</t>
  </si>
  <si>
    <t>9.)</t>
  </si>
  <si>
    <t>Calculate the total loss cost of the policy = sum the per-occurrence and aggregate limit charges.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</si>
  <si>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</si>
  <si>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</si>
  <si>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</si>
  <si>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</si>
  <si>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</si>
  <si>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</si>
  <si>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</si>
  <si>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</si>
  <si>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</si>
  <si>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</si>
  <si>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</si>
  <si>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</si>
  <si>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2001 - 4000</t>
  </si>
  <si>
    <t>4001 - 5000</t>
  </si>
  <si>
    <t>5001 - 10000</t>
  </si>
  <si>
    <t>The details below are for the 1001 - 2000 claim size group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</si>
  <si>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 xml:space="preserve">(2000) = </t>
    </r>
  </si>
  <si>
    <t>Fill in the highlighted values and graph the excess severities to identify the distribution.</t>
  </si>
  <si>
    <t>Assuming a Pareto distribution is appropriate, calculate the parameters of the distribution.</t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</si>
  <si>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(2000) =</t>
    </r>
  </si>
  <si>
    <t>Since the graph of excess severities is very close to a straight line with positive slope, the underlying distribution is Pareto.</t>
  </si>
  <si>
    <t>By equating the Pareto excess severity function with the equation for the linear regression trend line, we can estimate the parameters</t>
  </si>
  <si>
    <t xml:space="preserve">and </t>
  </si>
  <si>
    <t>so</t>
  </si>
  <si>
    <t>Source Text Example 6.3</t>
  </si>
  <si>
    <t>Calculate ILFs loaded for expenses.</t>
  </si>
  <si>
    <t>The expected value of a lognormal distribution and its limited expected value are given by:</t>
  </si>
  <si>
    <t>Indemnity losses for a portfolio of insurance policies have a lognormal claim-size distribution with parameters</t>
  </si>
  <si>
    <t>μ =</t>
  </si>
  <si>
    <t>σ =</t>
  </si>
  <si>
    <t>Since we're given the dollar amount of the loss adjustment expenses we'll use the second formulation for the ILF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</si>
  <si>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</si>
  <si>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</si>
  <si>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E[X;100,000] =</t>
  </si>
  <si>
    <t>Claim frequency per exposure</t>
  </si>
  <si>
    <t>E[X;1,000,000] =</t>
  </si>
  <si>
    <t>ε =</t>
  </si>
  <si>
    <t>Variable expenses as a percentage of premium</t>
  </si>
  <si>
    <t>Basic policy limit</t>
  </si>
  <si>
    <t>b i.)</t>
  </si>
  <si>
    <t>E[N] =</t>
  </si>
  <si>
    <t>L</t>
  </si>
  <si>
    <t>E[X; L]</t>
  </si>
  <si>
    <t>E[X;b] =</t>
  </si>
  <si>
    <t>Expected Loss Cost = mp =</t>
  </si>
  <si>
    <t>Since we're not given any information about fixed expenses, we assume they are 0 and use a loss cost multiplier.</t>
  </si>
  <si>
    <t xml:space="preserve">Basic Limit Premium = </t>
  </si>
  <si>
    <t>b ii.)</t>
  </si>
  <si>
    <t>(from part b.i.)</t>
  </si>
  <si>
    <t xml:space="preserve">E[X;L] = </t>
  </si>
  <si>
    <t>Basic limit</t>
  </si>
  <si>
    <t>mp / ( 1 - v )</t>
  </si>
  <si>
    <t>But it's much quicker to apply the ILF I($1 million) from part a.</t>
  </si>
  <si>
    <r>
      <t>(remember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is the basic limit premium)</t>
    </r>
  </si>
  <si>
    <t>Basic policy premium</t>
  </si>
  <si>
    <t>iii.)</t>
  </si>
  <si>
    <t>(Minor differences due to rounding)</t>
  </si>
  <si>
    <t>Useful Formulas</t>
  </si>
  <si>
    <t>c i.)</t>
  </si>
  <si>
    <t>(notice the ALAE expense cancels out)</t>
  </si>
  <si>
    <t>Lognormal Distribution</t>
  </si>
  <si>
    <t>c ii.)</t>
  </si>
  <si>
    <t>Basic Premium =</t>
  </si>
  <si>
    <t>(apply LCM as no fixed expenses)</t>
  </si>
  <si>
    <t>c iii.)</t>
  </si>
  <si>
    <t>We need to measure the incremental rate as coverage increases and then check that the amounts decrease</t>
  </si>
  <si>
    <t>Per Occurrence Limit</t>
  </si>
  <si>
    <t>Increased Limit Factor</t>
  </si>
  <si>
    <t>Per Occurrence Limit, L</t>
  </si>
  <si>
    <t>ILF</t>
  </si>
  <si>
    <t>Marginal Rate per $1,000 Coverage</t>
  </si>
  <si>
    <t>(a)</t>
  </si>
  <si>
    <t>(b)</t>
  </si>
  <si>
    <t>(c)</t>
  </si>
  <si>
    <t>(d)</t>
  </si>
  <si>
    <t>(e)</t>
  </si>
  <si>
    <t>Sample calculation:</t>
  </si>
  <si>
    <t>Marginal rate (c) =</t>
  </si>
  <si>
    <r>
      <t>( ILF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) / [ (L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/ 1,000 ]</t>
    </r>
  </si>
  <si>
    <t>Observe the marginal rate for row (e) is greater than the marginal rate for row (d). This is why the test failed.</t>
  </si>
  <si>
    <t>To correct it, we need the marginal rate for row (e) to be less than or equal to the marginal rate for row (d).</t>
  </si>
  <si>
    <t>So we need</t>
  </si>
  <si>
    <r>
      <t>(ILF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[( L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) / 1,000]</t>
    </r>
  </si>
  <si>
    <t>That is,</t>
  </si>
  <si>
    <r>
      <t>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</si>
  <si>
    <r>
      <t>However, to avoid illogical rating, we also require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 ILF</t>
    </r>
    <r>
      <rPr>
        <vertAlign val="subscript"/>
        <sz val="11"/>
        <color theme="1"/>
        <rFont val="Calibri"/>
        <family val="2"/>
      </rPr>
      <t>d</t>
    </r>
  </si>
  <si>
    <r>
      <t>So the acceptable range of values for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is</t>
    </r>
  </si>
  <si>
    <t>Determine if the ILFs satisfy the consistency test and,</t>
  </si>
  <si>
    <t xml:space="preserve"> if not, then identify the range of factors which would work.</t>
  </si>
  <si>
    <t>Calculate various aspects using a straight deductible</t>
  </si>
  <si>
    <t>Recall</t>
  </si>
  <si>
    <t xml:space="preserve">         , modified frequency =</t>
  </si>
  <si>
    <t>, and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</si>
  <si>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</si>
  <si>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</si>
  <si>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</si>
  <si>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</si>
  <si>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</si>
  <si>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</si>
  <si>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</si>
  <si>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modified severity =</t>
  </si>
  <si>
    <t>Notice if</t>
  </si>
  <si>
    <t>then</t>
  </si>
  <si>
    <t>C(d) simplifies to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</si>
  <si>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</si>
  <si>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</si>
  <si>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</si>
  <si>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</si>
  <si>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</si>
  <si>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>We can read this off directly from the frequency column for the $2,000 deductible row:</t>
  </si>
  <si>
    <t xml:space="preserve">For a policy with a deductible of </t>
  </si>
  <si>
    <t>Same row, severity column</t>
  </si>
  <si>
    <t>Calculate the deductible-adjusted frequency</t>
  </si>
  <si>
    <t>Calculate the modified severity.</t>
  </si>
  <si>
    <t>The formula is</t>
  </si>
  <si>
    <r>
      <t>P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</si>
  <si>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Calculate modified severity and pure premium for a franchise deductible</t>
  </si>
  <si>
    <t>For a franchise deductible we have:</t>
  </si>
  <si>
    <t>Changing the deductible type (but not the deductible amount) doesn't impact claim frequency, so the modifed claim frequency is still:</t>
  </si>
  <si>
    <t>However, the modified severity becomes:</t>
  </si>
  <si>
    <t>Alice: "Note the + d in the large ( )"</t>
  </si>
  <si>
    <t>Using these equations we can complete the table as follows</t>
  </si>
  <si>
    <t>Complete the table.</t>
  </si>
  <si>
    <t>2014.Q5</t>
  </si>
  <si>
    <t>Experience of a single car-year</t>
  </si>
  <si>
    <t>1.) High frequency territories must also be high premium territories.</t>
  </si>
  <si>
    <t>2.) Territory differentials must be proper (adequate).</t>
  </si>
  <si>
    <t>The following data shows the experience of a merit rating plan for a specific state</t>
  </si>
  <si>
    <t>Notice here we're not told the earned premium is at present rates or relative to a particular group.</t>
  </si>
  <si>
    <t>Number of Accident-Free Years</t>
  </si>
  <si>
    <t>Earned Car Years</t>
  </si>
  <si>
    <t>Earned Premium ($000)</t>
  </si>
  <si>
    <t>Number of Incurred Claims</t>
  </si>
  <si>
    <t xml:space="preserve">This could mean that earned premium is not the most appropriate base to use. </t>
  </si>
  <si>
    <t>3 or more</t>
  </si>
  <si>
    <t>However, we're told in part a.) the typical base is earned premium so we'll use earned premium.</t>
  </si>
  <si>
    <t>First we need the frequency for the entire group. Then we'll compute the frequency and experience mod for each merit rating group.</t>
  </si>
  <si>
    <t>Total Frequency  =  (Total Claims) / (Total Earned Premium)</t>
  </si>
  <si>
    <t xml:space="preserve">=   </t>
  </si>
  <si>
    <t>The base rate is $1,000 per exposure. No other rating variables are applicable.</t>
  </si>
  <si>
    <t>Years Accident-Free</t>
  </si>
  <si>
    <t>Frequency
(1)</t>
  </si>
  <si>
    <t>Experience Mod 
(2)</t>
  </si>
  <si>
    <t>Credibility
(3)</t>
  </si>
  <si>
    <t>The typical exposure base used to develop the merit rating plan is earned premium.</t>
  </si>
  <si>
    <t>Briefly discuss two assumptions in selecting this exposure base.</t>
  </si>
  <si>
    <t>2 or more</t>
  </si>
  <si>
    <t>1 or more</t>
  </si>
  <si>
    <t xml:space="preserve">Calculate the ratio of credibility for an exposure with two or more years accident-free experience to </t>
  </si>
  <si>
    <t>one or more years accident-free experience.</t>
  </si>
  <si>
    <t>(1) = (Incurred Claims) / (Earned Premium)</t>
  </si>
  <si>
    <t>(2) = (1) / (Total Frequency)</t>
  </si>
  <si>
    <t>Calculate the premium for an exposure that is accident free for two or more years.</t>
  </si>
  <si>
    <t>(3) Since each group has had zero accidents in at least the past year, we know R=0 and the credibility formula becomes Mod = 1 - Z.</t>
  </si>
  <si>
    <t>The ratio of 2 or more to 1 or more year accident-free years credibility is:</t>
  </si>
  <si>
    <t>Premium = (Base rate) * Mod</t>
  </si>
  <si>
    <t>2012.Q6</t>
  </si>
  <si>
    <t>There are two choices of exposure base which we could use: Earned Car Years or Earned Premium.</t>
  </si>
  <si>
    <t xml:space="preserve">This question is testing the comments made by Hazam, that high frequency territories must be high premium territories </t>
  </si>
  <si>
    <t>An insurance company has a private passenger auto book of business with the following claims experience:</t>
  </si>
  <si>
    <t>and the differentials must be accurate.</t>
  </si>
  <si>
    <t>We'll test the frequency requirement first.</t>
  </si>
  <si>
    <t>Territory</t>
  </si>
  <si>
    <t>Years Since Last Accident</t>
  </si>
  <si>
    <t>Earned Premium at Present Rates for Two Years Since Last Accident</t>
  </si>
  <si>
    <t>Incurred Loss</t>
  </si>
  <si>
    <t>(1)
Earned Premium</t>
  </si>
  <si>
    <t>(2)
Earned Car Years</t>
  </si>
  <si>
    <t>(3)
Number of Claims</t>
  </si>
  <si>
    <t>(4)
Average Earned Premium</t>
  </si>
  <si>
    <t>(5)
Relative Earned Premium to Total</t>
  </si>
  <si>
    <t>(6)
Frequency</t>
  </si>
  <si>
    <t>(7)
Relative Frequency</t>
  </si>
  <si>
    <t>2+</t>
  </si>
  <si>
    <t>(4) = (1) / (2)</t>
  </si>
  <si>
    <t>(6) = (3) / (2)</t>
  </si>
  <si>
    <t>(5) = (4) / (Total 4)</t>
  </si>
  <si>
    <t>(7) = (6) / (Total 6)</t>
  </si>
  <si>
    <t>Observe Territory 2 has the highest earned premium relativity but the lowest frequency relativity. This contradicts Hazam's first point.</t>
  </si>
  <si>
    <t>Choose an appropriate exposure base for calculating credibility. Justify the selection.</t>
  </si>
  <si>
    <t>We now check to see if the territory differentials are appropriate.</t>
  </si>
  <si>
    <t>Earned Premium</t>
  </si>
  <si>
    <t>Loss Ratio</t>
  </si>
  <si>
    <t>Since all territories have the same loss ratio, the territory differentials are proper.</t>
  </si>
  <si>
    <t>Thus, Hazam's second condition is satisfied.</t>
  </si>
  <si>
    <t>Since Hazam's first condition is not met, it is more appropriate to use earned car years as the exposure base than earned premiums.</t>
  </si>
  <si>
    <t>2011.Q1</t>
  </si>
  <si>
    <t>Credibility of a single car-year</t>
  </si>
  <si>
    <r>
      <t xml:space="preserve">We're given earned premiums </t>
    </r>
    <r>
      <rPr>
        <b/>
        <u/>
        <sz val="11"/>
        <color theme="1"/>
        <rFont val="Calibri"/>
        <family val="2"/>
        <scheme val="minor"/>
      </rPr>
      <t>at present rates for group D</t>
    </r>
    <r>
      <rPr>
        <sz val="11"/>
        <color theme="1"/>
        <rFont val="Calibri"/>
        <family val="2"/>
        <scheme val="minor"/>
      </rPr>
      <t xml:space="preserve"> in State X. </t>
    </r>
  </si>
  <si>
    <t>This means we do not need to on-level the premiums or adjust them to account for the differentials between rating groups.</t>
  </si>
  <si>
    <t xml:space="preserve">An insurance company is using a merit rating plan for drivers in two states. </t>
  </si>
  <si>
    <r>
      <t>State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has the following claims experience:</t>
    </r>
  </si>
  <si>
    <t>We're interested in the number of years claims-free which means we'll switch from groups A, B, C, and D to considering the sets</t>
  </si>
  <si>
    <t>A, A + B, A + B + C, and A + B + C + D.</t>
  </si>
  <si>
    <t>Number of 
Accident-Free Years</t>
  </si>
  <si>
    <t>Earned Premium at Present Group D Rates</t>
  </si>
  <si>
    <t>Number of Claims Incurred</t>
  </si>
  <si>
    <r>
      <t xml:space="preserve">First compute the </t>
    </r>
    <r>
      <rPr>
        <b/>
        <sz val="11"/>
        <color theme="1"/>
        <rFont val="Calibri"/>
        <family val="2"/>
        <scheme val="minor"/>
      </rPr>
      <t>total claim frequency</t>
    </r>
    <r>
      <rPr>
        <sz val="11"/>
        <color theme="1"/>
        <rFont val="Calibri"/>
        <family val="2"/>
        <scheme val="minor"/>
      </rPr>
      <t xml:space="preserve"> for State X:</t>
    </r>
  </si>
  <si>
    <t>B</t>
  </si>
  <si>
    <r>
      <t xml:space="preserve">Then compute the </t>
    </r>
    <r>
      <rPr>
        <b/>
        <sz val="11"/>
        <color theme="1"/>
        <rFont val="Calibri"/>
        <family val="2"/>
        <scheme val="minor"/>
      </rPr>
      <t>relative claim frequency</t>
    </r>
    <r>
      <rPr>
        <sz val="11"/>
        <color theme="1"/>
        <rFont val="Calibri"/>
        <family val="2"/>
        <scheme val="minor"/>
      </rPr>
      <t xml:space="preserve"> for each grouping of years accident-free in State X as follows:</t>
    </r>
  </si>
  <si>
    <t>C</t>
  </si>
  <si>
    <t>Relative Claim Frequency = [(Number of Claims Incurred) / (Earned Premium at Present Group D Rates) ] / (Total Claim Frequency)</t>
  </si>
  <si>
    <t>D</t>
  </si>
  <si>
    <t>None</t>
  </si>
  <si>
    <t>Next, apply the experience mod formula: Mod = ZR + (1-Z)*1. Since we're dealing with past years accident-free, we know R = 0.</t>
  </si>
  <si>
    <r>
      <t xml:space="preserve">Recall the mod is the </t>
    </r>
    <r>
      <rPr>
        <i/>
        <sz val="11"/>
        <color theme="1"/>
        <rFont val="Calibri"/>
        <family val="2"/>
        <scheme val="minor"/>
      </rPr>
      <t xml:space="preserve">Relative Claim Frequency, </t>
    </r>
    <r>
      <rPr>
        <sz val="11"/>
        <color theme="1"/>
        <rFont val="Calibri"/>
        <family val="2"/>
        <scheme val="minor"/>
      </rPr>
      <t xml:space="preserve">so Z = 1 - Mod = 1 - </t>
    </r>
    <r>
      <rPr>
        <i/>
        <sz val="11"/>
        <color theme="1"/>
        <rFont val="Calibri"/>
        <family val="2"/>
        <scheme val="minor"/>
      </rPr>
      <t>Relative Claim Frequency</t>
    </r>
  </si>
  <si>
    <r>
      <t xml:space="preserve">State </t>
    </r>
    <r>
      <rPr>
        <b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has the following relative claim frequencies for accident-free experience:</t>
    </r>
  </si>
  <si>
    <t>State X</t>
  </si>
  <si>
    <t>Relative Claim Frequencies to Total</t>
  </si>
  <si>
    <t>Credibility</t>
  </si>
  <si>
    <t>Re-base to 1 or more</t>
  </si>
  <si>
    <t>A + B</t>
  </si>
  <si>
    <t>A + B + C</t>
  </si>
  <si>
    <t xml:space="preserve">Assuming no new risks enter or leave either state, use relative credibility to explain which state has more </t>
  </si>
  <si>
    <t>We're given most of the work already for State Y</t>
  </si>
  <si>
    <t>variation in an individual insured's probability of an accident.</t>
  </si>
  <si>
    <t>State Y</t>
  </si>
  <si>
    <t xml:space="preserve">By looking at the re-based columns for these two tables, we observe State X has ratios which are much closer to 1.0, 2.0, and 3.0. </t>
  </si>
  <si>
    <t>This implies State X has more stable experience, and that State Y has more variation.</t>
  </si>
  <si>
    <t>Calculate the Company Subject Loss Cost using the standard approach</t>
  </si>
  <si>
    <t xml:space="preserve">First it's important to figure out the type of policy we're going to price. Since it's not stated in the question we need to apply our knowledge about the </t>
  </si>
  <si>
    <t>experience period. The experience period covers up to the latest three full policy years of experience and must end at least six months prior to the</t>
  </si>
  <si>
    <t>The following policy is being rated using the ISO CGL rating plan.</t>
  </si>
  <si>
    <t>effective date. This means we can't use the policy effective 12/1/2013 because it's not complete, so we use the policies effective in 2010 – 2012.</t>
  </si>
  <si>
    <t>Effective Date</t>
  </si>
  <si>
    <t>Further, it's implicit that unless told otherwise, once you switch to a Claims-Made policy you remain on a Claims-Made policy. This means the policy</t>
  </si>
  <si>
    <t>Claims-Made (CM)</t>
  </si>
  <si>
    <t>Policy Type</t>
  </si>
  <si>
    <r>
      <t xml:space="preserve">effective 12/1/2013 would be a 2nd-year Claims-Made and so the policy being priced will be a </t>
    </r>
    <r>
      <rPr>
        <b/>
        <sz val="11"/>
        <color theme="1"/>
        <rFont val="Calibri"/>
        <family val="2"/>
        <scheme val="minor"/>
      </rPr>
      <t>3rd year Claims-Made</t>
    </r>
    <r>
      <rPr>
        <sz val="11"/>
        <color theme="1"/>
        <rFont val="Calibri"/>
        <family val="2"/>
        <scheme val="minor"/>
      </rPr>
      <t>.</t>
    </r>
  </si>
  <si>
    <t>Expected Loss Ratio (ELR)</t>
  </si>
  <si>
    <t>Next, we need the Basic Limits Expected Loss for each sub-line.</t>
  </si>
  <si>
    <r>
      <t>Annual Basic Limit Premium</t>
    </r>
    <r>
      <rPr>
        <vertAlign val="superscript"/>
        <sz val="11"/>
        <color theme="1"/>
        <rFont val="Calibri"/>
        <family val="2"/>
        <scheme val="minor"/>
      </rPr>
      <t>1</t>
    </r>
  </si>
  <si>
    <t>This is the ELR multiplied by the annual basic limit premium where the per-occurrence limit is at the basic limit and the aggregate limit is the actual</t>
  </si>
  <si>
    <t>Premises/Operations</t>
  </si>
  <si>
    <t>policy aggregate. We're given this information but watch out in the exam in case you need to apply an increased limit factor.</t>
  </si>
  <si>
    <t>Products</t>
  </si>
  <si>
    <t>Prem/Ops BLEL =</t>
  </si>
  <si>
    <t>Products BLEL =</t>
  </si>
  <si>
    <t>1st-year Claims-Made</t>
  </si>
  <si>
    <t>Occurrence</t>
  </si>
  <si>
    <t>We can now form the table used in the standard approach</t>
  </si>
  <si>
    <t>Calculate the Company Subject Loss Cost using the standard approach using the information provided below.</t>
  </si>
  <si>
    <t>Prem/Ops</t>
  </si>
  <si>
    <t>1st-yr CM</t>
  </si>
  <si>
    <t xml:space="preserve"> At $100,000 per-occurrence and actual aggregate limits.</t>
  </si>
  <si>
    <t>Table 13B</t>
  </si>
  <si>
    <t>Sub-line</t>
  </si>
  <si>
    <t>3rd-yr CM</t>
  </si>
  <si>
    <t>2nd-yr CM</t>
  </si>
  <si>
    <t>&lt;= CSLC</t>
  </si>
  <si>
    <t>Notes:</t>
  </si>
  <si>
    <t>Table 13C</t>
  </si>
  <si>
    <r>
      <t xml:space="preserve">(5) We're pricing a </t>
    </r>
    <r>
      <rPr>
        <b/>
        <sz val="11"/>
        <color theme="1"/>
        <rFont val="Calibri"/>
        <family val="2"/>
        <scheme val="minor"/>
      </rPr>
      <t>3rd-year Claims-Made</t>
    </r>
    <r>
      <rPr>
        <sz val="11"/>
        <color theme="1"/>
        <rFont val="Calibri"/>
        <family val="2"/>
        <scheme val="minor"/>
      </rPr>
      <t xml:space="preserve"> policy. PAF 13B always goes from the prospective policy to an occurrence policy so doesn't vary by year.</t>
    </r>
  </si>
  <si>
    <t>(6) PAF 13C translates from an occurrence policy to the historical policy so varies by policy year.</t>
  </si>
  <si>
    <t>(7) We have no information to suggest there has been a dramatic change in exposures so apply Rule 5B from Table 14.</t>
  </si>
  <si>
    <t>(8) = (4) * (5) * (6) * (7), Each row is rounded to nearest dollar.</t>
  </si>
  <si>
    <t>Table 14</t>
  </si>
  <si>
    <t>Year of Experience Period</t>
  </si>
  <si>
    <t>Rule 5B</t>
  </si>
  <si>
    <t>Rule 5C</t>
  </si>
  <si>
    <t>Latest Year</t>
  </si>
  <si>
    <t>2nd Latest Year</t>
  </si>
  <si>
    <t>3rd Latest Year</t>
  </si>
  <si>
    <t>Annual Basic Limits</t>
  </si>
  <si>
    <t>Company Loss Cost</t>
  </si>
  <si>
    <t>Policy Year</t>
  </si>
  <si>
    <t>BLEL</t>
  </si>
  <si>
    <t>PAF 13B</t>
  </si>
  <si>
    <t>PAF 13C</t>
  </si>
  <si>
    <t>De-trend</t>
  </si>
  <si>
    <t>Calculate the Company Subject Loss Cost using the Present Average Company Rate approach</t>
  </si>
  <si>
    <t>effective date. This means we can't use the policy effective 12/1/2014 because it's not complete, so we use the policies effective in 2011 – 2013.</t>
  </si>
  <si>
    <t xml:space="preserve">Further, it's implicit that unless told otherwise, once you switch to a Claims-Made policy you remain on a Claims-Made policy. </t>
  </si>
  <si>
    <r>
      <t>We're told the policy effective 12/1/2014 is a 3rd-year Claims-Made policy so the policy being rated is a</t>
    </r>
    <r>
      <rPr>
        <b/>
        <sz val="11"/>
        <color theme="1"/>
        <rFont val="Calibri"/>
        <family val="2"/>
        <scheme val="minor"/>
      </rPr>
      <t xml:space="preserve"> 4th-year Claims-Made</t>
    </r>
    <r>
      <rPr>
        <sz val="11"/>
        <color theme="1"/>
        <rFont val="Calibri"/>
        <family val="2"/>
        <scheme val="minor"/>
      </rPr>
      <t>.</t>
    </r>
  </si>
  <si>
    <t xml:space="preserve">Next, we need the Basic Limits Expected Loss for each sub-line. However, notice the rapid growth in annual sales. This suggests there has been a </t>
  </si>
  <si>
    <t>Estimated Gross Annual Sales</t>
  </si>
  <si>
    <t>dramatic shift in exposures. Further, the estimated annual sales for the prospective period still shows growth.</t>
  </si>
  <si>
    <t>This means we shouldn't use the standard approach and instead should use gross annual sales as the special exposure base.</t>
  </si>
  <si>
    <t xml:space="preserve">The Basic Limits Expected Loss used in the present average company rate approach is the premium per prospective exposure multiplied by the </t>
  </si>
  <si>
    <t>historical exposure times the ELR.</t>
  </si>
  <si>
    <t>Information about previous policy years</t>
  </si>
  <si>
    <t>Gross Annual Sales</t>
  </si>
  <si>
    <t>Premium per Prospective Exposure</t>
  </si>
  <si>
    <t>Historical Exposure</t>
  </si>
  <si>
    <t>ELR</t>
  </si>
  <si>
    <t>Detrend</t>
  </si>
  <si>
    <t>Annual Basic Limits Company Loss Cost</t>
  </si>
  <si>
    <t>3rd-year Claims-Made</t>
  </si>
  <si>
    <t>2nd-year Claims-Made</t>
  </si>
  <si>
    <t>CSLC =&gt;</t>
  </si>
  <si>
    <t>(4) Annual Basic Premium / Estimated Gross Annual Sales</t>
  </si>
  <si>
    <t>4th-yr CM</t>
  </si>
  <si>
    <t>(7) = (4) * (5) * (6)</t>
  </si>
  <si>
    <t>(8) PAF 13B converts the prospective policy type to an occurrence policy, so doesn't vary by policy year.</t>
  </si>
  <si>
    <t>(9) PAF 13C converts from an occurrence policy to the historical policy type.</t>
  </si>
  <si>
    <t>(10) Since there is a dramatic shift in exposures we use Table 14 Rule 5C.</t>
  </si>
  <si>
    <t>(11) = (7) * (8) * (9) * (10)</t>
  </si>
  <si>
    <t xml:space="preserve">Calculate the Company Subject Loss Cost using the Present Average Company Rate approach using </t>
  </si>
  <si>
    <t>the information provided below.</t>
  </si>
  <si>
    <t>Calculate the Company Subject Loss Cost using the Historical Exposures at Present Company Rates approach</t>
  </si>
  <si>
    <t>Current Company Rates per Exposure</t>
  </si>
  <si>
    <t>Rate</t>
  </si>
  <si>
    <t xml:space="preserve">dramatic shift in exposures. This means we shouldn't use the standard approach and instead should use gross annual sales as the special </t>
  </si>
  <si>
    <t xml:space="preserve">exposure base. Since we're not given the prospective exposures but are given the full set of current rates this means we'll use the historical exposures </t>
  </si>
  <si>
    <t>at present company rates approach.</t>
  </si>
  <si>
    <t>Ocurrence</t>
  </si>
  <si>
    <t xml:space="preserve">The Basic Limits Expected Loss used in the historical exposures at present company rates approach is the historical exposures multiplied by the basic </t>
  </si>
  <si>
    <t>rate per exposure then multiplied by an increased limit factor and the Expected Loss Ratio. From there we can form the following table:</t>
  </si>
  <si>
    <t>Current Increased Limits Factors</t>
  </si>
  <si>
    <t>Policy Limits (occ/agg)</t>
  </si>
  <si>
    <t>Aggregate Limit</t>
  </si>
  <si>
    <t>Basic Rate</t>
  </si>
  <si>
    <t>250k/500k</t>
  </si>
  <si>
    <t>200k</t>
  </si>
  <si>
    <t>250k</t>
  </si>
  <si>
    <t>500k</t>
  </si>
  <si>
    <t>150k/500k</t>
  </si>
  <si>
    <t>100k</t>
  </si>
  <si>
    <t>100k/250k</t>
  </si>
  <si>
    <t>150k</t>
  </si>
  <si>
    <t>100k/200k</t>
  </si>
  <si>
    <t xml:space="preserve">Calculate the Company Subject Loss Cost using the Historical Exposures at Present Company Rates approach using the </t>
  </si>
  <si>
    <t>information provided below.</t>
  </si>
  <si>
    <t>(5) This is the current basic limit rates for the company by policy type and sub-line.</t>
  </si>
  <si>
    <r>
      <t xml:space="preserve">(6) This is the ILF for the </t>
    </r>
    <r>
      <rPr>
        <b/>
        <sz val="11"/>
        <color theme="1"/>
        <rFont val="Calibri"/>
        <family val="2"/>
        <scheme val="minor"/>
      </rPr>
      <t>basic per-occurrence limit</t>
    </r>
    <r>
      <rPr>
        <sz val="11"/>
        <color theme="1"/>
        <rFont val="Calibri"/>
        <family val="2"/>
        <scheme val="minor"/>
      </rPr>
      <t xml:space="preserve"> and the </t>
    </r>
    <r>
      <rPr>
        <b/>
        <i/>
        <sz val="11"/>
        <color theme="1"/>
        <rFont val="Calibri"/>
        <family val="2"/>
        <scheme val="minor"/>
      </rPr>
      <t>actual historical aggregate limit</t>
    </r>
    <r>
      <rPr>
        <sz val="11"/>
        <color theme="1"/>
        <rFont val="Calibri"/>
        <family val="2"/>
        <scheme val="minor"/>
      </rPr>
      <t>. Remember the basic limit is generally $100k.</t>
    </r>
  </si>
  <si>
    <t>(8) = (4) * (5) * (6) * (7)</t>
  </si>
  <si>
    <t>(9) &amp; (10) Since using today's rates there is no need to convert the type of policy.</t>
  </si>
  <si>
    <t>(11) Since there is a dramatic shift in exposures we use Table 14 Rule 5C.</t>
  </si>
  <si>
    <t>(12) = (8) * (9) * (10) * (11)</t>
  </si>
  <si>
    <t xml:space="preserve">             Current Increased Limits Factors</t>
  </si>
  <si>
    <t>Calculate the experience modification given the CSLC</t>
  </si>
  <si>
    <r>
      <t xml:space="preserve">Applying our knowledge of the experience period we deduce the policy being rated is a </t>
    </r>
    <r>
      <rPr>
        <b/>
        <sz val="11"/>
        <color theme="1"/>
        <rFont val="Calibri"/>
        <family val="2"/>
        <scheme val="minor"/>
      </rPr>
      <t>3rd-year Claims-Made</t>
    </r>
  </si>
  <si>
    <t>Next, the CSLC is the sum of the Annual Basic Limits Company Loss Cost for the experience period.</t>
  </si>
  <si>
    <t xml:space="preserve">CSLC = </t>
  </si>
  <si>
    <t>We can use Rule 16 (Table 16) to find the credibility, Expected Experience Ratio (EER), and Maximum Single Loss (MSL).</t>
  </si>
  <si>
    <t>Loss Evaluation Date</t>
  </si>
  <si>
    <t>Credibility (Z)</t>
  </si>
  <si>
    <t>EER</t>
  </si>
  <si>
    <t>MSL</t>
  </si>
  <si>
    <t xml:space="preserve">Now we need to calculate the Actual Experience Ratio (AER). This is the sum of the expected future development and the limited claims history divided </t>
  </si>
  <si>
    <t>by the CSLC.</t>
  </si>
  <si>
    <t>Indemnity</t>
  </si>
  <si>
    <r>
      <t xml:space="preserve">To calculate the </t>
    </r>
    <r>
      <rPr>
        <b/>
        <sz val="11"/>
        <color theme="1"/>
        <rFont val="Calibri"/>
        <family val="2"/>
        <scheme val="minor"/>
      </rPr>
      <t>limited claims history</t>
    </r>
    <r>
      <rPr>
        <sz val="11"/>
        <color theme="1"/>
        <rFont val="Calibri"/>
        <family val="2"/>
        <scheme val="minor"/>
      </rPr>
      <t>, notice we're given a list of indemnity and ALAE for the claims on each of the policies in the experience period.</t>
    </r>
  </si>
  <si>
    <r>
      <t xml:space="preserve">We need calculate the </t>
    </r>
    <r>
      <rPr>
        <b/>
        <sz val="11"/>
        <color theme="1"/>
        <rFont val="Calibri"/>
        <family val="2"/>
        <scheme val="minor"/>
      </rPr>
      <t>basic limits</t>
    </r>
    <r>
      <rPr>
        <sz val="11"/>
        <color theme="1"/>
        <rFont val="Calibri"/>
        <family val="2"/>
        <scheme val="minor"/>
      </rPr>
      <t xml:space="preserve"> indemnity and then cap the basic limits indemnity plus ALAE at the maximum single loss.</t>
    </r>
  </si>
  <si>
    <t>Total Limited</t>
  </si>
  <si>
    <t>by MSL</t>
  </si>
  <si>
    <t>(2) = min( (1), $100,000)</t>
  </si>
  <si>
    <t>(4) = (2) + (3)</t>
  </si>
  <si>
    <t>(5) = min( (4), MSL)</t>
  </si>
  <si>
    <t>Calculate the experience modification factor. You may use the information provided in the tables below.</t>
  </si>
  <si>
    <t>Here, $100,000 is the basic per-occurrence limit.</t>
  </si>
  <si>
    <r>
      <t>Table 15</t>
    </r>
    <r>
      <rPr>
        <sz val="11"/>
        <color theme="1"/>
        <rFont val="Calibri"/>
        <family val="2"/>
        <scheme val="minor"/>
      </rPr>
      <t xml:space="preserve"> (exerpt)</t>
    </r>
  </si>
  <si>
    <t>Latest Policy Year</t>
  </si>
  <si>
    <t>Prior Policy Year</t>
  </si>
  <si>
    <t>Next Prior Year</t>
  </si>
  <si>
    <t>(18 Months)</t>
  </si>
  <si>
    <t>(30 Months)</t>
  </si>
  <si>
    <t>(42 Months)</t>
  </si>
  <si>
    <t>&lt;= Limited claims history</t>
  </si>
  <si>
    <t>(21 Months)</t>
  </si>
  <si>
    <t>(33 Months)</t>
  </si>
  <si>
    <t>(45 Months)</t>
  </si>
  <si>
    <r>
      <t xml:space="preserve">The </t>
    </r>
    <r>
      <rPr>
        <b/>
        <sz val="11"/>
        <color theme="1"/>
        <rFont val="Calibri"/>
        <family val="2"/>
        <scheme val="minor"/>
      </rPr>
      <t>expected future development</t>
    </r>
    <r>
      <rPr>
        <sz val="11"/>
        <color theme="1"/>
        <rFont val="Calibri"/>
        <family val="2"/>
        <scheme val="minor"/>
      </rPr>
      <t xml:space="preserve"> by policy type/sub-line is the product of the Annual Basic Limits Company Loss Cost multiplied by the EER and LDF.</t>
    </r>
  </si>
  <si>
    <t>We already found the EER and the LDFs are looked up in Rule 15 (Table 15).</t>
  </si>
  <si>
    <t>Development is measured from the policy effective date to the loss evaluation date.</t>
  </si>
  <si>
    <r>
      <rPr>
        <b/>
        <sz val="11"/>
        <color theme="1"/>
        <rFont val="Calibri"/>
        <family val="2"/>
        <scheme val="minor"/>
      </rPr>
      <t>Table 16</t>
    </r>
    <r>
      <rPr>
        <sz val="11"/>
        <color theme="1"/>
        <rFont val="Calibri"/>
        <family val="2"/>
        <scheme val="minor"/>
      </rPr>
      <t xml:space="preserve"> (exerpt)</t>
    </r>
  </si>
  <si>
    <t>Expected</t>
  </si>
  <si>
    <t>CSLC</t>
  </si>
  <si>
    <t>LDF</t>
  </si>
  <si>
    <t>Development</t>
  </si>
  <si>
    <t xml:space="preserve">Mod = </t>
  </si>
  <si>
    <t>(AER - EER) / EER * Credibility</t>
  </si>
  <si>
    <t>158,622 – 165,658</t>
  </si>
  <si>
    <t>165,659 – 172,920</t>
  </si>
  <si>
    <t>172,921 – 180,417</t>
  </si>
  <si>
    <t>and the experience modification factor equals</t>
  </si>
  <si>
    <t>Expected Future Loss Development =&gt;</t>
  </si>
  <si>
    <t>(9) = (6) * (7) * (8), rounded to nearest dollar</t>
  </si>
  <si>
    <t>Policy</t>
  </si>
  <si>
    <t>Year</t>
  </si>
  <si>
    <t xml:space="preserve">Basic Limits </t>
  </si>
  <si>
    <r>
      <rPr>
        <b/>
        <sz val="11"/>
        <color theme="1"/>
        <rFont val="Calibri"/>
        <family val="2"/>
        <scheme val="minor"/>
      </rPr>
      <t>Important point</t>
    </r>
    <r>
      <rPr>
        <sz val="11"/>
        <color theme="1"/>
        <rFont val="Calibri"/>
        <family val="2"/>
        <scheme val="minor"/>
      </rPr>
      <t xml:space="preserve">: LDFs only apply to </t>
    </r>
    <r>
      <rPr>
        <u/>
        <sz val="11"/>
        <color theme="1"/>
        <rFont val="Calibri"/>
        <family val="2"/>
        <scheme val="minor"/>
      </rPr>
      <t>occurrence</t>
    </r>
    <r>
      <rPr>
        <sz val="11"/>
        <color theme="1"/>
        <rFont val="Calibri"/>
        <family val="2"/>
        <scheme val="minor"/>
      </rPr>
      <t xml:space="preserve"> policies!</t>
    </r>
  </si>
  <si>
    <t>Calculate the basic limits expected loss cost when no basic premiums are available.</t>
  </si>
  <si>
    <t>The predominant risk class is 2121 (Brewery) as we're told this business generates the most premium dollars.</t>
  </si>
  <si>
    <t xml:space="preserve">A company has business in risk classes 2121 (Brewery) and 7390 (Beer &amp; Ale Dealer – Wholesale &amp; Drivers). </t>
  </si>
  <si>
    <t>The brewery business generates the most premium dollars.</t>
  </si>
  <si>
    <t>Present Basic</t>
  </si>
  <si>
    <t>ILF @ Basic/Actual</t>
  </si>
  <si>
    <t>The company historically purchased a 150k/300k (per-occurrence/aggregate) Workers' Compensation policy.</t>
  </si>
  <si>
    <t>Limits Company</t>
  </si>
  <si>
    <t>Policy Limits</t>
  </si>
  <si>
    <t>ILF @ Policy</t>
  </si>
  <si>
    <t>Present Rate</t>
  </si>
  <si>
    <t>(per-occ / agg)</t>
  </si>
  <si>
    <t>Limits Purchased</t>
  </si>
  <si>
    <t>At Limits Bought</t>
  </si>
  <si>
    <t>Using the information below, calculate the basic limits expected loss cost by sub-line (Prem/Ops and Products) for the company.</t>
  </si>
  <si>
    <t>Present Basic Limits Company Rate</t>
  </si>
  <si>
    <t>Company Expected Loss Ratio</t>
  </si>
  <si>
    <t>Sub-line Annual</t>
  </si>
  <si>
    <t>Basic Limits</t>
  </si>
  <si>
    <t>Basic per-occ @</t>
  </si>
  <si>
    <t>Company Premium</t>
  </si>
  <si>
    <t>Weight</t>
  </si>
  <si>
    <t>Actual Agg Limits</t>
  </si>
  <si>
    <t>Loss Cost</t>
  </si>
  <si>
    <t>Prem/Ops – 2121</t>
  </si>
  <si>
    <t>Prem/Ops – 7390</t>
  </si>
  <si>
    <t>Aggregate Limits</t>
  </si>
  <si>
    <t>300k</t>
  </si>
  <si>
    <t>All factors and rates used are for risk class 2121 as this is the predominant class.</t>
  </si>
  <si>
    <t>No rounding is used until step 10 where rounding occurs to the nearest dollar.</t>
  </si>
  <si>
    <t>(2) Recall the basic per-occurrence policy limit for Prem/Ops and Products is 100,000. Use the actual aggregate limit purchased.</t>
  </si>
  <si>
    <t>Products – 2121</t>
  </si>
  <si>
    <t>Products – 7390</t>
  </si>
  <si>
    <t>(3) ILF using the actual per-occurrence and actual aggregate limits purchased.</t>
  </si>
  <si>
    <t>(4) = (1) * (2)</t>
  </si>
  <si>
    <t>[Total 4] = sum (4)</t>
  </si>
  <si>
    <t>(5) = (1) * (3)</t>
  </si>
  <si>
    <t>[Total 5] = sum (5)</t>
  </si>
  <si>
    <t>(6) = (Annual company premium at actual limits bought) * [Total 4] / [Total 5]</t>
  </si>
  <si>
    <t>(7) = (4) / [Total 4]</t>
  </si>
  <si>
    <t>(8) = (6) * (7)</t>
  </si>
  <si>
    <t>(10) = (8) * (9)</t>
  </si>
  <si>
    <t>If the basic per-occurrence limit/actual aggregate limit increased limits factor was not available then use the ILF available which has</t>
  </si>
  <si>
    <t>the closest aggregate limit to the purchased aggregate limit.</t>
  </si>
  <si>
    <t>2015.Q5</t>
  </si>
  <si>
    <t>Calculate Multi-Dimensional Credibility</t>
  </si>
  <si>
    <t>Since we're told there are no Major or Minor injuries, we only have F, PT, and TT to work with. This means the equation we need is:</t>
  </si>
  <si>
    <t>An actuary estimated the loss cost for workers compensation insurance using a multi-dimensional credibility method.</t>
  </si>
  <si>
    <t>Given the following:</t>
  </si>
  <si>
    <t>• There were 2 classes in Hazard Group X.</t>
  </si>
  <si>
    <t>Here, we're using V for Fatal claims and W for PT claims. There is no variable for TT because we are calculating relativities to TT claims.</t>
  </si>
  <si>
    <t>• There were no major or minor permanent partial losses.</t>
  </si>
  <si>
    <t>The subscript 2 is used because we want the credibility for class 2 using information about the Hazard Group F and PT claims.</t>
  </si>
  <si>
    <t>• Premium information was not available.</t>
  </si>
  <si>
    <t>• Holdout sample of odd years was used as a proxy of the true mean.</t>
  </si>
  <si>
    <t>Notice we're given the "optimal weights". This means we're given the credibilities produced by the multi-dimensional credibility technique.</t>
  </si>
  <si>
    <t xml:space="preserve">That is, we know                      and </t>
  </si>
  <si>
    <t>Claim Count by Injury Type for Hazard Group X</t>
  </si>
  <si>
    <t>Even Year 1</t>
  </si>
  <si>
    <t>Even Year 2</t>
  </si>
  <si>
    <r>
      <t xml:space="preserve">We calculate E[V] and E[W] using both years of data (told both are </t>
    </r>
    <r>
      <rPr>
        <u/>
        <sz val="11"/>
        <color theme="1"/>
        <rFont val="Calibri"/>
        <family val="2"/>
        <scheme val="minor"/>
      </rPr>
      <t>even</t>
    </r>
    <r>
      <rPr>
        <sz val="11"/>
        <color theme="1"/>
        <rFont val="Calibri"/>
        <family val="2"/>
        <scheme val="minor"/>
      </rPr>
      <t xml:space="preserve"> years) from the hazard group, i.e. across all classes in the hazard group.</t>
    </r>
  </si>
  <si>
    <t>Fatal (F)</t>
  </si>
  <si>
    <t>Permanent Total (PT)</t>
  </si>
  <si>
    <t>Temporary Total (TT)</t>
  </si>
  <si>
    <t>Class 1</t>
  </si>
  <si>
    <t>Class 2</t>
  </si>
  <si>
    <t>Optimal Weights for Estimation of Permanent Total Injury Ratio</t>
  </si>
  <si>
    <t>We repeat this to get      and</t>
  </si>
  <si>
    <t>Fatal</t>
  </si>
  <si>
    <t>Permanent Total</t>
  </si>
  <si>
    <t>Where this time we only use the information from class 2 for both years.</t>
  </si>
  <si>
    <t>Determine the ratio of permanent total injury to temporary total injury for Class 2 using a multi-dimensional credibility method.</t>
  </si>
  <si>
    <t>Fully describe the steps involved in performing a quintile test to evaluate the actuary's work.</t>
  </si>
  <si>
    <t>Substituting all of the above into the first equation gives the answer</t>
  </si>
  <si>
    <t xml:space="preserve">Briefly describe one shortcoming of the individual class sum of squared errors test and briefly describe why the quintiles test is </t>
  </si>
  <si>
    <t>a better way to evaluate the actuary's work.</t>
  </si>
  <si>
    <t xml:space="preserve">Calculate ratios for all classes using the multi-dimensional credibility technique for all classes in the training set. </t>
  </si>
  <si>
    <t xml:space="preserve">Rank the classes from smallest to largest by credibility relativity. Group into five quintiles and </t>
  </si>
  <si>
    <t>calculate the relativity of the quintile ratio to the hazard group ratio for the following 3 predictions:</t>
  </si>
  <si>
    <t>multi-dimensional credibility process, raw data, hazard group relativity.</t>
  </si>
  <si>
    <t>Calculate the sum of squared errors for each of the 3 against the holdout data.</t>
  </si>
  <si>
    <t>The method with the lowest sum of squared errors is the best.</t>
  </si>
  <si>
    <t>There is too much noise in the individual test. Grouping into quintiles reduces class specific variation</t>
  </si>
  <si>
    <t>This gives more credible results, allowing us to assess the effectiveness of the credibility method.</t>
  </si>
  <si>
    <t>2011.Q2</t>
  </si>
  <si>
    <t>Multi-Dimensional Credibility</t>
  </si>
  <si>
    <t>This question is fairly straightforward. It requires you to recall how Couret &amp; Venter calculated the various sum of squared errors.</t>
  </si>
  <si>
    <t>Couret &amp; Venter considered three approaches:</t>
  </si>
  <si>
    <t>• Seven years of data were collected.</t>
  </si>
  <si>
    <t>1. Predicting based on the total hazard group relativity (which is always 1.0 when the sample means are normalized within a hazard group)</t>
  </si>
  <si>
    <t>• The technique produced a raw predicted relativity based on the oldest five years.</t>
  </si>
  <si>
    <t>2. Predicting based on the raw data from the training data set.</t>
  </si>
  <si>
    <t>• The most recent two years were used as the holdout sample.</t>
  </si>
  <si>
    <t>3. Predicting using the multi-dimensional credibility procedure.</t>
  </si>
  <si>
    <t>In each case, the predictions are compared against the holdout data set.</t>
  </si>
  <si>
    <t>Holdout Sample Relativity</t>
  </si>
  <si>
    <t>Prediction Based on Raw</t>
  </si>
  <si>
    <t>Prediction based on Credibility Procedure</t>
  </si>
  <si>
    <t>1. Sum of squared errors =</t>
  </si>
  <si>
    <t>2. Sum of squared errors =</t>
  </si>
  <si>
    <t>3. Sum of squared errors =</t>
  </si>
  <si>
    <t xml:space="preserve">Since the third method produces the lowest sum of squared errors, the multi-dimensional credibility procedure is an improvement over the </t>
  </si>
  <si>
    <t>hazard group membership method and the method which uses the raw data.</t>
  </si>
  <si>
    <t xml:space="preserve">A multi-dimensional credibility technique has been developed to predict claim frequencies for </t>
  </si>
  <si>
    <t>major permanent partial claims.</t>
  </si>
  <si>
    <t xml:space="preserve">Demonstrate whether the credibility technique produces an improved estimate using </t>
  </si>
  <si>
    <t>the sum of squared errors.</t>
  </si>
  <si>
    <t>2012.Q5</t>
  </si>
  <si>
    <t xml:space="preserve">This is a huge amount of information but the questions aren't actually that bad. </t>
  </si>
  <si>
    <t>The following data is used to price an excess of loss workers compensation policy:</t>
  </si>
  <si>
    <t>We need to calculate the sum of squared errors for each of the credibility technique and the hazard group technique.</t>
  </si>
  <si>
    <t>• Data is available for the following injury types: Fatal, Permanent Total injury (PT), Major permanent partial (Major),</t>
  </si>
  <si>
    <t>The data is already split into quintiles for us, and the overall means are 1.00 so no normalization is required.</t>
  </si>
  <si>
    <t xml:space="preserve">    minor permanent partial (Minor), temporary total (TT), and medical-only (Med).</t>
  </si>
  <si>
    <t>We're told we only need to worry about the Fatal claims.</t>
  </si>
  <si>
    <t>• A multi-dimensional credibility technique (predicted) was used to estimate the frequency for class 5160.</t>
  </si>
  <si>
    <t>• Class 5160 is in hazard group F.</t>
  </si>
  <si>
    <t>Multi-Dimensional Credibility Technique SSE (Predicted to Holdout)</t>
  </si>
  <si>
    <t>SSE =</t>
  </si>
  <si>
    <t>Hazard Group F</t>
  </si>
  <si>
    <t>PT</t>
  </si>
  <si>
    <t>Major</t>
  </si>
  <si>
    <t>Minor</t>
  </si>
  <si>
    <t>TT</t>
  </si>
  <si>
    <t>Med</t>
  </si>
  <si>
    <t>Frequency Relativity to TT</t>
  </si>
  <si>
    <t>Hazard Group SSE (Hazard group to Holdout)</t>
  </si>
  <si>
    <t>Severity Relativity to TT</t>
  </si>
  <si>
    <t>Loss Elimination Ratio at $250,000</t>
  </si>
  <si>
    <t>TT Frequency per $100 payroll</t>
  </si>
  <si>
    <t>Since the sum of squared errors is lower for the hazard group method, we won't use the multi-dimensional credibility relativities for fatal claims.</t>
  </si>
  <si>
    <t>TT Severity for Hazard Group F</t>
  </si>
  <si>
    <r>
      <t xml:space="preserve">Note that for the hazard group, we used the mean of the entire hazard group </t>
    </r>
    <r>
      <rPr>
        <b/>
        <u/>
        <sz val="11"/>
        <color theme="1"/>
        <rFont val="Calibri"/>
        <family val="2"/>
        <scheme val="minor"/>
      </rPr>
      <t>after normalization</t>
    </r>
    <r>
      <rPr>
        <sz val="11"/>
        <color theme="1"/>
        <rFont val="Calibri"/>
        <family val="2"/>
        <scheme val="minor"/>
      </rPr>
      <t xml:space="preserve"> which is 1.</t>
    </r>
  </si>
  <si>
    <t>Hazard Group F for Fatal Claims</t>
  </si>
  <si>
    <t>Hazard Group F for PT Claims</t>
  </si>
  <si>
    <t>Raw Data</t>
  </si>
  <si>
    <t>Holdout Sample</t>
  </si>
  <si>
    <t>This part of the question is more like an IQ type of question. It blends knowledge from several papers.</t>
  </si>
  <si>
    <t>Quintile 1</t>
  </si>
  <si>
    <t>From the first table we know all Minor, TT and Med losses are eliminated with a $250,000 attachment point.</t>
  </si>
  <si>
    <t>Quintile 2</t>
  </si>
  <si>
    <t>This means we only need to look at Fatal, PT, and Major claims.</t>
  </si>
  <si>
    <t>Quintile 3</t>
  </si>
  <si>
    <t>Quintile 4</t>
  </si>
  <si>
    <t>By our answer to part a. we'll use the fatal hazard group relativities, and in the question we're told to use the Major hazard group relativities.</t>
  </si>
  <si>
    <t>Quintile 5</t>
  </si>
  <si>
    <t xml:space="preserve">A claim can't be both Fatal and Major so we calculate these separately. For PT claims we're told to use the credibility method relativities. </t>
  </si>
  <si>
    <t>Mean</t>
  </si>
  <si>
    <t>A key part of the problem is understanding how to relate the hazard group relativities to those produced by the credibility method or raw method.</t>
  </si>
  <si>
    <t>• The hazard group relativities for Major, Minor, TT, and Med will be used.</t>
  </si>
  <si>
    <t xml:space="preserve">To use the multi-dimensional credibilities or the raw credibilities, multiply the hazard group relativities by the quintile </t>
  </si>
  <si>
    <t>• The multi-dimensional credibility relativities for PT claims will be used.</t>
  </si>
  <si>
    <t>relativity which contains the class being priced.</t>
  </si>
  <si>
    <t>• Class 5160 is in Quintile 4 for both Fatal and PT claims.</t>
  </si>
  <si>
    <t>If you're only using the hazard group relativities then you just multiply the hazard group relativities by 1.</t>
  </si>
  <si>
    <t>Fatal relative to TT</t>
  </si>
  <si>
    <t>Determine whether multi-dimensional credibility relativities should be used to estimate the expected loss for fatal claims.</t>
  </si>
  <si>
    <t>Pure premium relativity =</t>
  </si>
  <si>
    <t>(Frequency x Severity) for hazard group before Loss Elimination Ratio</t>
  </si>
  <si>
    <t>After LER =</t>
  </si>
  <si>
    <t>(Frequency x Severity) x ( 1 - LER)</t>
  </si>
  <si>
    <t>Based on part a. above, calculate the expected loss for an excess of $250,000 workers compensation policy with $10 million in payroll.</t>
  </si>
  <si>
    <t>Relative to hazard group =</t>
  </si>
  <si>
    <t>(Frequency x Severity) x ( 1 - LER) x 1.000</t>
  </si>
  <si>
    <t>Major relative to TT</t>
  </si>
  <si>
    <t xml:space="preserve">Relative to hazard group = </t>
  </si>
  <si>
    <t>PT relative to TT</t>
  </si>
  <si>
    <t>This is more complicated since we're told to use the multi-dimensional credibility relativities.</t>
  </si>
  <si>
    <t>We're told Class 5160 is in Quintile 4.</t>
  </si>
  <si>
    <t>This is the multi-dimensional credibility relativity for the class.</t>
  </si>
  <si>
    <t>Credibility Relativity =</t>
  </si>
  <si>
    <t>(Frequency x Severity) x ( 1 - LER) x 1.15</t>
  </si>
  <si>
    <t>Summing the results gives the overall relativity to TT =</t>
  </si>
  <si>
    <t xml:space="preserve">TT pure premium per $100 of payroll = </t>
  </si>
  <si>
    <t>By multiplying the frequency and severity in the second table.</t>
  </si>
  <si>
    <t xml:space="preserve">We're told the company has $10 million in payroll. We convert this into $100s of payroll, multiply it by the TT pure premium and </t>
  </si>
  <si>
    <t>then multiply by the overall relativity to TT.</t>
  </si>
  <si>
    <t>Answer to b.)</t>
  </si>
  <si>
    <t>2016.Q10</t>
  </si>
  <si>
    <t>Calculate the experience rating modification</t>
  </si>
  <si>
    <t>Using the first table provided we can look up the ELR and discount ratio for the risk. It's implicit this is an intrastate risk for Alabama.</t>
  </si>
  <si>
    <t>ELR:</t>
  </si>
  <si>
    <t>Discount Ratio:</t>
  </si>
  <si>
    <t>Next, we need the expected losses. Find this by multiplying the ELR by the payroll divided by 100.</t>
  </si>
  <si>
    <t>Expected Loss =</t>
  </si>
  <si>
    <t>Payroll (Experience Period)</t>
  </si>
  <si>
    <t xml:space="preserve"> =</t>
  </si>
  <si>
    <t>&lt;= Expected Loss, E</t>
  </si>
  <si>
    <t>State</t>
  </si>
  <si>
    <t>AL</t>
  </si>
  <si>
    <t>Class</t>
  </si>
  <si>
    <t>Using the discount ratio we can split this into the expected primary and expected excess losses.</t>
  </si>
  <si>
    <t>Expected Primary Loss =</t>
  </si>
  <si>
    <t>Discount Ratio * Expected Loss</t>
  </si>
  <si>
    <r>
      <t>&lt;=E</t>
    </r>
    <r>
      <rPr>
        <b/>
        <vertAlign val="subscript"/>
        <sz val="11"/>
        <color rgb="FF0070C0"/>
        <rFont val="Calibri"/>
        <family val="2"/>
        <scheme val="minor"/>
      </rPr>
      <t>p</t>
    </r>
  </si>
  <si>
    <t>Expected Excess Loss =</t>
  </si>
  <si>
    <t>Expected Loss - Expected Primary Loss</t>
  </si>
  <si>
    <t>Claim Number</t>
  </si>
  <si>
    <t>Type</t>
  </si>
  <si>
    <r>
      <t>&lt;= E</t>
    </r>
    <r>
      <rPr>
        <b/>
        <vertAlign val="subscript"/>
        <sz val="11"/>
        <color rgb="FF0070C0"/>
        <rFont val="Calibri"/>
        <family val="2"/>
        <scheme val="minor"/>
      </rPr>
      <t>e</t>
    </r>
  </si>
  <si>
    <t>Medical</t>
  </si>
  <si>
    <t>Now we can look up the weighting value and ballast value based on the expected loss.</t>
  </si>
  <si>
    <t xml:space="preserve">Weighting Value = </t>
  </si>
  <si>
    <t>&lt;= W</t>
  </si>
  <si>
    <t>Ballast Value =</t>
  </si>
  <si>
    <t>&lt;= B</t>
  </si>
  <si>
    <t>All that remains now is to calculate the actual primary and actual excess losses subject to the state accident limits.</t>
  </si>
  <si>
    <t>Since each claim only involves one person, the state multiple claim accident limit doesn't apply.</t>
  </si>
  <si>
    <t>Calculate the experience modification. You may use the information provided below.</t>
  </si>
  <si>
    <t>Since no claims are over the state per claim accident limit, no individual loss capping is required either.</t>
  </si>
  <si>
    <t>Class Code</t>
  </si>
  <si>
    <t>D Ratio</t>
  </si>
  <si>
    <t>AL Primary/Excess Split Point</t>
  </si>
  <si>
    <t>Primary Loss</t>
  </si>
  <si>
    <t>Excess Loss</t>
  </si>
  <si>
    <t xml:space="preserve">(2) = Loss - (1), if Loss Type = Medical then Loss is reduced by 70% </t>
  </si>
  <si>
    <t>Weighting Value</t>
  </si>
  <si>
    <t>92,134 – 106,385</t>
  </si>
  <si>
    <t>106,386 – 120,906</t>
  </si>
  <si>
    <r>
      <t>A</t>
    </r>
    <r>
      <rPr>
        <b/>
        <vertAlign val="subscript"/>
        <sz val="11"/>
        <color rgb="FF0070C0"/>
        <rFont val="Calibri"/>
        <family val="2"/>
        <scheme val="minor"/>
      </rPr>
      <t>p</t>
    </r>
    <r>
      <rPr>
        <b/>
        <sz val="11"/>
        <color rgb="FF0070C0"/>
        <rFont val="Calibri"/>
        <family val="2"/>
        <scheme val="minor"/>
      </rPr>
      <t xml:space="preserve"> =&gt;</t>
    </r>
  </si>
  <si>
    <r>
      <t>&lt;= A</t>
    </r>
    <r>
      <rPr>
        <b/>
        <vertAlign val="subscript"/>
        <sz val="11"/>
        <color rgb="FF0070C0"/>
        <rFont val="Calibri"/>
        <family val="2"/>
        <scheme val="minor"/>
      </rPr>
      <t>e</t>
    </r>
  </si>
  <si>
    <t>Ballast Value</t>
  </si>
  <si>
    <t>95,999 – 128,908</t>
  </si>
  <si>
    <t>Now apply the experience modification formula:</t>
  </si>
  <si>
    <t>128,909 – 162,618</t>
  </si>
  <si>
    <t>G</t>
  </si>
  <si>
    <t>State Per Claim Accident Limit</t>
  </si>
  <si>
    <t>State Multiple Claim Accident Limit</t>
  </si>
  <si>
    <t>Experience Mod =</t>
  </si>
  <si>
    <t xml:space="preserve">=  </t>
  </si>
  <si>
    <t>&lt;= Note rounded to 2 decimal places</t>
  </si>
  <si>
    <t>Now check the maximum debit criteria:</t>
  </si>
  <si>
    <t xml:space="preserve">Max Debit Mod = </t>
  </si>
  <si>
    <t>&lt;= Final answer</t>
  </si>
  <si>
    <t xml:space="preserve">An insured is subject to experience rating under the National Council on Compensation Insurance </t>
  </si>
  <si>
    <t xml:space="preserve">(NCCI)'s Experience Rating Plan Manual for Workers' Compensation and Employers Liability Insurance. </t>
  </si>
  <si>
    <t>The following information about the insured is given:</t>
  </si>
  <si>
    <t xml:space="preserve">The following claims apply to the experience period. </t>
  </si>
  <si>
    <t>Each claim involves only one person, and none are disease claims:</t>
  </si>
  <si>
    <t>2018.Q1a</t>
  </si>
  <si>
    <t>Apply Chi-squared testing</t>
  </si>
  <si>
    <t>This is part of an integrative question (IQ). As such, it's worth looking harder for potential wrinkles.</t>
  </si>
  <si>
    <t xml:space="preserve">An insurance company is planning to expand into a new territory and has decided to review its historical loss experience </t>
  </si>
  <si>
    <t xml:space="preserve">Looking at the ultimate claim counts it is clear both lines of business have experienced an increase in claims. </t>
  </si>
  <si>
    <t>in order to determine whether it will require additional capital to support the expansion.</t>
  </si>
  <si>
    <t>However, looking at the earned premiums, it's clear that LOB 1 has grown significantly more than LOB 2.</t>
  </si>
  <si>
    <r>
      <t xml:space="preserve">Hence, we'll need to </t>
    </r>
    <r>
      <rPr>
        <b/>
        <u/>
        <sz val="11"/>
        <color theme="1"/>
        <rFont val="Calibri"/>
        <family val="2"/>
        <scheme val="minor"/>
      </rPr>
      <t>account for premium growth</t>
    </r>
    <r>
      <rPr>
        <sz val="11"/>
        <color theme="1"/>
        <rFont val="Calibri"/>
        <family val="2"/>
        <scheme val="minor"/>
      </rPr>
      <t>.</t>
    </r>
  </si>
  <si>
    <t>The insurance company has engaged an actuarial consultant to provide insights into a prospective loss ratio for the new territory.</t>
  </si>
  <si>
    <t xml:space="preserve"> The following table outlines the insurance company's historical experience for two long-tailed lines of business (LOB):</t>
  </si>
  <si>
    <t>We also notice that each group of accident years is the same size which makes it easier to calculate averages across years if needed.</t>
  </si>
  <si>
    <t>Earned Premiums</t>
  </si>
  <si>
    <t>Ultimate Losses</t>
  </si>
  <si>
    <t>Ultimate Claim Counts</t>
  </si>
  <si>
    <t>We'll account for the growth in premiums by dividing the ultimate claim counts by earned premium. We get the following table:</t>
  </si>
  <si>
    <t>Accident Years</t>
  </si>
  <si>
    <t>LOB 1</t>
  </si>
  <si>
    <t>LOB 2</t>
  </si>
  <si>
    <t>1991-1995</t>
  </si>
  <si>
    <t>1996-2000</t>
  </si>
  <si>
    <t>2001-2005</t>
  </si>
  <si>
    <t>2006-2010</t>
  </si>
  <si>
    <t>2011-2015</t>
  </si>
  <si>
    <r>
      <t xml:space="preserve">Conduct chi-squared tests with an </t>
    </r>
    <r>
      <rPr>
        <sz val="11"/>
        <color theme="1"/>
        <rFont val="Calibri"/>
        <family val="2"/>
      </rPr>
      <t xml:space="preserve">α value of 0.10 on actual vs. expected claims counts to confirm whether or not risk parameters </t>
    </r>
  </si>
  <si>
    <t>We'll use the Total row as the long-term average for each line of business.</t>
  </si>
  <si>
    <t>have shifted over time.</t>
  </si>
  <si>
    <t xml:space="preserve">Compute the expected claim counts for each group of accident years by multiplying the total claims per $ premium for the LOB by the earned </t>
  </si>
  <si>
    <t>premium for the group of accident years.</t>
  </si>
  <si>
    <t>Use the following table of critical values:</t>
  </si>
  <si>
    <t>Expected Ultimate Claim Counts</t>
  </si>
  <si>
    <t xml:space="preserve">LOB 1 </t>
  </si>
  <si>
    <t>Degrees of Freedom</t>
  </si>
  <si>
    <r>
      <t>Critical Value (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>= 0.10)</t>
    </r>
  </si>
  <si>
    <t xml:space="preserve">Note that if you round the expected ultimate claim counts to the nearest integer, you'll </t>
  </si>
  <si>
    <t>get a slightly different chi-squared statistic to the CAS answer.</t>
  </si>
  <si>
    <t xml:space="preserve">The Chi-Squared statistic is </t>
  </si>
  <si>
    <t>So we have the following:</t>
  </si>
  <si>
    <t>LOB 1 Chi-squared =</t>
  </si>
  <si>
    <t>LOB 2 Chi-squared =</t>
  </si>
  <si>
    <t>We now need the degrees of freedom. Each line of business has five sets of accident years and we estimated a single average for each.</t>
  </si>
  <si>
    <t>This gives 5 -1 = 4 degrees of freedom.</t>
  </si>
  <si>
    <r>
      <t xml:space="preserve">From the table given for 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 xml:space="preserve">= 0.1 </t>
    </r>
    <r>
      <rPr>
        <sz val="11"/>
        <color theme="1"/>
        <rFont val="Calibri"/>
        <family val="2"/>
      </rPr>
      <t>at 4 degrees of freedom the critical value is 7.779</t>
    </r>
  </si>
  <si>
    <t>We accept the null hypothesis for line of business 1. That is, we cannot conclude LOB 1 has shifting risk parameters.</t>
  </si>
  <si>
    <t>However, for LOB 2, we reject the null hypothesis and conclude the risk parameter is changing over time.</t>
  </si>
  <si>
    <t xml:space="preserve">Accident </t>
  </si>
  <si>
    <t>2018.Q1b</t>
  </si>
  <si>
    <t>Apply Mean-Squared-Error criterion</t>
  </si>
  <si>
    <t xml:space="preserve">We've added in "per $1,000 premium" into the CAS original exam question because without this, you could draw the wrong conclusion when </t>
  </si>
  <si>
    <t>An insurance company is planning to expand into a new territory and has decided to review its historical loss experience in order</t>
  </si>
  <si>
    <t xml:space="preserve">comparing against the given MSE values. The mean-squared-error criterion means we'll select the value of Z which produces the lowest mean </t>
  </si>
  <si>
    <t>to determine whether it will require additional capital to support the expansion.</t>
  </si>
  <si>
    <t>squared error. Consequently, we need to calculate the mean squared error when Z = 0.1.</t>
  </si>
  <si>
    <t xml:space="preserve">Again, this is part of an Integrative Question, so we should be wary of additional wrinkles. In this case we'll need to account for the shift in </t>
  </si>
  <si>
    <t>The following table outlines the insurance company's historical experience for two long-tailed lines of business (LOB):</t>
  </si>
  <si>
    <t xml:space="preserve">earned premium and understand how to apply the credibility formula as well as calculate the mean squared error. All this before we can </t>
  </si>
  <si>
    <t>project the expected ultimate claims.</t>
  </si>
  <si>
    <t>The question tells us to calculate the expected claims we need the overall average plus the two most recent groups of accident years.</t>
  </si>
  <si>
    <t>This means we can calculate the expected claims for all bar the oldest and second oldest groups of accident years given as those lack data.</t>
  </si>
  <si>
    <t xml:space="preserve">Further, since we're calculating the future expected claims at different points in time, we can't just use the Total row for our overall mean </t>
  </si>
  <si>
    <t xml:space="preserve">frequency because it may contain some years which haven't happened yet. As such, the average over "the whole period" will be a running </t>
  </si>
  <si>
    <t>average over all of the historical periods to date. Remember we're using Z = 0.1</t>
  </si>
  <si>
    <t>Actual Ultimate Claims per $1,000 EP</t>
  </si>
  <si>
    <t>Avg Ult Claims to date per $1,000 EP</t>
  </si>
  <si>
    <t>Expected Ult Claims per $1,000 EP</t>
  </si>
  <si>
    <t xml:space="preserve">To select an expected future claim frequency for LOB 2, the actuarial consultant has decided to assign equal weight (Z/2) to </t>
  </si>
  <si>
    <t>NA (No prior information)</t>
  </si>
  <si>
    <t>each of the most recent two groups of accident years and the remaining weight (1-Z) to the overall mean frequency.</t>
  </si>
  <si>
    <t>NA (Only 1 prior year of data)</t>
  </si>
  <si>
    <t>Calculate the expected future claim frequency per $1,000 premium for LOB 2 by first using the mean-squared-error (MSE) criterion</t>
  </si>
  <si>
    <t>to determine the optimal value for Z from the following three choices:</t>
  </si>
  <si>
    <t>Z value</t>
  </si>
  <si>
    <t>MSE</t>
  </si>
  <si>
    <t xml:space="preserve">The CAS question wasn't very clear that the mean squared error values were also "per $1,000 of earned premium". If you converted the </t>
  </si>
  <si>
    <t>Not Provided</t>
  </si>
  <si>
    <t>expected claims by multiplying by the earned premium, or if you used per $1million of premium, you get an answer that's a different</t>
  </si>
  <si>
    <t xml:space="preserve"> order of magnitude. If this happens in an exam, it's a great clue to check your work or remember the question as potentially faulty. In the </t>
  </si>
  <si>
    <t xml:space="preserve">examiner's report the CAS was clear they accepted multiple answers in this situation as long as you correctly interpreted your result in the </t>
  </si>
  <si>
    <t xml:space="preserve">context of the given MSE values. </t>
  </si>
  <si>
    <t xml:space="preserve">Now we have the expected ultimate claims per $1,000 we can apply the mean squared error formula: </t>
  </si>
  <si>
    <t>This formula is very close to the Chi-squared test formula. Instead of dividing by the expected value, E, we divide by the number of items</t>
  </si>
  <si>
    <t>we have data for to produce an average. In this case we have 3 groups of accident years.</t>
  </si>
  <si>
    <t>mse =</t>
  </si>
  <si>
    <t>Comparing this result against the table given shows the lowest mse occurs at Z = 0.9</t>
  </si>
  <si>
    <t xml:space="preserve">Now we've chosen the Z value, we can use all of the information available to finally answer the question and predict the future expected </t>
  </si>
  <si>
    <t>claim frequency. This would presumably be for accident years 2016-2020.</t>
  </si>
  <si>
    <t>predicted =</t>
  </si>
  <si>
    <t>(Remember this is per $1,000 of earned premium).</t>
  </si>
  <si>
    <t>Calculate the accident year weights</t>
  </si>
  <si>
    <t>This is the situation described in Mahler's ratemaking example where no weight is placed on an external "grand mean".</t>
  </si>
  <si>
    <t>The equation we need to use is:</t>
  </si>
  <si>
    <t>You have the two most recent loss ratios for a line of insurance and want to combine them to calculate a rate level indication.</t>
  </si>
  <si>
    <t xml:space="preserve">Assume there are three years between the latest year of data and the average date of loss under the proposed rates. </t>
  </si>
  <si>
    <t>The following table describes the covariance structure:</t>
  </si>
  <si>
    <r>
      <t xml:space="preserve">Here, </t>
    </r>
    <r>
      <rPr>
        <sz val="11"/>
        <color theme="1"/>
        <rFont val="Calibri"/>
        <family val="2"/>
      </rPr>
      <t>λ</t>
    </r>
    <r>
      <rPr>
        <sz val="9.9"/>
        <color theme="1"/>
        <rFont val="Calibri"/>
        <family val="2"/>
      </rPr>
      <t xml:space="preserve">, </t>
    </r>
    <r>
      <rPr>
        <sz val="11"/>
        <color theme="1"/>
        <rFont val="Calibri"/>
        <family val="2"/>
      </rPr>
      <t>is the Lagrange multiplier.</t>
    </r>
  </si>
  <si>
    <t>Separation in Years</t>
  </si>
  <si>
    <t>Loss Ratio Covariance, C(k)</t>
  </si>
  <si>
    <r>
      <t xml:space="preserve">From the question, we know N = 2 and </t>
    </r>
    <r>
      <rPr>
        <sz val="11"/>
        <color theme="1"/>
        <rFont val="Calibri"/>
        <family val="2"/>
      </rPr>
      <t>Δ = 3.</t>
    </r>
  </si>
  <si>
    <t>Writing the equations out in full:</t>
  </si>
  <si>
    <t>Determine the optimal least squares weights for each of the two years, assuming no external loss ratio information is used.</t>
  </si>
  <si>
    <t xml:space="preserve">We also recall </t>
  </si>
  <si>
    <t xml:space="preserve">Substituting </t>
  </si>
  <si>
    <r>
      <t xml:space="preserve">and adding the two equations allows us to solve for </t>
    </r>
    <r>
      <rPr>
        <sz val="11"/>
        <color theme="1"/>
        <rFont val="Calibri"/>
        <family val="2"/>
      </rPr>
      <t>λ.</t>
    </r>
  </si>
  <si>
    <r>
      <t>λ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=</t>
    </r>
  </si>
  <si>
    <r>
      <t xml:space="preserve">Substituting </t>
    </r>
    <r>
      <rPr>
        <sz val="11"/>
        <color theme="1"/>
        <rFont val="Calibri"/>
        <family val="2"/>
      </rPr>
      <t>λ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into the first equation along with</t>
    </r>
  </si>
  <si>
    <t>yields</t>
  </si>
  <si>
    <t xml:space="preserve">which then gives </t>
  </si>
  <si>
    <t>Alice: "This is a long calculation that consists of 21 steps which are illustrated below. Work through this example carefully, referring to the</t>
  </si>
  <si>
    <t>wiki article when needed for explanations of each line item."</t>
  </si>
  <si>
    <t>Retrospective Rating Plan Parameters</t>
  </si>
  <si>
    <t>Item</t>
  </si>
  <si>
    <t>Value</t>
  </si>
  <si>
    <t>Calculation/Notes</t>
  </si>
  <si>
    <t>Estimated Standard Premium</t>
  </si>
  <si>
    <t>(1.)</t>
  </si>
  <si>
    <t>Max. Retrospective Premium Factor</t>
  </si>
  <si>
    <t>(2.)</t>
  </si>
  <si>
    <t>Expected (Unlimited) Losses</t>
  </si>
  <si>
    <t>(2) = (3) * (1)</t>
  </si>
  <si>
    <t>Min. Retrospective Premium Factor</t>
  </si>
  <si>
    <t>(3.)</t>
  </si>
  <si>
    <t>Expected (Unlimited) Loss Ratio</t>
  </si>
  <si>
    <t>&lt;= c</t>
  </si>
  <si>
    <t>(4.)</t>
  </si>
  <si>
    <t>Policy Excess Ratio</t>
  </si>
  <si>
    <t>See sub-calculation below. Yields sub-table 15.</t>
  </si>
  <si>
    <t>&lt;= T</t>
  </si>
  <si>
    <t>(5.)</t>
  </si>
  <si>
    <t>Excess Loss Factor</t>
  </si>
  <si>
    <t>(5) = (3) * (4)</t>
  </si>
  <si>
    <t>(f)</t>
  </si>
  <si>
    <t>Loss Limit</t>
  </si>
  <si>
    <t>(6.)</t>
  </si>
  <si>
    <t>Expected Limited Loss Ratio</t>
  </si>
  <si>
    <t>(6) = (3) - (5)</t>
  </si>
  <si>
    <t>(g)</t>
  </si>
  <si>
    <t>(7.)</t>
  </si>
  <si>
    <t>See sub-calculation below. Yields count group 48.</t>
  </si>
  <si>
    <t>(h)</t>
  </si>
  <si>
    <t>Expected Unlimited Loss Ratio</t>
  </si>
  <si>
    <t>(8.)</t>
  </si>
  <si>
    <t>Expense, Profit &amp; Contingency excluding Taxes</t>
  </si>
  <si>
    <t>(8) = (1) * (g)</t>
  </si>
  <si>
    <t>(9.)</t>
  </si>
  <si>
    <t>Expected Loss Plus Expense Ratio</t>
  </si>
  <si>
    <t>(9) = [ (2) + (8) ] / (1)</t>
  </si>
  <si>
    <t>(10.)</t>
  </si>
  <si>
    <t>Loss &amp; Expense in Converted Losses</t>
  </si>
  <si>
    <t>(10) = (3) * (d)</t>
  </si>
  <si>
    <t xml:space="preserve">Using the NCCI Circular CIF-2018-28 calculate the basic premium factor. </t>
  </si>
  <si>
    <t>(11.)</t>
  </si>
  <si>
    <t>Expense, Profit &amp; Contingency in Basic Premium</t>
  </si>
  <si>
    <t>(11) = (9) - (10)</t>
  </si>
  <si>
    <t>(12.)</t>
  </si>
  <si>
    <t>Minimum Retrospective Premium excl. Taxes</t>
  </si>
  <si>
    <t>(12) = (c) / (e)</t>
  </si>
  <si>
    <t>You may use the information provided below.</t>
  </si>
  <si>
    <t>(13.)</t>
  </si>
  <si>
    <t>Maximum Retrospective Premium excl. Taxes</t>
  </si>
  <si>
    <t>(13) = (b) / (e)</t>
  </si>
  <si>
    <t>(14.)</t>
  </si>
  <si>
    <t>Table of Aggregate Loss Factors Value Difference*</t>
  </si>
  <si>
    <t>(14) = [ (9) - (12) ] / [ (d) * (6) ]</t>
  </si>
  <si>
    <t>(15.)</t>
  </si>
  <si>
    <t>Table of Aggregate Loss Factors Entry Difference**</t>
  </si>
  <si>
    <t>(15) = [ (13) - (12) ] / [ (d) * (6) ]</t>
  </si>
  <si>
    <t>(16.)</t>
  </si>
  <si>
    <t>Ratio of Losses for Minimum Retrospective Premium to Expected Limited Losses</t>
  </si>
  <si>
    <t>See line-by-line wiki discussion for this figure.</t>
  </si>
  <si>
    <t>Extract from the Table of Expected Claim Count Groups in Appendix A</t>
  </si>
  <si>
    <t>(17.)</t>
  </si>
  <si>
    <t>Ratio of Losses for Maximum Retrospective Premium to Expected Limited Losses</t>
  </si>
  <si>
    <t>Expected Claim Count Group</t>
  </si>
  <si>
    <t>(18.)</t>
  </si>
  <si>
    <r>
      <t xml:space="preserve">Table of Aggregate Loss Factors – Aggregate </t>
    </r>
    <r>
      <rPr>
        <b/>
        <u/>
        <sz val="11"/>
        <color theme="1"/>
        <rFont val="Calibri"/>
        <family val="2"/>
        <scheme val="minor"/>
      </rPr>
      <t>Excess</t>
    </r>
    <r>
      <rPr>
        <sz val="11"/>
        <color theme="1"/>
        <rFont val="Calibri"/>
        <family val="2"/>
        <scheme val="minor"/>
      </rPr>
      <t xml:space="preserve"> Loss Factor for (17.)</t>
    </r>
  </si>
  <si>
    <t>AELF for (17), found in Appendix B.</t>
  </si>
  <si>
    <t>15.7 – 17.3</t>
  </si>
  <si>
    <t>(19.)</t>
  </si>
  <si>
    <r>
      <t xml:space="preserve">Table of Aggregate Loss Factors – Aggregate </t>
    </r>
    <r>
      <rPr>
        <b/>
        <u/>
        <sz val="11"/>
        <color theme="1"/>
        <rFont val="Calibri"/>
        <family val="2"/>
        <scheme val="minor"/>
      </rPr>
      <t>Minimum</t>
    </r>
    <r>
      <rPr>
        <sz val="11"/>
        <color theme="1"/>
        <rFont val="Calibri"/>
        <family val="2"/>
        <scheme val="minor"/>
      </rPr>
      <t xml:space="preserve"> Loss Factor for (16.)</t>
    </r>
  </si>
  <si>
    <t>17.4 – 19.1</t>
  </si>
  <si>
    <t>(20.)</t>
  </si>
  <si>
    <t>Net Aggregate Loss Factor</t>
  </si>
  <si>
    <t>(20) = [ (18) - (19) ] * (d) * (6)</t>
  </si>
  <si>
    <t>19.2 – 21.1</t>
  </si>
  <si>
    <t>(21.)</t>
  </si>
  <si>
    <t>(21) = (20) + (11)</t>
  </si>
  <si>
    <t>21.2 – 23.4</t>
  </si>
  <si>
    <t>*</t>
  </si>
  <si>
    <t>Calculated to 4 decimal places to match the precision found in the Appendix B tables.</t>
  </si>
  <si>
    <t>Extract from the Table of Policy Excess Ratio Ranges in Appendix A</t>
  </si>
  <si>
    <t>**</t>
  </si>
  <si>
    <t>Calculated to 2 decimal places to match the entry ratio precision found in the Appendix B tables.</t>
  </si>
  <si>
    <t>Sub-table</t>
  </si>
  <si>
    <t>Excess Ratio Range</t>
  </si>
  <si>
    <t>0.485 – 0.550</t>
  </si>
  <si>
    <t>Policy Excess Ratio Calculation</t>
  </si>
  <si>
    <t>0.551 – 0.648</t>
  </si>
  <si>
    <t>0.649 – 0.765</t>
  </si>
  <si>
    <t>It should be calculated at the State/Hazard Group level using the table approach below.</t>
  </si>
  <si>
    <t>Extract from Table of Aggregate Loss Factors: Sub-Table 15</t>
  </si>
  <si>
    <t>Hazard Group</t>
  </si>
  <si>
    <t>Excess Ratio at Loss Limit</t>
  </si>
  <si>
    <t>Expected Excess Loss</t>
  </si>
  <si>
    <t>•</t>
  </si>
  <si>
    <t>The expected excess loss is the product of the</t>
  </si>
  <si>
    <t>Aggregate Excess Loss Factors by Expected Claim Count Group</t>
  </si>
  <si>
    <t>X</t>
  </si>
  <si>
    <t>modified expected loss and the excess ratio</t>
  </si>
  <si>
    <t>at loss limit.</t>
  </si>
  <si>
    <t>The policy excess ratio is the total expected excess</t>
  </si>
  <si>
    <t>loss divided by the total modified expected loss.</t>
  </si>
  <si>
    <r>
      <rPr>
        <b/>
        <sz val="11"/>
        <color theme="1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The modified expected loss is the manual premium multiplied by both the experience modification (assuming the risk is also experience rated) and</t>
    </r>
  </si>
  <si>
    <t>…</t>
  </si>
  <si>
    <t xml:space="preserve">    the expected loss ratio.</t>
  </si>
  <si>
    <t>Expected Number of Claims Calculation</t>
  </si>
  <si>
    <t>Average Cost per Case</t>
  </si>
  <si>
    <t>Alice: "Remember the NCCI experience mod and expected loss ratio are the same for all states and hazard groups within a risk."</t>
  </si>
  <si>
    <t>Manual</t>
  </si>
  <si>
    <t>Modification</t>
  </si>
  <si>
    <t>Experience</t>
  </si>
  <si>
    <t>Ratio</t>
  </si>
  <si>
    <t>Expected Loss</t>
  </si>
  <si>
    <t>Modified Expected</t>
  </si>
  <si>
    <t>per Case</t>
  </si>
  <si>
    <t>Average Cost</t>
  </si>
  <si>
    <t xml:space="preserve"> of Claims</t>
  </si>
  <si>
    <t>Expected Number</t>
  </si>
  <si>
    <t>See sub-calculation below. Yields sub-table 6.</t>
  </si>
  <si>
    <t>See sub-calculation below. Yields count group 50.</t>
  </si>
  <si>
    <t>Expected Unlimited Losses</t>
  </si>
  <si>
    <t>The risk is also experience rated with experience modification factor =</t>
  </si>
  <si>
    <t>14.3 – 15.6</t>
  </si>
  <si>
    <t>0.078 – 0.110</t>
  </si>
  <si>
    <t>0.111 – 0.145</t>
  </si>
  <si>
    <t>0.146 – 0.181</t>
  </si>
  <si>
    <t>Extract from Table of Aggregate Loss Factors: Sub-Table 6</t>
  </si>
  <si>
    <t>Produce an aggregate loss distribution from the claim count and severity distributions</t>
  </si>
  <si>
    <t>We need to combine the two distributions together by considering all possible aggregate loss sizes in increasing order.</t>
  </si>
  <si>
    <t>Count Distribution</t>
  </si>
  <si>
    <t>Severity Distribution</t>
  </si>
  <si>
    <t>Probability</t>
  </si>
  <si>
    <t>Loss Amount</t>
  </si>
  <si>
    <t>Total Losses</t>
  </si>
  <si>
    <t>Calculation</t>
  </si>
  <si>
    <t>Notes</t>
  </si>
  <si>
    <t>No claims</t>
  </si>
  <si>
    <t>1x $1,000 claim</t>
  </si>
  <si>
    <t>2x $1,000 claims</t>
  </si>
  <si>
    <t>&lt;= Only 1 way to assign the claims</t>
  </si>
  <si>
    <t>1x $10,000 claim</t>
  </si>
  <si>
    <t>1x $10,000 &amp; 1x $1,000 claims</t>
  </si>
  <si>
    <t>&lt;= Pr(2 claims) * [ Pr($10,000) * Pr($1,000) * (# ways to assign those claims) ]</t>
  </si>
  <si>
    <t>2x $10,000 claims</t>
  </si>
  <si>
    <r>
      <t>Alice: "Here are some important thoughts for when you're doing something like this under exam pressure.</t>
    </r>
    <r>
      <rPr>
        <i/>
        <sz val="11"/>
        <color theme="1"/>
        <rFont val="Calibri"/>
        <family val="2"/>
        <scheme val="minor"/>
      </rPr>
      <t>"</t>
    </r>
  </si>
  <si>
    <t>• Remember the severity distribution applies only if a claim has occurred.</t>
  </si>
  <si>
    <t>• Don't forgot to count the number of ways you can assign the different claim severities to the claims.</t>
  </si>
  <si>
    <t>• It's a great idea to check your probabilities add up to 100%. This is an easy way to catch counting errors.</t>
  </si>
  <si>
    <t>Produce the aggregate loss distribution from the claim count and severity distributions.</t>
  </si>
  <si>
    <t>Discretize a severity distribution</t>
  </si>
  <si>
    <r>
      <t>For this severity distribution the excess ratio at loss point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is given by</t>
    </r>
  </si>
  <si>
    <t>Alice: "You should check you can derive this – it's a great</t>
  </si>
  <si>
    <t xml:space="preserve"> application of Bahnemann and a primer for IQs."</t>
  </si>
  <si>
    <t>Now form a table with a row for each of the evaluation points</t>
  </si>
  <si>
    <r>
      <t xml:space="preserve">Evaluation Point,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
(1)</t>
    </r>
  </si>
  <si>
    <r>
      <t>XS(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
(2)</t>
    </r>
  </si>
  <si>
    <r>
      <t>LEV</t>
    </r>
    <r>
      <rPr>
        <vertAlign val="subscript"/>
        <sz val="11"/>
        <color theme="1"/>
        <rFont val="Calibri"/>
        <family val="2"/>
        <scheme val="minor"/>
      </rPr>
      <t xml:space="preserve">i
</t>
    </r>
    <r>
      <rPr>
        <sz val="11"/>
        <color theme="1"/>
        <rFont val="Calibri"/>
        <family val="2"/>
        <scheme val="minor"/>
      </rPr>
      <t>(3)</t>
    </r>
  </si>
  <si>
    <r>
      <t>LIL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
(4)</t>
    </r>
  </si>
  <si>
    <t>CDF
(5)</t>
  </si>
  <si>
    <t>PDF
(6)</t>
  </si>
  <si>
    <t>(2) = (1 - (1) / 10)^2</t>
  </si>
  <si>
    <t>(3) = [1 - (2)] * (Average Unlimited Severity)</t>
  </si>
  <si>
    <r>
      <t xml:space="preserve">Alice: "The Average Unlimited Severity is just </t>
    </r>
    <r>
      <rPr>
        <sz val="11"/>
        <color theme="1"/>
        <rFont val="Calibri"/>
        <family val="2"/>
        <scheme val="minor"/>
      </rPr>
      <t>E[X]."</t>
    </r>
  </si>
  <si>
    <r>
      <t>(4) = LEV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LEV</t>
    </r>
    <r>
      <rPr>
        <vertAlign val="subscript"/>
        <sz val="11"/>
        <color theme="1"/>
        <rFont val="Calibri"/>
        <family val="2"/>
        <scheme val="minor"/>
      </rPr>
      <t>i-1</t>
    </r>
  </si>
  <si>
    <r>
      <t>(5) = 1 - LIL</t>
    </r>
    <r>
      <rPr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/ (x</t>
    </r>
    <r>
      <rPr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-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</si>
  <si>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 xml:space="preserve">Alice: "Notice </t>
    </r>
    <r>
      <rPr>
        <sz val="11"/>
        <color theme="1"/>
        <rFont val="Calibri"/>
        <family val="2"/>
        <scheme val="minor"/>
      </rPr>
      <t>LEV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≤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>LEV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LEV</t>
    </r>
    <r>
      <rPr>
        <i/>
        <vertAlign val="subscript"/>
        <sz val="11"/>
        <color theme="1"/>
        <rFont val="Calibri"/>
        <family val="2"/>
        <scheme val="minor"/>
      </rPr>
      <t>i-1</t>
    </r>
    <r>
      <rPr>
        <sz val="11"/>
        <color theme="1"/>
        <rFont val="Calibri"/>
        <family val="2"/>
        <scheme val="minor"/>
      </rPr>
      <t xml:space="preserve"> ≥ LEV</t>
    </r>
    <r>
      <rPr>
        <i/>
        <vertAlign val="subscript"/>
        <sz val="11"/>
        <color theme="1"/>
        <rFont val="Calibri"/>
        <family val="2"/>
        <scheme val="minor"/>
      </rPr>
      <t>i+1</t>
    </r>
    <r>
      <rPr>
        <sz val="11"/>
        <color theme="1"/>
        <rFont val="Calibri"/>
        <family val="2"/>
        <scheme val="minor"/>
      </rPr>
      <t xml:space="preserve"> - LEV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. i.e. </t>
    </r>
    <r>
      <rPr>
        <sz val="11"/>
        <color theme="1"/>
        <rFont val="Calibri"/>
        <family val="2"/>
        <scheme val="minor"/>
      </rPr>
      <t>LIL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 is a decreasing function of x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"</t>
    </r>
  </si>
  <si>
    <t>Sensitivity &amp; Specificity</t>
  </si>
  <si>
    <t>Although we gave you the Policy Excess Ratio in this question, it's conceivable you may be asked to calculate it from first principles.</t>
  </si>
  <si>
    <t>This is calculated at the State/Hazard Group level using the table approach below.</t>
  </si>
  <si>
    <r>
      <t>Letting E[A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 be the expected limited loss gives the following entry ratios:</t>
    </r>
  </si>
  <si>
    <r>
      <t>Letting E[A</t>
    </r>
    <r>
      <rPr>
        <sz val="11"/>
        <color theme="1"/>
        <rFont val="Calibri"/>
        <family val="2"/>
        <scheme val="minor"/>
      </rPr>
      <t>] be the expected loss gives the following entry ratios: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</si>
</sst>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0.0%"/>
    <numFmt numFmtId="168" formatCode="0.00000"/>
    <numFmt numFmtId="169" formatCode="0.0"/>
    <numFmt numFmtId="170" formatCode="&quot;$&quot;#,##0.0000_);[Red]\(&quot;$&quot;#,##0.0000\)"/>
    <numFmt numFmtId="171" formatCode="#,##0.0"/>
    <numFmt numFmtId="172" formatCode="_(* #,##0_);_(* \(#,##0\);_(* &quot;-&quot;??_);_(@_)"/>
    <numFmt numFmtId="173" formatCode="&quot;$&quot;#,##0.00"/>
    <numFmt numFmtId="174" formatCode="0.000000"/>
    <numFmt numFmtId="175" formatCode="#,##0.000"/>
    <numFmt numFmtId="176" formatCode="0.00000000"/>
    <numFmt numFmtId="177" formatCode="0.0000000"/>
    <numFmt numFmtId="178" formatCode="0.000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9.9"/>
      <color theme="1"/>
      <name val="Calibri"/>
      <family val="2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vertAlign val="subscript"/>
      <sz val="11"/>
      <color rgb="FF0070C0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b/>
      <i/>
      <vertAlign val="subscript"/>
      <sz val="11"/>
      <color theme="8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rgb="FF0070C0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8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/>
    <xf numFmtId="0" fontId="10" fillId="0" borderId="0" xfId="0" applyFont="1"/>
    <xf numFmtId="0" fontId="0" fillId="2" borderId="2" xfId="0" applyFill="1" applyBorder="1" applyAlignment="1">
      <alignment horizontal="center"/>
    </xf>
    <xf numFmtId="0" fontId="0" fillId="0" borderId="3" xfId="0" applyBorder="1"/>
    <xf numFmtId="3" fontId="12" fillId="0" borderId="0" xfId="0" applyNumberFormat="1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4" fontId="0" fillId="3" borderId="0" xfId="0" applyNumberFormat="1" applyFill="1" applyAlignment="1">
      <alignment horizontal="left"/>
    </xf>
    <xf numFmtId="0" fontId="0" fillId="3" borderId="0" xfId="0" applyFill="1"/>
    <xf numFmtId="3" fontId="0" fillId="0" borderId="0" xfId="0" quotePrefix="1" applyNumberFormat="1" applyAlignment="1">
      <alignment horizontal="center"/>
    </xf>
    <xf numFmtId="0" fontId="9" fillId="0" borderId="0" xfId="0" applyFont="1"/>
    <xf numFmtId="0" fontId="1" fillId="2" borderId="10" xfId="0" applyFont="1" applyFill="1" applyBorder="1"/>
    <xf numFmtId="0" fontId="0" fillId="2" borderId="11" xfId="0" applyFill="1" applyBorder="1"/>
    <xf numFmtId="0" fontId="11" fillId="2" borderId="11" xfId="0" applyFont="1" applyFill="1" applyBorder="1"/>
    <xf numFmtId="0" fontId="1" fillId="2" borderId="13" xfId="0" applyFont="1" applyFill="1" applyBorder="1"/>
    <xf numFmtId="0" fontId="0" fillId="2" borderId="0" xfId="0" applyFill="1"/>
    <xf numFmtId="0" fontId="0" fillId="2" borderId="14" xfId="0" applyFill="1" applyBorder="1"/>
    <xf numFmtId="3" fontId="0" fillId="2" borderId="13" xfId="0" applyNumberFormat="1" applyFill="1" applyBorder="1"/>
    <xf numFmtId="3" fontId="0" fillId="2" borderId="0" xfId="0" applyNumberFormat="1" applyFill="1"/>
    <xf numFmtId="3" fontId="0" fillId="2" borderId="14" xfId="0" applyNumberFormat="1" applyFill="1" applyBorder="1"/>
    <xf numFmtId="3" fontId="1" fillId="2" borderId="13" xfId="0" applyNumberFormat="1" applyFont="1" applyFill="1" applyBorder="1"/>
    <xf numFmtId="0" fontId="10" fillId="2" borderId="0" xfId="0" applyFont="1" applyFill="1"/>
    <xf numFmtId="0" fontId="0" fillId="2" borderId="3" xfId="0" applyFill="1" applyBorder="1"/>
    <xf numFmtId="3" fontId="12" fillId="2" borderId="0" xfId="0" applyNumberFormat="1" applyFont="1" applyFill="1" applyAlignment="1">
      <alignment horizontal="left"/>
    </xf>
    <xf numFmtId="0" fontId="0" fillId="2" borderId="13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7" xfId="0" applyFont="1" applyFill="1" applyBorder="1"/>
    <xf numFmtId="0" fontId="0" fillId="2" borderId="0" xfId="0" applyFill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2" xfId="1" applyFill="1" applyBorder="1" applyAlignment="1">
      <alignment horizontal="right"/>
    </xf>
    <xf numFmtId="0" fontId="19" fillId="0" borderId="0" xfId="0" applyFont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9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20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1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14" fillId="2" borderId="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17" xfId="0" applyNumberFormat="1" applyFill="1" applyBorder="1"/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9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6" fontId="0" fillId="0" borderId="2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0" borderId="8" xfId="0" applyFont="1" applyBorder="1"/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2" xfId="0" applyBorder="1"/>
    <xf numFmtId="0" fontId="1" fillId="0" borderId="20" xfId="0" applyFon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0" fontId="1" fillId="0" borderId="21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7" fontId="0" fillId="0" borderId="2" xfId="4" applyNumberFormat="1" applyFont="1" applyBorder="1" applyAlignment="1">
      <alignment horizontal="center"/>
    </xf>
    <xf numFmtId="167" fontId="0" fillId="0" borderId="3" xfId="4" applyNumberFormat="1" applyFont="1" applyBorder="1" applyAlignment="1">
      <alignment horizontal="center"/>
    </xf>
    <xf numFmtId="167" fontId="0" fillId="0" borderId="4" xfId="4" applyNumberFormat="1" applyFont="1" applyBorder="1" applyAlignment="1">
      <alignment horizontal="center"/>
    </xf>
    <xf numFmtId="167" fontId="0" fillId="0" borderId="5" xfId="4" applyNumberFormat="1" applyFont="1" applyBorder="1" applyAlignment="1">
      <alignment horizontal="center"/>
    </xf>
    <xf numFmtId="167" fontId="0" fillId="0" borderId="6" xfId="4" applyNumberFormat="1" applyFont="1" applyBorder="1" applyAlignment="1">
      <alignment horizontal="center"/>
    </xf>
    <xf numFmtId="167" fontId="0" fillId="0" borderId="7" xfId="4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9" fontId="0" fillId="2" borderId="5" xfId="4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9" fontId="0" fillId="2" borderId="7" xfId="4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9" fontId="0" fillId="0" borderId="0" xfId="4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9" fontId="0" fillId="2" borderId="0" xfId="4" applyFont="1" applyFill="1" applyBorder="1" applyAlignment="1">
      <alignment horizontal="center"/>
    </xf>
    <xf numFmtId="4" fontId="10" fillId="2" borderId="0" xfId="0" applyNumberFormat="1" applyFont="1" applyFill="1"/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3" borderId="0" xfId="0" applyFill="1" applyAlignment="1">
      <alignment horizontal="left"/>
    </xf>
    <xf numFmtId="2" fontId="0" fillId="3" borderId="0" xfId="0" applyNumberFormat="1" applyFill="1" applyAlignment="1">
      <alignment horizontal="left"/>
    </xf>
    <xf numFmtId="3" fontId="0" fillId="2" borderId="15" xfId="0" applyNumberFormat="1" applyFill="1" applyBorder="1"/>
    <xf numFmtId="3" fontId="0" fillId="2" borderId="16" xfId="0" applyNumberFormat="1" applyFill="1" applyBorder="1"/>
    <xf numFmtId="0" fontId="10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167" fontId="0" fillId="3" borderId="4" xfId="4" applyNumberFormat="1" applyFont="1" applyFill="1" applyBorder="1" applyAlignment="1">
      <alignment horizontal="center"/>
    </xf>
    <xf numFmtId="167" fontId="0" fillId="0" borderId="0" xfId="4" applyNumberFormat="1" applyFont="1"/>
    <xf numFmtId="167" fontId="0" fillId="3" borderId="6" xfId="4" applyNumberFormat="1" applyFont="1" applyFill="1" applyBorder="1" applyAlignment="1">
      <alignment horizontal="center"/>
    </xf>
    <xf numFmtId="0" fontId="0" fillId="0" borderId="0" xfId="0" quotePrefix="1"/>
    <xf numFmtId="0" fontId="23" fillId="0" borderId="0" xfId="0" applyFont="1"/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10" fillId="2" borderId="14" xfId="0" applyFont="1" applyFill="1" applyBorder="1"/>
    <xf numFmtId="0" fontId="9" fillId="2" borderId="14" xfId="0" applyFont="1" applyFill="1" applyBorder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21" xfId="0" applyBorder="1"/>
    <xf numFmtId="0" fontId="0" fillId="0" borderId="1" xfId="0" applyBorder="1"/>
    <xf numFmtId="167" fontId="0" fillId="0" borderId="0" xfId="4" applyNumberFormat="1" applyFont="1" applyAlignment="1">
      <alignment horizontal="center"/>
    </xf>
    <xf numFmtId="167" fontId="0" fillId="0" borderId="0" xfId="0" applyNumberFormat="1"/>
    <xf numFmtId="0" fontId="19" fillId="0" borderId="0" xfId="0" applyFont="1"/>
    <xf numFmtId="167" fontId="0" fillId="3" borderId="0" xfId="0" applyNumberForma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5" borderId="20" xfId="0" applyFill="1" applyBorder="1"/>
    <xf numFmtId="0" fontId="0" fillId="5" borderId="23" xfId="0" applyFill="1" applyBorder="1"/>
    <xf numFmtId="0" fontId="0" fillId="5" borderId="3" xfId="0" applyFill="1" applyBorder="1"/>
    <xf numFmtId="0" fontId="0" fillId="5" borderId="21" xfId="0" applyFill="1" applyBorder="1"/>
    <xf numFmtId="0" fontId="0" fillId="5" borderId="1" xfId="0" applyFill="1" applyBorder="1"/>
    <xf numFmtId="0" fontId="0" fillId="5" borderId="7" xfId="0" applyFill="1" applyBorder="1"/>
    <xf numFmtId="167" fontId="0" fillId="0" borderId="2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9" fillId="2" borderId="0" xfId="0" applyFont="1" applyFill="1"/>
    <xf numFmtId="167" fontId="0" fillId="2" borderId="2" xfId="4" applyNumberFormat="1" applyFont="1" applyFill="1" applyBorder="1" applyAlignment="1">
      <alignment horizontal="center"/>
    </xf>
    <xf numFmtId="167" fontId="0" fillId="2" borderId="4" xfId="4" applyNumberFormat="1" applyFont="1" applyFill="1" applyBorder="1" applyAlignment="1">
      <alignment horizontal="center"/>
    </xf>
    <xf numFmtId="167" fontId="0" fillId="2" borderId="6" xfId="4" applyNumberFormat="1" applyFont="1" applyFill="1" applyBorder="1" applyAlignment="1">
      <alignment horizontal="center"/>
    </xf>
    <xf numFmtId="0" fontId="0" fillId="2" borderId="8" xfId="0" applyFill="1" applyBorder="1"/>
    <xf numFmtId="167" fontId="0" fillId="2" borderId="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5" fillId="2" borderId="11" xfId="1" applyFill="1" applyBorder="1" applyAlignment="1"/>
    <xf numFmtId="0" fontId="0" fillId="4" borderId="0" xfId="0" applyFill="1" applyAlignment="1">
      <alignment horizontal="left"/>
    </xf>
    <xf numFmtId="165" fontId="0" fillId="4" borderId="0" xfId="0" applyNumberFormat="1" applyFill="1" applyAlignment="1">
      <alignment horizontal="left"/>
    </xf>
    <xf numFmtId="0" fontId="0" fillId="0" borderId="18" xfId="0" applyBorder="1"/>
    <xf numFmtId="0" fontId="0" fillId="0" borderId="22" xfId="0" applyBorder="1"/>
    <xf numFmtId="3" fontId="0" fillId="0" borderId="1" xfId="0" applyNumberFormat="1" applyBorder="1" applyAlignment="1">
      <alignment horizontal="center"/>
    </xf>
    <xf numFmtId="3" fontId="10" fillId="0" borderId="0" xfId="0" applyNumberFormat="1" applyFont="1"/>
    <xf numFmtId="6" fontId="0" fillId="0" borderId="0" xfId="0" applyNumberFormat="1" applyAlignment="1">
      <alignment horizontal="center"/>
    </xf>
    <xf numFmtId="0" fontId="0" fillId="0" borderId="24" xfId="0" applyBorder="1" applyAlignment="1">
      <alignment horizontal="center"/>
    </xf>
    <xf numFmtId="6" fontId="0" fillId="0" borderId="24" xfId="0" applyNumberFormat="1" applyBorder="1" applyAlignment="1">
      <alignment horizontal="center"/>
    </xf>
    <xf numFmtId="6" fontId="24" fillId="3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left"/>
    </xf>
    <xf numFmtId="3" fontId="10" fillId="2" borderId="0" xfId="0" applyNumberFormat="1" applyFont="1" applyFill="1"/>
    <xf numFmtId="165" fontId="0" fillId="2" borderId="0" xfId="0" applyNumberFormat="1" applyFill="1" applyAlignment="1">
      <alignment horizontal="left"/>
    </xf>
    <xf numFmtId="3" fontId="25" fillId="2" borderId="0" xfId="0" applyNumberFormat="1" applyFont="1" applyFill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0" fillId="0" borderId="20" xfId="0" applyNumberFormat="1" applyBorder="1" applyAlignment="1">
      <alignment horizontal="center"/>
    </xf>
    <xf numFmtId="6" fontId="0" fillId="0" borderId="23" xfId="0" applyNumberFormat="1" applyBorder="1" applyAlignment="1">
      <alignment horizontal="center"/>
    </xf>
    <xf numFmtId="6" fontId="0" fillId="3" borderId="23" xfId="0" applyNumberFormat="1" applyFill="1" applyBorder="1" applyAlignment="1">
      <alignment horizontal="center"/>
    </xf>
    <xf numFmtId="6" fontId="0" fillId="3" borderId="3" xfId="0" applyNumberFormat="1" applyFill="1" applyBorder="1"/>
    <xf numFmtId="2" fontId="0" fillId="0" borderId="19" xfId="0" applyNumberFormat="1" applyBorder="1" applyAlignment="1">
      <alignment horizontal="center"/>
    </xf>
    <xf numFmtId="6" fontId="0" fillId="3" borderId="0" xfId="0" applyNumberFormat="1" applyFill="1" applyAlignment="1">
      <alignment horizontal="center"/>
    </xf>
    <xf numFmtId="6" fontId="0" fillId="3" borderId="5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6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0" fillId="0" borderId="23" xfId="0" applyBorder="1" applyAlignment="1">
      <alignment horizontal="center"/>
    </xf>
    <xf numFmtId="6" fontId="0" fillId="3" borderId="3" xfId="0" applyNumberFormat="1" applyFill="1" applyBorder="1" applyAlignment="1">
      <alignment horizontal="center"/>
    </xf>
    <xf numFmtId="0" fontId="0" fillId="0" borderId="19" xfId="0" applyBorder="1"/>
    <xf numFmtId="2" fontId="0" fillId="0" borderId="25" xfId="0" applyNumberForma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6" fontId="0" fillId="3" borderId="26" xfId="0" applyNumberFormat="1" applyFill="1" applyBorder="1" applyAlignment="1">
      <alignment horizontal="center"/>
    </xf>
    <xf numFmtId="6" fontId="0" fillId="3" borderId="27" xfId="0" applyNumberFormat="1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3" xfId="0" quotePrefix="1" applyBorder="1" applyAlignment="1">
      <alignment horizontal="center" wrapText="1"/>
    </xf>
    <xf numFmtId="0" fontId="0" fillId="0" borderId="3" xfId="0" quotePrefix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3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8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6" fontId="0" fillId="2" borderId="20" xfId="0" applyNumberFormat="1" applyFill="1" applyBorder="1" applyAlignment="1">
      <alignment horizontal="right"/>
    </xf>
    <xf numFmtId="0" fontId="0" fillId="2" borderId="23" xfId="0" applyFill="1" applyBorder="1"/>
    <xf numFmtId="6" fontId="0" fillId="2" borderId="19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20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3" xfId="0" quotePrefix="1" applyFill="1" applyBorder="1" applyAlignment="1">
      <alignment horizont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20" xfId="0" applyNumberFormat="1" applyFill="1" applyBorder="1" applyAlignment="1">
      <alignment horizontal="center"/>
    </xf>
    <xf numFmtId="9" fontId="0" fillId="2" borderId="23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0" xfId="4" applyNumberFormat="1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0" fontId="0" fillId="2" borderId="26" xfId="0" applyFill="1" applyBorder="1"/>
    <xf numFmtId="167" fontId="0" fillId="2" borderId="26" xfId="0" applyNumberFormat="1" applyFill="1" applyBorder="1" applyAlignment="1">
      <alignment horizontal="center"/>
    </xf>
    <xf numFmtId="167" fontId="0" fillId="2" borderId="27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6" fontId="0" fillId="3" borderId="0" xfId="0" applyNumberFormat="1" applyFill="1" applyAlignment="1">
      <alignment horizontal="left"/>
    </xf>
    <xf numFmtId="164" fontId="0" fillId="4" borderId="4" xfId="3" applyNumberFormat="1" applyFont="1" applyFill="1" applyBorder="1" applyAlignment="1">
      <alignment horizontal="center"/>
    </xf>
    <xf numFmtId="1" fontId="0" fillId="4" borderId="0" xfId="3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4" borderId="6" xfId="3" applyNumberFormat="1" applyFont="1" applyFill="1" applyBorder="1" applyAlignment="1">
      <alignment horizontal="center"/>
    </xf>
    <xf numFmtId="1" fontId="0" fillId="4" borderId="1" xfId="3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4" fontId="0" fillId="4" borderId="2" xfId="3" applyNumberFormat="1" applyFont="1" applyFill="1" applyBorder="1" applyAlignment="1">
      <alignment horizontal="center"/>
    </xf>
    <xf numFmtId="1" fontId="0" fillId="4" borderId="23" xfId="3" applyNumberFormat="1" applyFon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6" fontId="0" fillId="2" borderId="0" xfId="0" applyNumberFormat="1" applyFill="1"/>
    <xf numFmtId="0" fontId="0" fillId="2" borderId="18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9" xfId="0" applyFill="1" applyBorder="1"/>
    <xf numFmtId="0" fontId="0" fillId="5" borderId="19" xfId="0" applyFill="1" applyBorder="1" applyAlignment="1">
      <alignment horizontal="right"/>
    </xf>
    <xf numFmtId="0" fontId="0" fillId="5" borderId="0" xfId="0" applyFill="1"/>
    <xf numFmtId="0" fontId="0" fillId="5" borderId="5" xfId="0" applyFill="1" applyBorder="1"/>
    <xf numFmtId="0" fontId="3" fillId="0" borderId="0" xfId="0" quotePrefix="1" applyFont="1"/>
    <xf numFmtId="0" fontId="24" fillId="2" borderId="0" xfId="0" applyFont="1" applyFill="1" applyAlignment="1">
      <alignment horizontal="center"/>
    </xf>
    <xf numFmtId="3" fontId="24" fillId="2" borderId="0" xfId="0" applyNumberFormat="1" applyFont="1" applyFill="1" applyAlignment="1">
      <alignment horizontal="center"/>
    </xf>
    <xf numFmtId="169" fontId="0" fillId="0" borderId="5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0" xfId="0" applyFill="1" applyAlignment="1">
      <alignment horizontal="right"/>
    </xf>
    <xf numFmtId="0" fontId="0" fillId="5" borderId="19" xfId="0" applyFill="1" applyBorder="1"/>
    <xf numFmtId="169" fontId="0" fillId="0" borderId="0" xfId="0" applyNumberFormat="1" applyAlignment="1">
      <alignment horizontal="center"/>
    </xf>
    <xf numFmtId="166" fontId="24" fillId="3" borderId="0" xfId="0" applyNumberFormat="1" applyFont="1" applyFill="1" applyAlignment="1">
      <alignment horizontal="center"/>
    </xf>
    <xf numFmtId="166" fontId="24" fillId="3" borderId="5" xfId="0" applyNumberFormat="1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6" fontId="24" fillId="3" borderId="1" xfId="0" applyNumberFormat="1" applyFont="1" applyFill="1" applyBorder="1" applyAlignment="1">
      <alignment horizontal="center"/>
    </xf>
    <xf numFmtId="166" fontId="24" fillId="3" borderId="7" xfId="0" applyNumberFormat="1" applyFont="1" applyFill="1" applyBorder="1" applyAlignment="1">
      <alignment horizontal="center"/>
    </xf>
    <xf numFmtId="166" fontId="0" fillId="3" borderId="0" xfId="0" applyNumberFormat="1" applyFill="1" applyAlignment="1">
      <alignment horizontal="left"/>
    </xf>
    <xf numFmtId="1" fontId="12" fillId="0" borderId="0" xfId="0" applyNumberFormat="1" applyFont="1" applyAlignment="1">
      <alignment horizontal="left"/>
    </xf>
    <xf numFmtId="0" fontId="26" fillId="0" borderId="0" xfId="0" quotePrefix="1" applyFont="1" applyAlignment="1">
      <alignment horizontal="right"/>
    </xf>
    <xf numFmtId="170" fontId="0" fillId="0" borderId="0" xfId="0" applyNumberFormat="1"/>
    <xf numFmtId="0" fontId="28" fillId="0" borderId="0" xfId="0" quotePrefix="1" applyFont="1" applyAlignment="1">
      <alignment horizontal="right"/>
    </xf>
    <xf numFmtId="6" fontId="0" fillId="2" borderId="5" xfId="0" applyNumberFormat="1" applyFill="1" applyBorder="1" applyAlignment="1">
      <alignment horizontal="center"/>
    </xf>
    <xf numFmtId="6" fontId="24" fillId="2" borderId="9" xfId="0" applyNumberFormat="1" applyFont="1" applyFill="1" applyBorder="1" applyAlignment="1">
      <alignment horizontal="center"/>
    </xf>
    <xf numFmtId="0" fontId="24" fillId="2" borderId="18" xfId="0" applyFont="1" applyFill="1" applyBorder="1" applyAlignment="1">
      <alignment horizontal="right"/>
    </xf>
    <xf numFmtId="0" fontId="27" fillId="2" borderId="18" xfId="0" applyFont="1" applyFill="1" applyBorder="1" applyAlignment="1">
      <alignment horizontal="center"/>
    </xf>
    <xf numFmtId="0" fontId="0" fillId="2" borderId="22" xfId="0" applyFill="1" applyBorder="1"/>
    <xf numFmtId="0" fontId="1" fillId="2" borderId="15" xfId="0" applyFont="1" applyFill="1" applyBorder="1"/>
    <xf numFmtId="0" fontId="29" fillId="0" borderId="0" xfId="0" applyFont="1" applyAlignment="1">
      <alignment horizontal="center"/>
    </xf>
    <xf numFmtId="169" fontId="10" fillId="0" borderId="0" xfId="0" applyNumberFormat="1" applyFont="1" applyAlignment="1">
      <alignment horizontal="center"/>
    </xf>
    <xf numFmtId="9" fontId="10" fillId="0" borderId="0" xfId="4" applyFont="1"/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2" borderId="13" xfId="0" applyFont="1" applyFill="1" applyBorder="1"/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14" fillId="0" borderId="22" xfId="0" applyNumberFormat="1" applyFont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4" fontId="0" fillId="3" borderId="5" xfId="0" applyNumberFormat="1" applyFill="1" applyBorder="1" applyAlignment="1">
      <alignment horizontal="center"/>
    </xf>
    <xf numFmtId="171" fontId="0" fillId="3" borderId="19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171" fontId="0" fillId="3" borderId="2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3" fontId="0" fillId="0" borderId="22" xfId="0" applyNumberFormat="1" applyBorder="1"/>
    <xf numFmtId="4" fontId="0" fillId="0" borderId="9" xfId="0" applyNumberFormat="1" applyBorder="1" applyAlignment="1">
      <alignment horizontal="center"/>
    </xf>
    <xf numFmtId="0" fontId="25" fillId="2" borderId="13" xfId="0" applyFont="1" applyFill="1" applyBorder="1"/>
    <xf numFmtId="3" fontId="19" fillId="0" borderId="0" xfId="0" applyNumberFormat="1" applyFont="1"/>
    <xf numFmtId="9" fontId="0" fillId="0" borderId="0" xfId="0" applyNumberFormat="1"/>
    <xf numFmtId="2" fontId="0" fillId="0" borderId="0" xfId="0" applyNumberFormat="1"/>
    <xf numFmtId="169" fontId="0" fillId="0" borderId="0" xfId="0" applyNumberFormat="1"/>
    <xf numFmtId="0" fontId="0" fillId="3" borderId="19" xfId="0" applyFill="1" applyBorder="1" applyAlignment="1">
      <alignment horizontal="center"/>
    </xf>
    <xf numFmtId="171" fontId="0" fillId="0" borderId="0" xfId="0" applyNumberFormat="1" applyAlignment="1">
      <alignment horizontal="center"/>
    </xf>
    <xf numFmtId="4" fontId="0" fillId="3" borderId="0" xfId="0" applyNumberFormat="1" applyFill="1" applyAlignment="1">
      <alignment horizontal="center"/>
    </xf>
    <xf numFmtId="169" fontId="0" fillId="3" borderId="19" xfId="0" applyNumberFormat="1" applyFill="1" applyBorder="1" applyAlignment="1">
      <alignment horizontal="center"/>
    </xf>
    <xf numFmtId="169" fontId="0" fillId="3" borderId="21" xfId="0" applyNumberFormat="1" applyFill="1" applyBorder="1" applyAlignment="1">
      <alignment horizontal="center"/>
    </xf>
    <xf numFmtId="9" fontId="0" fillId="0" borderId="1" xfId="4" applyFon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9" fillId="2" borderId="0" xfId="0" applyFont="1" applyFill="1"/>
    <xf numFmtId="0" fontId="9" fillId="2" borderId="14" xfId="0" applyFont="1" applyFill="1" applyBorder="1"/>
    <xf numFmtId="0" fontId="23" fillId="2" borderId="0" xfId="0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0" fontId="25" fillId="2" borderId="0" xfId="0" applyFont="1" applyFill="1"/>
    <xf numFmtId="172" fontId="25" fillId="2" borderId="0" xfId="2" applyNumberFormat="1" applyFont="1" applyFill="1" applyBorder="1"/>
    <xf numFmtId="0" fontId="30" fillId="0" borderId="0" xfId="0" applyFont="1"/>
    <xf numFmtId="3" fontId="30" fillId="0" borderId="0" xfId="0" applyNumberFormat="1" applyFont="1"/>
    <xf numFmtId="0" fontId="14" fillId="0" borderId="0" xfId="0" applyFont="1" applyAlignment="1">
      <alignment horizontal="right"/>
    </xf>
    <xf numFmtId="3" fontId="0" fillId="3" borderId="0" xfId="0" applyNumberFormat="1" applyFill="1"/>
    <xf numFmtId="0" fontId="14" fillId="2" borderId="0" xfId="0" applyFont="1" applyFill="1"/>
    <xf numFmtId="2" fontId="10" fillId="0" borderId="0" xfId="0" applyNumberFormat="1" applyFont="1"/>
    <xf numFmtId="3" fontId="0" fillId="2" borderId="20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9" xfId="0" applyNumberFormat="1" applyBorder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2" xfId="0" applyFill="1" applyBorder="1"/>
    <xf numFmtId="0" fontId="0" fillId="3" borderId="9" xfId="0" applyFill="1" applyBorder="1"/>
    <xf numFmtId="2" fontId="0" fillId="3" borderId="1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horizontal="right"/>
    </xf>
    <xf numFmtId="173" fontId="10" fillId="0" borderId="0" xfId="0" applyNumberFormat="1" applyFont="1"/>
    <xf numFmtId="166" fontId="0" fillId="2" borderId="19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4" fontId="10" fillId="0" borderId="0" xfId="0" applyNumberFormat="1" applyFont="1"/>
    <xf numFmtId="0" fontId="0" fillId="3" borderId="18" xfId="0" applyFill="1" applyBorder="1"/>
    <xf numFmtId="164" fontId="0" fillId="2" borderId="20" xfId="0" applyNumberFormat="1" applyFill="1" applyBorder="1" applyAlignment="1">
      <alignment horizontal="left"/>
    </xf>
    <xf numFmtId="164" fontId="0" fillId="2" borderId="19" xfId="0" applyNumberFormat="1" applyFill="1" applyBorder="1" applyAlignment="1">
      <alignment horizontal="left"/>
    </xf>
    <xf numFmtId="164" fontId="0" fillId="2" borderId="21" xfId="0" applyNumberFormat="1" applyFill="1" applyBorder="1" applyAlignment="1">
      <alignment horizontal="left"/>
    </xf>
    <xf numFmtId="171" fontId="10" fillId="2" borderId="13" xfId="0" applyNumberFormat="1" applyFont="1" applyFill="1" applyBorder="1"/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0" borderId="2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14" fillId="0" borderId="0" xfId="0" quotePrefix="1" applyFont="1" applyAlignment="1">
      <alignment horizontal="right"/>
    </xf>
    <xf numFmtId="0" fontId="24" fillId="6" borderId="0" xfId="0" applyFont="1" applyFill="1" applyAlignment="1">
      <alignment horizontal="left"/>
    </xf>
    <xf numFmtId="2" fontId="0" fillId="2" borderId="0" xfId="0" applyNumberFormat="1" applyFill="1" applyAlignment="1">
      <alignment horizontal="left"/>
    </xf>
    <xf numFmtId="4" fontId="0" fillId="6" borderId="0" xfId="0" applyNumberFormat="1" applyFill="1" applyAlignment="1">
      <alignment horizontal="left"/>
    </xf>
    <xf numFmtId="166" fontId="0" fillId="6" borderId="0" xfId="0" applyNumberFormat="1" applyFill="1" applyAlignment="1">
      <alignment horizontal="left"/>
    </xf>
    <xf numFmtId="4" fontId="0" fillId="0" borderId="0" xfId="0" applyNumberFormat="1" applyAlignment="1">
      <alignment horizontal="left"/>
    </xf>
    <xf numFmtId="9" fontId="0" fillId="2" borderId="0" xfId="0" applyNumberFormat="1" applyFill="1" applyAlignment="1">
      <alignment horizontal="center"/>
    </xf>
    <xf numFmtId="0" fontId="23" fillId="2" borderId="0" xfId="0" applyFont="1" applyFill="1"/>
    <xf numFmtId="4" fontId="0" fillId="2" borderId="5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9" fontId="25" fillId="2" borderId="0" xfId="0" applyNumberFormat="1" applyFont="1" applyFill="1"/>
    <xf numFmtId="165" fontId="0" fillId="0" borderId="0" xfId="0" applyNumberFormat="1" applyAlignment="1">
      <alignment horizontal="left"/>
    </xf>
    <xf numFmtId="0" fontId="0" fillId="6" borderId="0" xfId="0" applyFill="1" applyAlignment="1">
      <alignment horizontal="center"/>
    </xf>
    <xf numFmtId="6" fontId="0" fillId="2" borderId="0" xfId="0" applyNumberFormat="1" applyFill="1" applyAlignment="1">
      <alignment horizontal="center"/>
    </xf>
    <xf numFmtId="6" fontId="0" fillId="2" borderId="19" xfId="0" applyNumberFormat="1" applyFill="1" applyBorder="1" applyAlignment="1">
      <alignment horizontal="center"/>
    </xf>
    <xf numFmtId="6" fontId="0" fillId="2" borderId="2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3" fontId="0" fillId="0" borderId="0" xfId="0" applyNumberFormat="1" applyAlignment="1">
      <alignment horizontal="centerContinuous"/>
    </xf>
    <xf numFmtId="164" fontId="0" fillId="6" borderId="0" xfId="0" applyNumberFormat="1" applyFill="1" applyAlignment="1">
      <alignment horizontal="center"/>
    </xf>
    <xf numFmtId="174" fontId="0" fillId="6" borderId="0" xfId="0" applyNumberFormat="1" applyFill="1" applyAlignment="1">
      <alignment horizontal="left"/>
    </xf>
    <xf numFmtId="0" fontId="0" fillId="6" borderId="0" xfId="0" applyFill="1" applyAlignment="1">
      <alignment horizontal="right"/>
    </xf>
    <xf numFmtId="8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74" fontId="0" fillId="6" borderId="0" xfId="0" applyNumberFormat="1" applyFill="1" applyAlignment="1">
      <alignment horizontal="center"/>
    </xf>
    <xf numFmtId="173" fontId="0" fillId="6" borderId="5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7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73" fontId="0" fillId="6" borderId="7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Continuous"/>
    </xf>
    <xf numFmtId="168" fontId="0" fillId="6" borderId="0" xfId="0" applyNumberFormat="1" applyFill="1" applyAlignment="1">
      <alignment horizontal="center"/>
    </xf>
    <xf numFmtId="6" fontId="0" fillId="6" borderId="0" xfId="0" applyNumberFormat="1" applyFill="1"/>
    <xf numFmtId="8" fontId="0" fillId="6" borderId="5" xfId="0" applyNumberFormat="1" applyFill="1" applyBorder="1" applyAlignment="1">
      <alignment horizontal="center"/>
    </xf>
    <xf numFmtId="168" fontId="0" fillId="6" borderId="1" xfId="0" applyNumberFormat="1" applyFill="1" applyBorder="1" applyAlignment="1">
      <alignment horizontal="center"/>
    </xf>
    <xf numFmtId="6" fontId="0" fillId="6" borderId="1" xfId="0" applyNumberFormat="1" applyFill="1" applyBorder="1"/>
    <xf numFmtId="8" fontId="0" fillId="6" borderId="7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2" borderId="8" xfId="0" applyNumberFormat="1" applyFill="1" applyBorder="1" applyAlignment="1">
      <alignment horizontal="center"/>
    </xf>
    <xf numFmtId="166" fontId="0" fillId="0" borderId="8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38" fontId="0" fillId="2" borderId="0" xfId="0" applyNumberFormat="1" applyFill="1" applyAlignment="1">
      <alignment horizontal="center"/>
    </xf>
    <xf numFmtId="173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6" fontId="0" fillId="2" borderId="8" xfId="0" applyNumberFormat="1" applyFill="1" applyBorder="1" applyAlignment="1">
      <alignment horizontal="center"/>
    </xf>
    <xf numFmtId="38" fontId="0" fillId="2" borderId="22" xfId="0" applyNumberFormat="1" applyFill="1" applyBorder="1" applyAlignment="1">
      <alignment horizontal="center"/>
    </xf>
    <xf numFmtId="173" fontId="0" fillId="0" borderId="8" xfId="0" applyNumberFormat="1" applyBorder="1" applyAlignment="1">
      <alignment horizontal="center"/>
    </xf>
    <xf numFmtId="165" fontId="0" fillId="3" borderId="22" xfId="0" applyNumberForma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2" borderId="7" xfId="0" applyNumberFormat="1" applyFill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167" fontId="0" fillId="3" borderId="3" xfId="4" applyNumberFormat="1" applyFont="1" applyFill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67" fontId="0" fillId="3" borderId="5" xfId="4" applyNumberFormat="1" applyFont="1" applyFill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167" fontId="0" fillId="3" borderId="7" xfId="4" applyNumberFormat="1" applyFont="1" applyFill="1" applyBorder="1" applyAlignment="1">
      <alignment horizontal="center"/>
    </xf>
    <xf numFmtId="174" fontId="0" fillId="3" borderId="0" xfId="0" applyNumberFormat="1" applyFill="1" applyAlignment="1">
      <alignment horizontal="left"/>
    </xf>
    <xf numFmtId="0" fontId="0" fillId="5" borderId="18" xfId="0" applyFill="1" applyBorder="1"/>
    <xf numFmtId="0" fontId="0" fillId="5" borderId="22" xfId="0" applyFill="1" applyBorder="1"/>
    <xf numFmtId="165" fontId="0" fillId="0" borderId="23" xfId="0" applyNumberFormat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6" fontId="0" fillId="5" borderId="23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6" fontId="0" fillId="5" borderId="1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6" fontId="0" fillId="5" borderId="0" xfId="0" applyNumberFormat="1" applyFill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4" xfId="0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32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quotePrefix="1" applyBorder="1" applyAlignment="1">
      <alignment horizontal="center"/>
    </xf>
    <xf numFmtId="0" fontId="0" fillId="0" borderId="4" xfId="0" applyBorder="1"/>
    <xf numFmtId="9" fontId="0" fillId="2" borderId="4" xfId="0" applyNumberFormat="1" applyFill="1" applyBorder="1" applyAlignment="1">
      <alignment horizontal="center"/>
    </xf>
    <xf numFmtId="0" fontId="0" fillId="0" borderId="6" xfId="0" applyBorder="1"/>
    <xf numFmtId="0" fontId="0" fillId="0" borderId="2" xfId="0" quotePrefix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164" fontId="0" fillId="3" borderId="16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20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6" fontId="0" fillId="0" borderId="20" xfId="0" applyNumberFormat="1" applyBorder="1" applyAlignment="1">
      <alignment horizontal="center"/>
    </xf>
    <xf numFmtId="165" fontId="0" fillId="5" borderId="23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3" fontId="0" fillId="5" borderId="23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9" fontId="0" fillId="0" borderId="4" xfId="0" applyNumberFormat="1" applyBorder="1" applyAlignment="1">
      <alignment horizontal="center"/>
    </xf>
    <xf numFmtId="3" fontId="0" fillId="5" borderId="0" xfId="0" applyNumberFormat="1" applyFill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0" fontId="1" fillId="2" borderId="0" xfId="0" applyFont="1" applyFill="1" applyAlignment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 applyAlignment="1">
      <alignment horizontal="centerContinuous"/>
    </xf>
    <xf numFmtId="0" fontId="0" fillId="2" borderId="19" xfId="0" applyFill="1" applyBorder="1" applyAlignment="1">
      <alignment textRotation="90" wrapText="1"/>
    </xf>
    <xf numFmtId="3" fontId="0" fillId="5" borderId="0" xfId="0" applyNumberFormat="1" applyFill="1" applyAlignment="1">
      <alignment horizontal="left"/>
    </xf>
    <xf numFmtId="0" fontId="0" fillId="5" borderId="0" xfId="0" applyFill="1" applyAlignment="1">
      <alignment horizontal="center"/>
    </xf>
    <xf numFmtId="3" fontId="0" fillId="5" borderId="24" xfId="0" applyNumberFormat="1" applyFill="1" applyBorder="1" applyAlignment="1">
      <alignment horizontal="center"/>
    </xf>
    <xf numFmtId="3" fontId="0" fillId="5" borderId="0" xfId="0" applyNumberFormat="1" applyFill="1"/>
    <xf numFmtId="175" fontId="10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center"/>
    </xf>
    <xf numFmtId="3" fontId="0" fillId="0" borderId="0" xfId="0" quotePrefix="1" applyNumberFormat="1" applyAlignment="1">
      <alignment horizontal="right"/>
    </xf>
    <xf numFmtId="175" fontId="0" fillId="5" borderId="0" xfId="0" applyNumberFormat="1" applyFill="1" applyAlignment="1">
      <alignment horizontal="left"/>
    </xf>
    <xf numFmtId="175" fontId="0" fillId="6" borderId="0" xfId="0" applyNumberFormat="1" applyFill="1" applyAlignment="1">
      <alignment horizontal="left"/>
    </xf>
    <xf numFmtId="14" fontId="0" fillId="2" borderId="0" xfId="0" applyNumberFormat="1" applyFill="1"/>
    <xf numFmtId="0" fontId="0" fillId="2" borderId="23" xfId="0" applyFill="1" applyBorder="1" applyAlignment="1">
      <alignment horizontal="left"/>
    </xf>
    <xf numFmtId="0" fontId="1" fillId="0" borderId="2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165" fontId="0" fillId="5" borderId="2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0" fillId="0" borderId="6" xfId="0" applyBorder="1" applyAlignment="1">
      <alignment horizontal="right"/>
    </xf>
    <xf numFmtId="165" fontId="0" fillId="5" borderId="7" xfId="0" applyNumberFormat="1" applyFill="1" applyBorder="1" applyAlignment="1">
      <alignment horizontal="center"/>
    </xf>
    <xf numFmtId="0" fontId="0" fillId="0" borderId="8" xfId="0" applyBorder="1" applyAlignment="1">
      <alignment horizontal="right"/>
    </xf>
    <xf numFmtId="165" fontId="0" fillId="5" borderId="8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9" fontId="0" fillId="2" borderId="8" xfId="0" applyNumberFormat="1" applyFill="1" applyBorder="1"/>
    <xf numFmtId="0" fontId="1" fillId="0" borderId="6" xfId="0" applyFont="1" applyBorder="1" applyAlignment="1">
      <alignment horizontal="center"/>
    </xf>
    <xf numFmtId="3" fontId="0" fillId="5" borderId="20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5" borderId="21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9" fillId="2" borderId="18" xfId="0" applyFont="1" applyFill="1" applyBorder="1" applyAlignment="1">
      <alignment horizontal="centerContinuous"/>
    </xf>
    <xf numFmtId="0" fontId="0" fillId="2" borderId="20" xfId="0" applyFill="1" applyBorder="1"/>
    <xf numFmtId="0" fontId="0" fillId="2" borderId="23" xfId="0" applyFill="1" applyBorder="1" applyAlignment="1">
      <alignment horizontal="centerContinuous"/>
    </xf>
    <xf numFmtId="0" fontId="0" fillId="2" borderId="21" xfId="0" applyFill="1" applyBorder="1"/>
    <xf numFmtId="0" fontId="0" fillId="2" borderId="19" xfId="0" applyFill="1" applyBorder="1"/>
    <xf numFmtId="169" fontId="0" fillId="2" borderId="4" xfId="0" applyNumberForma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169" fontId="0" fillId="3" borderId="0" xfId="0" applyNumberFormat="1" applyFill="1" applyAlignment="1">
      <alignment horizontal="left"/>
    </xf>
    <xf numFmtId="169" fontId="0" fillId="2" borderId="6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2" fontId="0" fillId="3" borderId="0" xfId="0" applyNumberFormat="1" applyFill="1"/>
    <xf numFmtId="165" fontId="0" fillId="5" borderId="0" xfId="0" applyNumberFormat="1" applyFill="1" applyAlignment="1">
      <alignment horizontal="left"/>
    </xf>
    <xf numFmtId="9" fontId="0" fillId="2" borderId="1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5" borderId="0" xfId="0" applyFill="1" applyAlignment="1">
      <alignment horizontal="left"/>
    </xf>
    <xf numFmtId="6" fontId="0" fillId="5" borderId="0" xfId="0" applyNumberFormat="1" applyFill="1" applyAlignment="1">
      <alignment horizontal="left"/>
    </xf>
    <xf numFmtId="0" fontId="0" fillId="2" borderId="18" xfId="0" applyFill="1" applyBorder="1"/>
    <xf numFmtId="3" fontId="0" fillId="2" borderId="9" xfId="0" applyNumberFormat="1" applyFill="1" applyBorder="1" applyAlignment="1">
      <alignment horizontal="centerContinuous"/>
    </xf>
    <xf numFmtId="3" fontId="0" fillId="2" borderId="9" xfId="0" applyNumberFormat="1" applyFill="1" applyBorder="1"/>
    <xf numFmtId="6" fontId="0" fillId="5" borderId="0" xfId="0" applyNumberFormat="1" applyFill="1"/>
    <xf numFmtId="0" fontId="0" fillId="0" borderId="0" xfId="0" quotePrefix="1" applyAlignment="1">
      <alignment horizontal="center"/>
    </xf>
    <xf numFmtId="6" fontId="0" fillId="2" borderId="18" xfId="0" applyNumberFormat="1" applyFill="1" applyBorder="1" applyAlignment="1">
      <alignment horizontal="centerContinuous"/>
    </xf>
    <xf numFmtId="3" fontId="0" fillId="0" borderId="23" xfId="0" applyNumberFormat="1" applyBorder="1" applyAlignment="1">
      <alignment horizontal="center"/>
    </xf>
    <xf numFmtId="0" fontId="0" fillId="2" borderId="5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3" fontId="12" fillId="0" borderId="22" xfId="0" applyNumberFormat="1" applyFont="1" applyBorder="1" applyAlignment="1">
      <alignment horizontal="right"/>
    </xf>
    <xf numFmtId="3" fontId="0" fillId="5" borderId="8" xfId="0" applyNumberForma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Continuous"/>
    </xf>
    <xf numFmtId="3" fontId="0" fillId="5" borderId="23" xfId="0" applyNumberFormat="1" applyFill="1" applyBorder="1"/>
    <xf numFmtId="3" fontId="0" fillId="5" borderId="3" xfId="0" applyNumberFormat="1" applyFill="1" applyBorder="1"/>
    <xf numFmtId="3" fontId="0" fillId="5" borderId="5" xfId="0" applyNumberFormat="1" applyFill="1" applyBorder="1"/>
    <xf numFmtId="3" fontId="0" fillId="5" borderId="1" xfId="0" applyNumberFormat="1" applyFill="1" applyBorder="1"/>
    <xf numFmtId="3" fontId="0" fillId="5" borderId="7" xfId="0" applyNumberFormat="1" applyFill="1" applyBorder="1"/>
    <xf numFmtId="2" fontId="0" fillId="5" borderId="0" xfId="0" applyNumberFormat="1" applyFill="1" applyAlignment="1">
      <alignment horizontal="left"/>
    </xf>
    <xf numFmtId="2" fontId="0" fillId="6" borderId="0" xfId="0" applyNumberFormat="1" applyFill="1" applyAlignment="1">
      <alignment horizontal="left"/>
    </xf>
    <xf numFmtId="0" fontId="0" fillId="2" borderId="19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176" fontId="0" fillId="3" borderId="0" xfId="0" applyNumberFormat="1" applyFill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176" fontId="0" fillId="3" borderId="22" xfId="0" applyNumberFormat="1" applyFill="1" applyBorder="1" applyAlignment="1">
      <alignment horizontal="center"/>
    </xf>
    <xf numFmtId="176" fontId="0" fillId="3" borderId="8" xfId="0" applyNumberFormat="1" applyFill="1" applyBorder="1" applyAlignment="1">
      <alignment horizontal="center"/>
    </xf>
    <xf numFmtId="171" fontId="0" fillId="3" borderId="20" xfId="0" applyNumberFormat="1" applyFill="1" applyBorder="1" applyAlignment="1">
      <alignment horizontal="center"/>
    </xf>
    <xf numFmtId="171" fontId="0" fillId="3" borderId="2" xfId="0" applyNumberFormat="1" applyFill="1" applyBorder="1" applyAlignment="1">
      <alignment horizontal="center"/>
    </xf>
    <xf numFmtId="171" fontId="0" fillId="3" borderId="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2" borderId="22" xfId="0" applyNumberFormat="1" applyFill="1" applyBorder="1" applyAlignment="1">
      <alignment horizontal="center"/>
    </xf>
    <xf numFmtId="177" fontId="10" fillId="0" borderId="0" xfId="0" applyNumberFormat="1" applyFont="1" applyAlignment="1">
      <alignment horizontal="left"/>
    </xf>
    <xf numFmtId="178" fontId="0" fillId="2" borderId="5" xfId="0" applyNumberFormat="1" applyFill="1" applyBorder="1" applyAlignment="1">
      <alignment horizontal="center"/>
    </xf>
    <xf numFmtId="178" fontId="0" fillId="2" borderId="7" xfId="0" applyNumberFormat="1" applyFill="1" applyBorder="1" applyAlignment="1">
      <alignment horizontal="center"/>
    </xf>
    <xf numFmtId="178" fontId="0" fillId="3" borderId="0" xfId="4" applyNumberFormat="1" applyFont="1" applyFill="1" applyAlignment="1">
      <alignment horizontal="left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7" fontId="0" fillId="3" borderId="0" xfId="4" applyNumberFormat="1" applyFont="1" applyFill="1" applyAlignment="1">
      <alignment horizontal="left"/>
    </xf>
    <xf numFmtId="167" fontId="0" fillId="3" borderId="0" xfId="0" applyNumberFormat="1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6" fontId="0" fillId="2" borderId="30" xfId="0" applyNumberFormat="1" applyFill="1" applyBorder="1" applyAlignment="1">
      <alignment horizontal="left"/>
    </xf>
    <xf numFmtId="9" fontId="0" fillId="2" borderId="33" xfId="0" applyNumberFormat="1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65" fontId="24" fillId="7" borderId="0" xfId="0" applyNumberFormat="1" applyFont="1" applyFill="1" applyAlignment="1">
      <alignment horizontal="center"/>
    </xf>
    <xf numFmtId="6" fontId="0" fillId="2" borderId="33" xfId="0" applyNumberFormat="1" applyFill="1" applyBorder="1" applyAlignment="1">
      <alignment horizontal="left"/>
    </xf>
    <xf numFmtId="167" fontId="0" fillId="5" borderId="0" xfId="0" applyNumberFormat="1" applyFill="1" applyAlignment="1">
      <alignment horizontal="center"/>
    </xf>
    <xf numFmtId="2" fontId="24" fillId="7" borderId="0" xfId="0" applyNumberFormat="1" applyFont="1" applyFill="1" applyAlignment="1">
      <alignment horizontal="center"/>
    </xf>
    <xf numFmtId="167" fontId="0" fillId="2" borderId="36" xfId="0" applyNumberFormat="1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66" fontId="0" fillId="5" borderId="0" xfId="0" applyNumberFormat="1" applyFill="1" applyAlignment="1">
      <alignment horizontal="center"/>
    </xf>
    <xf numFmtId="0" fontId="0" fillId="2" borderId="36" xfId="0" applyFill="1" applyBorder="1" applyAlignment="1">
      <alignment horizontal="left"/>
    </xf>
    <xf numFmtId="0" fontId="0" fillId="8" borderId="0" xfId="0" applyFill="1" applyAlignment="1">
      <alignment horizontal="center"/>
    </xf>
    <xf numFmtId="0" fontId="0" fillId="2" borderId="32" xfId="0" applyFill="1" applyBorder="1" applyAlignment="1">
      <alignment horizontal="centerContinuous"/>
    </xf>
    <xf numFmtId="0" fontId="0" fillId="2" borderId="33" xfId="0" applyFill="1" applyBorder="1" applyAlignment="1">
      <alignment horizontal="centerContinuous"/>
    </xf>
    <xf numFmtId="0" fontId="0" fillId="2" borderId="35" xfId="0" applyFill="1" applyBorder="1" applyAlignment="1">
      <alignment horizontal="centerContinuous"/>
    </xf>
    <xf numFmtId="0" fontId="0" fillId="2" borderId="36" xfId="0" applyFill="1" applyBorder="1" applyAlignment="1">
      <alignment horizontal="centerContinuous"/>
    </xf>
    <xf numFmtId="0" fontId="0" fillId="2" borderId="29" xfId="0" applyFill="1" applyBorder="1" applyAlignment="1">
      <alignment horizontal="centerContinuous"/>
    </xf>
    <xf numFmtId="0" fontId="0" fillId="2" borderId="30" xfId="0" applyFill="1" applyBorder="1" applyAlignment="1">
      <alignment horizontal="centerContinuous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166" fontId="0" fillId="2" borderId="38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24" xfId="0" applyBorder="1"/>
    <xf numFmtId="165" fontId="24" fillId="7" borderId="24" xfId="0" applyNumberFormat="1" applyFont="1" applyFill="1" applyBorder="1" applyAlignment="1">
      <alignment horizontal="center"/>
    </xf>
    <xf numFmtId="166" fontId="0" fillId="2" borderId="41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66" fontId="0" fillId="2" borderId="44" xfId="0" applyNumberFormat="1" applyFill="1" applyBorder="1" applyAlignment="1">
      <alignment horizontal="center" vertical="top"/>
    </xf>
    <xf numFmtId="0" fontId="0" fillId="2" borderId="43" xfId="0" applyFill="1" applyBorder="1" applyAlignment="1">
      <alignment horizontal="center" vertical="top"/>
    </xf>
    <xf numFmtId="0" fontId="0" fillId="2" borderId="45" xfId="0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wrapText="1"/>
    </xf>
    <xf numFmtId="4" fontId="0" fillId="5" borderId="0" xfId="0" applyNumberFormat="1" applyFill="1" applyAlignment="1">
      <alignment horizontal="center"/>
    </xf>
    <xf numFmtId="0" fontId="0" fillId="2" borderId="24" xfId="0" applyFill="1" applyBorder="1" applyAlignment="1">
      <alignment horizontal="center"/>
    </xf>
    <xf numFmtId="167" fontId="0" fillId="5" borderId="24" xfId="0" applyNumberFormat="1" applyFill="1" applyBorder="1" applyAlignment="1">
      <alignment horizontal="center"/>
    </xf>
    <xf numFmtId="2" fontId="24" fillId="7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8" xfId="0" applyFill="1" applyBorder="1"/>
    <xf numFmtId="0" fontId="0" fillId="2" borderId="29" xfId="0" applyFill="1" applyBorder="1" applyAlignment="1">
      <alignment horizontal="left"/>
    </xf>
    <xf numFmtId="0" fontId="0" fillId="2" borderId="31" xfId="0" applyFill="1" applyBorder="1"/>
    <xf numFmtId="0" fontId="0" fillId="2" borderId="32" xfId="0" applyFill="1" applyBorder="1" applyAlignment="1">
      <alignment horizontal="left"/>
    </xf>
    <xf numFmtId="3" fontId="0" fillId="2" borderId="31" xfId="0" applyNumberFormat="1" applyFill="1" applyBorder="1"/>
    <xf numFmtId="3" fontId="0" fillId="2" borderId="34" xfId="0" applyNumberFormat="1" applyFill="1" applyBorder="1"/>
    <xf numFmtId="0" fontId="0" fillId="2" borderId="35" xfId="0" applyFill="1" applyBorder="1" applyAlignment="1">
      <alignment horizontal="left"/>
    </xf>
    <xf numFmtId="0" fontId="0" fillId="2" borderId="34" xfId="0" applyFill="1" applyBorder="1"/>
    <xf numFmtId="0" fontId="0" fillId="2" borderId="8" xfId="0" applyFill="1" applyBorder="1" applyAlignment="1">
      <alignment horizontal="centerContinuous"/>
    </xf>
    <xf numFmtId="0" fontId="0" fillId="2" borderId="31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9" fillId="2" borderId="22" xfId="0" applyFont="1" applyFill="1" applyBorder="1" applyAlignment="1">
      <alignment horizontal="centerContinuous"/>
    </xf>
    <xf numFmtId="0" fontId="19" fillId="2" borderId="9" xfId="0" applyFont="1" applyFill="1" applyBorder="1" applyAlignment="1">
      <alignment horizontal="centerContinuous"/>
    </xf>
    <xf numFmtId="6" fontId="0" fillId="2" borderId="36" xfId="0" applyNumberFormat="1" applyFill="1" applyBorder="1" applyAlignment="1">
      <alignment horizontal="left"/>
    </xf>
    <xf numFmtId="0" fontId="1" fillId="2" borderId="2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2" fontId="0" fillId="2" borderId="40" xfId="0" applyNumberFormat="1" applyFill="1" applyBorder="1" applyAlignment="1">
      <alignment horizontal="center"/>
    </xf>
    <xf numFmtId="0" fontId="19" fillId="0" borderId="0" xfId="0" applyFont="1" applyAlignment="1">
      <alignment horizontal="center"/>
    </xf>
    <xf numFmtId="9" fontId="0" fillId="2" borderId="3" xfId="0" applyNumberFormat="1" applyFill="1" applyBorder="1" applyAlignment="1">
      <alignment horizontal="center"/>
    </xf>
    <xf numFmtId="6" fontId="0" fillId="3" borderId="19" xfId="0" applyNumberFormat="1" applyFill="1" applyBorder="1" applyAlignment="1">
      <alignment horizontal="center"/>
    </xf>
    <xf numFmtId="10" fontId="0" fillId="3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6" fontId="0" fillId="3" borderId="21" xfId="0" applyNumberFormat="1" applyFill="1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4" fillId="0" borderId="0" xfId="0" applyFont="1"/>
    <xf numFmtId="3" fontId="1" fillId="2" borderId="15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1" xfId="1" applyFill="1" applyBorder="1" applyAlignment="1">
      <alignment horizontal="right"/>
    </xf>
    <xf numFmtId="0" fontId="5" fillId="2" borderId="12" xfId="1" applyFill="1" applyBorder="1" applyAlignment="1">
      <alignment horizontal="right"/>
    </xf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right" textRotation="90"/>
    </xf>
    <xf numFmtId="0" fontId="0" fillId="2" borderId="0" xfId="0" applyFill="1" applyAlignment="1">
      <alignment horizontal="right" textRotation="90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Quantile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Predicted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GLM_Quantiles!$I$29:$I$33</c:f>
              <c:numCache>
                <c:formatCode>0.0000</c:formatCode>
                <c:ptCount val="5"/>
                <c:pt idx="0">
                  <c:v>0.40495032833810407</c:v>
                </c:pt>
                <c:pt idx="1">
                  <c:v>0.62552618285906725</c:v>
                </c:pt>
                <c:pt idx="2">
                  <c:v>1.1626536453948477</c:v>
                </c:pt>
                <c:pt idx="3">
                  <c:v>1.2594712914632094</c:v>
                </c:pt>
                <c:pt idx="4">
                  <c:v>1.5473985519447719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2B1-843F-8DDF909D6F1D}"/>
            </c:ext>
          </c:extLst>
        </c:ser>
        <c:ser>
          <c:idx val="1"/>
          <c:order val="1"/>
          <c:tx>
            <c:v>Average Actual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GLM_Quantiles!$J$29:$J$33</c:f>
              <c:numCache>
                <c:formatCode>0.0000</c:formatCode>
                <c:ptCount val="5"/>
                <c:pt idx="0">
                  <c:v>0.30729078969523488</c:v>
                </c:pt>
                <c:pt idx="1">
                  <c:v>0.9622832126620644</c:v>
                </c:pt>
                <c:pt idx="2">
                  <c:v>0.94797103889543699</c:v>
                </c:pt>
                <c:pt idx="3">
                  <c:v>0.65499242296682947</c:v>
                </c:pt>
                <c:pt idx="4">
                  <c:v>0.96059942751304939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2B1-843F-8DDF909D6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902712"/>
        <c:axId val="654903040"/>
      </c:lineChart>
      <c:catAx>
        <c:axId val="65490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03040"/>
        <c:crosses val="autoZero"/>
        <c:auto val="1"/>
        <c:lblAlgn val="ctr"/>
        <c:lblOffset val="100"/>
        <c:noMultiLvlLbl val="0"/>
      </c:catAx>
      <c:valAx>
        <c:axId val="6549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Relativity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0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Standard Double Lift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Model A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GLM_DLC!$T$18:$T$22</c:f>
              <c:numCache>
                <c:formatCode>0.000</c:formatCode>
                <c:ptCount val="5"/>
                <c:pt idx="0">
                  <c:v>1.1545372866127583</c:v>
                </c:pt>
                <c:pt idx="1">
                  <c:v>1.0781671159029649</c:v>
                </c:pt>
                <c:pt idx="2">
                  <c:v>1.1275831087151842</c:v>
                </c:pt>
                <c:pt idx="3">
                  <c:v>0.89398023360287515</c:v>
                </c:pt>
                <c:pt idx="4">
                  <c:v>0.74573225516621744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8-46DA-88B9-4A92BA52DEA1}"/>
            </c:ext>
          </c:extLst>
        </c:ser>
        <c:ser>
          <c:idx val="1"/>
          <c:order val="1"/>
          <c:tx>
            <c:v>Model B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GLM_DLC!$U$18:$U$22</c:f>
              <c:numCache>
                <c:formatCode>0.000</c:formatCode>
                <c:ptCount val="5"/>
                <c:pt idx="0">
                  <c:v>1.3262342691190707</c:v>
                </c:pt>
                <c:pt idx="1">
                  <c:v>1.0842207163601161</c:v>
                </c:pt>
                <c:pt idx="2">
                  <c:v>1.1084220716360116</c:v>
                </c:pt>
                <c:pt idx="3">
                  <c:v>0.82768635043562444</c:v>
                </c:pt>
                <c:pt idx="4">
                  <c:v>0.65343659244917718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8-46DA-88B9-4A92BA52DEA1}"/>
            </c:ext>
          </c:extLst>
        </c:ser>
        <c:ser>
          <c:idx val="2"/>
          <c:order val="2"/>
          <c:tx>
            <c:v>Actual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GLM_DLC!$V$18:$V$22</c:f>
              <c:numCache>
                <c:formatCode>0.000</c:formatCode>
                <c:ptCount val="5"/>
                <c:pt idx="0">
                  <c:v>1.1527904849039341</c:v>
                </c:pt>
                <c:pt idx="1">
                  <c:v>1.0612991765782251</c:v>
                </c:pt>
                <c:pt idx="2">
                  <c:v>1.1024702653247942</c:v>
                </c:pt>
                <c:pt idx="3">
                  <c:v>0.96065873741994512</c:v>
                </c:pt>
                <c:pt idx="4">
                  <c:v>0.72278133577310155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8-46DA-88B9-4A92BA52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44872"/>
        <c:axId val="560239952"/>
      </c:lineChart>
      <c:catAx>
        <c:axId val="56024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39952"/>
        <c:crosses val="autoZero"/>
        <c:auto val="1"/>
        <c:lblAlgn val="ctr"/>
        <c:lblOffset val="100"/>
        <c:noMultiLvlLbl val="0"/>
      </c:catAx>
      <c:valAx>
        <c:axId val="5602399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Normalized Relativity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4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Alternate Double Lift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Model A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GLM_DLC!$S$29:$S$33</c:f>
              <c:numCache>
                <c:formatCode>0.0%</c:formatCode>
                <c:ptCount val="5"/>
                <c:pt idx="0">
                  <c:v>1.9841269841269771E-2</c:v>
                </c:pt>
                <c:pt idx="1">
                  <c:v>3.4482758620689724E-2</c:v>
                </c:pt>
                <c:pt idx="2">
                  <c:v>4.1493775933610033E-2</c:v>
                </c:pt>
                <c:pt idx="3">
                  <c:v>-5.2380952380952417E-2</c:v>
                </c:pt>
                <c:pt idx="4">
                  <c:v>5.0632911392405111E-2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0-4A5E-994F-B9CC4114214C}"/>
            </c:ext>
          </c:extLst>
        </c:ser>
        <c:ser>
          <c:idx val="1"/>
          <c:order val="1"/>
          <c:tx>
            <c:v>Model B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GLM_DLC!$T$29:$T$33</c:f>
              <c:numCache>
                <c:formatCode>0.0%</c:formatCode>
                <c:ptCount val="5"/>
                <c:pt idx="0">
                  <c:v>8.7301587301587213E-2</c:v>
                </c:pt>
                <c:pt idx="1">
                  <c:v>-3.4482758620689613E-2</c:v>
                </c:pt>
                <c:pt idx="2">
                  <c:v>-4.9792531120331995E-2</c:v>
                </c:pt>
                <c:pt idx="3">
                  <c:v>-0.18571428571428572</c:v>
                </c:pt>
                <c:pt idx="4">
                  <c:v>-0.14556962025316456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0-4A5E-994F-B9CC4114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074960"/>
        <c:axId val="571079880"/>
      </c:lineChart>
      <c:catAx>
        <c:axId val="57107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Quintile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79880"/>
        <c:crosses val="autoZero"/>
        <c:auto val="1"/>
        <c:lblAlgn val="ctr"/>
        <c:lblOffset val="100"/>
        <c:noMultiLvlLbl val="0"/>
      </c:catAx>
      <c:valAx>
        <c:axId val="57107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7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Loss Ratio</a:t>
            </a:r>
            <a:r>
              <a:rPr lang="en-GB" baseline="0"/>
              <a:t>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GLM_LRChart!$V$6:$V$15</c:f>
              <c:numCache>
                <c:formatCode>0.0%</c:formatCode>
                <c:ptCount val="10"/>
                <c:pt idx="0">
                  <c:v>0.4924741298212606</c:v>
                </c:pt>
                <c:pt idx="1">
                  <c:v>0.51096033402922758</c:v>
                </c:pt>
                <c:pt idx="2">
                  <c:v>0.47955511939810269</c:v>
                </c:pt>
                <c:pt idx="3">
                  <c:v>0.56016177957532864</c:v>
                </c:pt>
                <c:pt idx="4">
                  <c:v>0.8985890652557319</c:v>
                </c:pt>
                <c:pt idx="5">
                  <c:v>0.8482142857142857</c:v>
                </c:pt>
                <c:pt idx="6">
                  <c:v>0.87685004188774085</c:v>
                </c:pt>
                <c:pt idx="7">
                  <c:v>0.84101987251593546</c:v>
                </c:pt>
                <c:pt idx="8">
                  <c:v>0.98290392487358536</c:v>
                </c:pt>
                <c:pt idx="9">
                  <c:v>1.0047357926221336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D6A-A037-CC8346B4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479448"/>
        <c:axId val="598480432"/>
      </c:barChart>
      <c:catAx>
        <c:axId val="59847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Decile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80432"/>
        <c:crosses val="autoZero"/>
        <c:auto val="1"/>
        <c:lblAlgn val="ctr"/>
        <c:lblOffset val="100"/>
        <c:noMultiLvlLbl val="0"/>
      </c:catAx>
      <c:valAx>
        <c:axId val="59848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Actual Loss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47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Aggregate Excess at an Entry</a:t>
            </a:r>
            <a:r>
              <a:rPr lang="en-GB" baseline="0"/>
              <a:t> Ratio of 1.2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Below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Fisher_Vert!$N$8:$N$17</c:f>
              <c:numCache>
                <c:formatCode>0.0</c:formatCode>
                <c:ptCount val="10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0-4022-BA1C-62FB40AB7E49}"/>
            </c:ext>
          </c:extLst>
        </c:ser>
        <c:ser>
          <c:idx val="1"/>
          <c:order val="1"/>
          <c:tx>
            <c:v>Above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Fisher_Vert!$O$8:$O$17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0.30000000000000004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022-BA1C-62FB40AB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913312"/>
        <c:axId val="540911672"/>
      </c:barChart>
      <c:lineChart>
        <c:grouping val="standard"/>
        <c:varyColors val="0"/>
        <c:ser>
          <c:idx val="2"/>
          <c:order val="2"/>
          <c:tx>
            <c:v>Entry Ratio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Fisher_Vert!$P$8:$P$17</c:f>
              <c:numCache>
                <c:formatCode>0%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cat>
          <c:val>
            <c:numRef>
              <c:f>Fisher_Vert!$M$8:$M$17</c:f>
              <c:numCache>
                <c:formatCode>General</c:formatCode>
                <c:ptCount val="1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0-4022-BA1C-62FB40AB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13312"/>
        <c:axId val="540911672"/>
      </c:lineChart>
      <c:catAx>
        <c:axId val="54091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1672"/>
        <c:crosses val="autoZero"/>
        <c:auto val="1"/>
        <c:lblAlgn val="ctr"/>
        <c:lblOffset val="100"/>
        <c:noMultiLvlLbl val="0"/>
      </c:catAx>
      <c:valAx>
        <c:axId val="5409116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</a:t>
                </a:r>
                <a:r>
                  <a:rPr lang="en-GB" baseline="0"/>
                  <a:t> Ratio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Horizontal Slices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Fisher_Horiz!$S$22:$AB$22</c:f>
              <c:numCache>
                <c:formatCode>0.00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8-4784-8B54-A7988097B226}"/>
            </c:ext>
          </c:extLst>
        </c:ser>
        <c:ser>
          <c:idx val="2"/>
          <c:order val="1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Fisher_Horiz!$S$23:$AB$23</c:f>
              <c:numCache>
                <c:formatCode>0.00</c:formatCode>
                <c:ptCount val="10"/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8-4784-8B54-A7988097B226}"/>
            </c:ext>
          </c:extLst>
        </c:ser>
        <c:ser>
          <c:idx val="3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Fisher_Horiz!$S$24:$AB$24</c:f>
              <c:numCache>
                <c:formatCode>0%</c:formatCode>
                <c:ptCount val="10"/>
                <c:pt idx="2" formatCode="0.00">
                  <c:v>9.9999999999999978E-2</c:v>
                </c:pt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8-4784-8B54-A7988097B226}"/>
            </c:ext>
          </c:extLst>
        </c:ser>
        <c:ser>
          <c:idx val="4"/>
          <c:order val="3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Fisher_Horiz!$S$25:$AB$25</c:f>
              <c:numCache>
                <c:formatCode>0%</c:formatCode>
                <c:ptCount val="10"/>
                <c:pt idx="3" formatCode="0.00">
                  <c:v>9.9999999999999978E-2</c:v>
                </c:pt>
                <c:pt idx="4" formatCode="0.00">
                  <c:v>9.9999999999999978E-2</c:v>
                </c:pt>
                <c:pt idx="5" formatCode="0.00">
                  <c:v>9.9999999999999978E-2</c:v>
                </c:pt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8-4784-8B54-A7988097B226}"/>
            </c:ext>
          </c:extLst>
        </c:ser>
        <c:ser>
          <c:idx val="5"/>
          <c:order val="4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Fisher_Horiz!$S$26:$AB$26</c:f>
              <c:numCache>
                <c:formatCode>0%</c:formatCode>
                <c:ptCount val="10"/>
                <c:pt idx="4" formatCode="0.00">
                  <c:v>0.10000000000000009</c:v>
                </c:pt>
                <c:pt idx="5" formatCode="0.00">
                  <c:v>0.10000000000000009</c:v>
                </c:pt>
                <c:pt idx="6" formatCode="0.00">
                  <c:v>0.10000000000000009</c:v>
                </c:pt>
                <c:pt idx="7" formatCode="0.00">
                  <c:v>0.10000000000000009</c:v>
                </c:pt>
                <c:pt idx="8" formatCode="0.00">
                  <c:v>0.10000000000000009</c:v>
                </c:pt>
                <c:pt idx="9" formatCode="0.00">
                  <c:v>0.10000000000000009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8-4784-8B54-A7988097B226}"/>
            </c:ext>
          </c:extLst>
        </c:ser>
        <c:ser>
          <c:idx val="6"/>
          <c:order val="5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Fisher_Horiz!$S$27:$AB$27</c:f>
              <c:numCache>
                <c:formatCode>0%</c:formatCode>
                <c:ptCount val="10"/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48-4784-8B54-A7988097B226}"/>
            </c:ext>
          </c:extLst>
        </c:ser>
        <c:ser>
          <c:idx val="7"/>
          <c:order val="6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Fisher_Horiz!$S$28:$AB$28</c:f>
              <c:numCache>
                <c:formatCode>0%</c:formatCode>
                <c:ptCount val="10"/>
                <c:pt idx="6" formatCode="0.00">
                  <c:v>9.9999999999999978E-2</c:v>
                </c:pt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48-4784-8B54-A7988097B226}"/>
            </c:ext>
          </c:extLst>
        </c:ser>
        <c:ser>
          <c:idx val="8"/>
          <c:order val="7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Fisher_Horiz!$S$29:$AB$29</c:f>
              <c:numCache>
                <c:formatCode>0%</c:formatCode>
                <c:ptCount val="10"/>
                <c:pt idx="7" formatCode="0.00">
                  <c:v>9.9999999999999978E-2</c:v>
                </c:pt>
                <c:pt idx="8" formatCode="0.00">
                  <c:v>9.9999999999999978E-2</c:v>
                </c:pt>
                <c:pt idx="9" formatCode="0.00">
                  <c:v>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48-4784-8B54-A7988097B226}"/>
            </c:ext>
          </c:extLst>
        </c:ser>
        <c:ser>
          <c:idx val="9"/>
          <c:order val="8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Fisher_Horiz!$S$30:$AB$30</c:f>
              <c:numCache>
                <c:formatCode>0%</c:formatCode>
                <c:ptCount val="10"/>
                <c:pt idx="8" formatCode="0.00">
                  <c:v>0.5</c:v>
                </c:pt>
                <c:pt idx="9" formatCode="0.0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48-4784-8B54-A7988097B226}"/>
            </c:ext>
          </c:extLst>
        </c:ser>
        <c:ser>
          <c:idx val="10"/>
          <c:order val="9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Fisher_Horiz!$S$20:$AB$20</c:f>
              <c:numCache>
                <c:formatCode>General</c:formatCode>
                <c:ptCount val="10"/>
                <c:pt idx="0" formatCode="0%">
                  <c:v>0</c:v>
                </c:pt>
                <c:pt idx="9" formatCode="0%">
                  <c:v>1</c:v>
                </c:pt>
              </c:numCache>
            </c:numRef>
          </c:cat>
          <c:val>
            <c:numRef>
              <c:f>Fisher_Horiz!$S$31:$AB$31</c:f>
              <c:numCache>
                <c:formatCode>0%</c:formatCode>
                <c:ptCount val="10"/>
                <c:pt idx="9" formatCode="0.0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48-4784-8B54-A7988097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807136"/>
        <c:axId val="452807464"/>
      </c:barChart>
      <c:catAx>
        <c:axId val="45280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464"/>
        <c:crosses val="autoZero"/>
        <c:auto val="1"/>
        <c:lblAlgn val="ctr"/>
        <c:lblOffset val="100"/>
        <c:tickLblSkip val="1"/>
        <c:noMultiLvlLbl val="0"/>
      </c:catAx>
      <c:valAx>
        <c:axId val="4528074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Entry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0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986001749781277E-3"/>
                  <c:y val="-3.43489355497229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'Bahnemann_Ex5-4'!$L$4:$L$9</c:f>
              <c:numCache>
                <c:formatCode>General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'Bahnemann_Ex5-4'!$S$4:$S$9</c:f>
              <c:numCache>
                <c:formatCode>0.00</c:formatCode>
                <c:ptCount val="6"/>
                <c:pt idx="0">
                  <c:v>1195.5555555555554</c:v>
                </c:pt>
                <c:pt idx="1">
                  <c:v>1285</c:v>
                </c:pt>
                <c:pt idx="2">
                  <c:v>1572.2222222222222</c:v>
                </c:pt>
                <c:pt idx="3" formatCode="General">
                  <c:v>1805.7142857142853</c:v>
                </c:pt>
                <c:pt idx="4" formatCode="General">
                  <c:v>2171.4285714285693</c:v>
                </c:pt>
                <c:pt idx="5" formatCode="General">
                  <c:v>2499.9999999999977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83-4487-B084-0920EED5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19216"/>
        <c:axId val="449916264"/>
      </c:scatterChart>
      <c:valAx>
        <c:axId val="44991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6264"/>
        <c:crosses val="autoZero"/>
        <c:crossBetween val="midCat"/>
      </c:valAx>
      <c:valAx>
        <c:axId val="4499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91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6</xdr:col>
      <xdr:colOff>369147</xdr:colOff>
      <xdr:row>4</xdr:row>
      <xdr:rowOff>32174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8DCE1-861A-495C-A713-DE95666A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0"/>
          <a:ext cx="3379047" cy="794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122551</xdr:colOff>
      <xdr:row>1</xdr:row>
      <xdr:rowOff>16508</xdr:rowOff>
    </xdr:from>
    <xdr:ext cx="7993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ABAB685-A451-4E22-8659-37D1C616136F}"/>
                </a:ext>
              </a:extLst>
            </xdr:cNvPr>
            <xdr:cNvSpPr txBox="1"/>
          </xdr:nvSpPr>
          <xdr:spPr>
            <a:xfrm>
              <a:off x="14333851" y="397508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ABAB685-A451-4E22-8659-37D1C616136F}"/>
                </a:ext>
              </a:extLst>
            </xdr:cNvPr>
            <xdr:cNvSpPr txBox="1"/>
          </xdr:nvSpPr>
          <xdr:spPr>
            <a:xfrm>
              <a:off x="14333851" y="397508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𝑒−(𝑐−1)𝐸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395180</xdr:colOff>
      <xdr:row>1</xdr:row>
      <xdr:rowOff>18625</xdr:rowOff>
    </xdr:from>
    <xdr:ext cx="10427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823A37D-63E4-479C-B541-BF11F2841633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 b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823A37D-63E4-479C-B541-BF11F2841633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𝑅=(𝐵+𝑐𝐿)⋅𝑇</a:t>
              </a:r>
              <a:endParaRPr lang="en-GB" sz="1100" b="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</xdr:colOff>
      <xdr:row>4</xdr:row>
      <xdr:rowOff>10477</xdr:rowOff>
    </xdr:from>
    <xdr:ext cx="6592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2D646B0-4747-426A-B020-CFF960D1C83B}"/>
                </a:ext>
              </a:extLst>
            </xdr:cNvPr>
            <xdr:cNvSpPr txBox="1"/>
          </xdr:nvSpPr>
          <xdr:spPr>
            <a:xfrm>
              <a:off x="9780270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2D646B0-4747-426A-B020-CFF960D1C83B}"/>
                </a:ext>
              </a:extLst>
            </xdr:cNvPr>
            <xdr:cNvSpPr txBox="1"/>
          </xdr:nvSpPr>
          <xdr:spPr>
            <a:xfrm>
              <a:off x="9780270" y="962977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=𝐸⋅𝜙(𝑟)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1066800</xdr:colOff>
      <xdr:row>13</xdr:row>
      <xdr:rowOff>29527</xdr:rowOff>
    </xdr:from>
    <xdr:ext cx="1468864" cy="4947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036DCD-13DA-4C17-8460-595F7F85F422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∞</m:t>
                        </m:r>
                      </m:sup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036DCD-13DA-4C17-8460-595F7F85F422}"/>
                </a:ext>
              </a:extLst>
            </xdr:cNvPr>
            <xdr:cNvSpPr txBox="1"/>
          </xdr:nvSpPr>
          <xdr:spPr>
            <a:xfrm>
              <a:off x="9744075" y="2696527"/>
              <a:ext cx="1468864" cy="4947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𝜙(𝑟)= ∫1_𝑟^∞▒〖(𝑦−𝑟)"d" 𝐹(𝑦)〗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234315</xdr:colOff>
      <xdr:row>19</xdr:row>
      <xdr:rowOff>96202</xdr:rowOff>
    </xdr:from>
    <xdr:ext cx="719812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428F051-1C22-4D18-958F-AF86CD4C986E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428F051-1C22-4D18-958F-AF86CD4C986E}"/>
                </a:ext>
              </a:extLst>
            </xdr:cNvPr>
            <xdr:cNvSpPr txBox="1"/>
          </xdr:nvSpPr>
          <xdr:spPr>
            <a:xfrm>
              <a:off x="11740515" y="3906202"/>
              <a:ext cx="719812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  1/2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440055</xdr:colOff>
      <xdr:row>19</xdr:row>
      <xdr:rowOff>101917</xdr:rowOff>
    </xdr:from>
    <xdr:ext cx="876266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700B22D-360F-4B51-9685-0E83E7F3994B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𝑦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700B22D-360F-4B51-9685-0E83E7F3994B}"/>
                </a:ext>
              </a:extLst>
            </xdr:cNvPr>
            <xdr:cNvSpPr txBox="1"/>
          </xdr:nvSpPr>
          <xdr:spPr>
            <a:xfrm>
              <a:off x="12898755" y="3911917"/>
              <a:ext cx="876266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"d" 𝐹(𝑦)=  1/2 "d" 𝑦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17145</xdr:colOff>
      <xdr:row>23</xdr:row>
      <xdr:rowOff>20002</xdr:rowOff>
    </xdr:from>
    <xdr:ext cx="2132635" cy="510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1D35A6B-3B2F-4047-80B1-075A308D02D3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.8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−0.8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=0.36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1D35A6B-3B2F-4047-80B1-075A308D02D3}"/>
                </a:ext>
              </a:extLst>
            </xdr:cNvPr>
            <xdr:cNvSpPr txBox="1"/>
          </xdr:nvSpPr>
          <xdr:spPr>
            <a:xfrm>
              <a:off x="8713470" y="4592002"/>
              <a:ext cx="2132635" cy="510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𝜙(0.8)=∫1_0.8^2▒〖(𝑦−0.8)⋅1/2 "d" 𝑦=0.36〗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150495</xdr:colOff>
      <xdr:row>26</xdr:row>
      <xdr:rowOff>12382</xdr:rowOff>
    </xdr:from>
    <xdr:ext cx="774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4023D68-7C5D-492A-80A8-E5050194ECBA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0.8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4023D68-7C5D-492A-80A8-E5050194ECBA}"/>
                </a:ext>
              </a:extLst>
            </xdr:cNvPr>
            <xdr:cNvSpPr txBox="1"/>
          </xdr:nvSpPr>
          <xdr:spPr>
            <a:xfrm>
              <a:off x="11656695" y="5155882"/>
              <a:ext cx="774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𝐸⋅𝜙(0.8)=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20954</xdr:colOff>
      <xdr:row>2</xdr:row>
      <xdr:rowOff>102447</xdr:rowOff>
    </xdr:from>
    <xdr:ext cx="936603" cy="3468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486ABE7-840F-436E-BB96-2B00E464DE42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𝜃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486ABE7-840F-436E-BB96-2B00E464DE42}"/>
                </a:ext>
              </a:extLst>
            </xdr:cNvPr>
            <xdr:cNvSpPr txBox="1"/>
          </xdr:nvSpPr>
          <xdr:spPr>
            <a:xfrm>
              <a:off x="10527029" y="673947"/>
              <a:ext cx="936603" cy="3468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𝑓(𝑥)=  1/𝜃 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65194</xdr:colOff>
      <xdr:row>2</xdr:row>
      <xdr:rowOff>129117</xdr:rowOff>
    </xdr:from>
    <xdr:ext cx="1065420" cy="263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551475D-4D00-484F-8458-AB8BC8B4CD58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𝜃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551475D-4D00-484F-8458-AB8BC8B4CD58}"/>
                </a:ext>
              </a:extLst>
            </xdr:cNvPr>
            <xdr:cNvSpPr txBox="1"/>
          </xdr:nvSpPr>
          <xdr:spPr>
            <a:xfrm>
              <a:off x="12571519" y="700617"/>
              <a:ext cx="1065420" cy="263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𝐹(𝑥)=1−𝑒^(−𝑥/𝜃)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19685</xdr:colOff>
      <xdr:row>5</xdr:row>
      <xdr:rowOff>187324</xdr:rowOff>
    </xdr:from>
    <xdr:ext cx="1552476" cy="5414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94DCB0-3677-41DA-9CB7-AB026F9FF3AB}"/>
                </a:ext>
              </a:extLst>
            </xdr:cNvPr>
            <xdr:cNvSpPr txBox="1"/>
          </xdr:nvSpPr>
          <xdr:spPr>
            <a:xfrm>
              <a:off x="11116310" y="1139824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)=</m:t>
                    </m:r>
                    <m:nary>
                      <m:naryPr>
                        <m:limLoc m:val="undOvr"/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  <m:r>
                          <m:rPr>
                            <m:nor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B94DCB0-3677-41DA-9CB7-AB026F9FF3AB}"/>
                </a:ext>
              </a:extLst>
            </xdr:cNvPr>
            <xdr:cNvSpPr txBox="1"/>
          </xdr:nvSpPr>
          <xdr:spPr>
            <a:xfrm>
              <a:off x="11116310" y="1139824"/>
              <a:ext cx="1552476" cy="5414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𝜓(𝑟)=</a:t>
              </a:r>
              <a:r>
                <a:rPr lang="en-GB" sz="1200" i="0">
                  <a:latin typeface="Cambria Math" panose="02040503050406030204" pitchFamily="18" charset="0"/>
                </a:rPr>
                <a:t>∫1</a:t>
              </a:r>
              <a:r>
                <a:rPr lang="en-US" sz="1200" b="0" i="0">
                  <a:latin typeface="Cambria Math" panose="02040503050406030204" pitchFamily="18" charset="0"/>
                </a:rPr>
                <a:t>_0^𝑟▒〖(𝑟−𝑦)"d" 𝐹(𝑦)〗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12</xdr:col>
      <xdr:colOff>609600</xdr:colOff>
      <xdr:row>12</xdr:row>
      <xdr:rowOff>110066</xdr:rowOff>
    </xdr:from>
    <xdr:ext cx="397738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55C86D-DBAC-4B09-9281-FF096D601B1B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55C86D-DBAC-4B09-9281-FF096D601B1B}"/>
                </a:ext>
              </a:extLst>
            </xdr:cNvPr>
            <xdr:cNvSpPr txBox="1"/>
          </xdr:nvSpPr>
          <xdr:spPr>
            <a:xfrm>
              <a:off x="11115675" y="2586566"/>
              <a:ext cx="39773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𝑌=𝐴/𝐸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1030816</xdr:colOff>
      <xdr:row>16</xdr:row>
      <xdr:rowOff>93134</xdr:rowOff>
    </xdr:from>
    <xdr:ext cx="1431097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AF90CC7-9267-41E5-B41E-40AB0945F41A}"/>
                </a:ext>
              </a:extLst>
            </xdr:cNvPr>
            <xdr:cNvSpPr txBox="1"/>
          </xdr:nvSpPr>
          <xdr:spPr>
            <a:xfrm>
              <a:off x="12127441" y="3150659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begChr m:val="|"/>
                            <m:endChr m:val="|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d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AF90CC7-9267-41E5-B41E-40AB0945F41A}"/>
                </a:ext>
              </a:extLst>
            </xdr:cNvPr>
            <xdr:cNvSpPr txBox="1"/>
          </xdr:nvSpPr>
          <xdr:spPr>
            <a:xfrm>
              <a:off x="12127441" y="3150659"/>
              <a:ext cx="143109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𝑌</a:t>
              </a:r>
              <a:r>
                <a:rPr lang="en-GB" sz="1100" b="0" i="0">
                  <a:latin typeface="Cambria Math" panose="02040503050406030204" pitchFamily="18" charset="0"/>
                </a:rPr>
                <a:t>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𝑦)=1/|𝑎|  𝑓_𝑋 ((𝑦−𝑏)/𝑎)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254000</xdr:colOff>
      <xdr:row>17</xdr:row>
      <xdr:rowOff>25399</xdr:rowOff>
    </xdr:from>
    <xdr:ext cx="7244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92171E6-74FB-4F6D-AA68-6ED44D611700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𝑎𝑋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92171E6-74FB-4F6D-AA68-6ED44D611700}"/>
                </a:ext>
              </a:extLst>
            </xdr:cNvPr>
            <xdr:cNvSpPr txBox="1"/>
          </xdr:nvSpPr>
          <xdr:spPr>
            <a:xfrm>
              <a:off x="9712325" y="3454399"/>
              <a:ext cx="7244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𝑌=𝑎𝑋+𝑏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0</xdr:colOff>
      <xdr:row>22</xdr:row>
      <xdr:rowOff>40216</xdr:rowOff>
    </xdr:from>
    <xdr:ext cx="3307080" cy="725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7D260EE-DC25-4987-A730-DAA7C060C0F6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sub>
                    </m:sSub>
                    <m:d>
                      <m:d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d>
                          <m:d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</m:t>
                                    </m:r>
                                  </m:num>
                                  <m:den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10</m:t>
                                    </m:r>
                                  </m:den>
                                </m:f>
                              </m:e>
                            </m:d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10</m:t>
                        </m:r>
                      </m:den>
                    </m:f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num>
                                  <m:den>
                                    <m:d>
                                      <m:d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</m:t>
                                            </m:r>
                                          </m:num>
                                          <m:den>
                                            <m:r>
                                              <a:rPr lang="en-US" sz="1200" b="0" i="1">
                                                <a:latin typeface="Cambria Math" panose="02040503050406030204" pitchFamily="18" charset="0"/>
                                              </a:rPr>
                                              <m:t>10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den>
                                </m:f>
                              </m:e>
                            </m:d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10</m:t>
                            </m:r>
                          </m:den>
                        </m:f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7D260EE-DC25-4987-A730-DAA7C060C0F6}"/>
                </a:ext>
              </a:extLst>
            </xdr:cNvPr>
            <xdr:cNvSpPr txBox="1"/>
          </xdr:nvSpPr>
          <xdr:spPr>
            <a:xfrm>
              <a:off x="9075420" y="4459816"/>
              <a:ext cx="3307080" cy="725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𝑓</a:t>
              </a:r>
              <a:r>
                <a:rPr lang="en-GB" sz="1200" b="0" i="0"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</a:rPr>
                <a:t>𝑌</a:t>
              </a:r>
              <a:r>
                <a:rPr lang="en-GB" sz="1200" b="0" i="0">
                  <a:latin typeface="Cambria Math" panose="02040503050406030204" pitchFamily="18" charset="0"/>
                </a:rPr>
                <a:t>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</a:rPr>
                <a:t>𝑦)=1/((|1/10|) )⋅1/10 𝑒^(−((𝑦/((1/10) )))/10)=𝑒^(−𝑦)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14</xdr:col>
      <xdr:colOff>171449</xdr:colOff>
      <xdr:row>27</xdr:row>
      <xdr:rowOff>6561</xdr:rowOff>
    </xdr:from>
    <xdr:ext cx="100687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176A784-17DA-4226-BE5B-44387D1C2D5D}"/>
                </a:ext>
              </a:extLst>
            </xdr:cNvPr>
            <xdr:cNvSpPr txBox="1"/>
          </xdr:nvSpPr>
          <xdr:spPr>
            <a:xfrm>
              <a:off x="11268074" y="519768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176A784-17DA-4226-BE5B-44387D1C2D5D}"/>
                </a:ext>
              </a:extLst>
            </xdr:cNvPr>
            <xdr:cNvSpPr txBox="1"/>
          </xdr:nvSpPr>
          <xdr:spPr>
            <a:xfrm>
              <a:off x="11268074" y="5197686"/>
              <a:ext cx="100687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𝐹(𝑦)=1−𝑒^(−𝑦).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546735</xdr:colOff>
      <xdr:row>28</xdr:row>
      <xdr:rowOff>32386</xdr:rowOff>
    </xdr:from>
    <xdr:ext cx="1573829" cy="4963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BF66AB-CB2E-4F4F-9B1A-F5EA4C81DD65}"/>
                </a:ext>
              </a:extLst>
            </xdr:cNvPr>
            <xdr:cNvSpPr txBox="1"/>
          </xdr:nvSpPr>
          <xdr:spPr>
            <a:xfrm>
              <a:off x="11643360" y="54140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nary>
                      <m:naryPr>
                        <m:limLoc m:val="undOvr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4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sup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d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6BF66AB-CB2E-4F4F-9B1A-F5EA4C81DD65}"/>
                </a:ext>
              </a:extLst>
            </xdr:cNvPr>
            <xdr:cNvSpPr txBox="1"/>
          </xdr:nvSpPr>
          <xdr:spPr>
            <a:xfrm>
              <a:off x="11643360" y="5414011"/>
              <a:ext cx="1573829" cy="496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 ∫1_0^𝑟▒〖(𝑟−𝑦)⋅𝑒^(−𝑦) "d" 𝑦〗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502918</xdr:colOff>
      <xdr:row>17</xdr:row>
      <xdr:rowOff>1482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484716</xdr:colOff>
      <xdr:row>17</xdr:row>
      <xdr:rowOff>13759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11430</xdr:colOff>
      <xdr:row>4</xdr:row>
      <xdr:rowOff>14182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D53BC99-1806-4819-8D4E-CFCFE1871C79}"/>
                </a:ext>
              </a:extLst>
            </xdr:cNvPr>
            <xdr:cNvSpPr txBox="1"/>
          </xdr:nvSpPr>
          <xdr:spPr>
            <a:xfrm>
              <a:off x="9717405" y="776182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D53BC99-1806-4819-8D4E-CFCFE1871C79}"/>
                </a:ext>
              </a:extLst>
            </xdr:cNvPr>
            <xdr:cNvSpPr txBox="1"/>
          </xdr:nvSpPr>
          <xdr:spPr>
            <a:xfrm>
              <a:off x="9717405" y="776182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583989</xdr:colOff>
      <xdr:row>7</xdr:row>
      <xdr:rowOff>69217</xdr:rowOff>
    </xdr:from>
    <xdr:ext cx="4630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72192D-1F6B-44CA-AD75-A874E248551F}"/>
                </a:ext>
              </a:extLst>
            </xdr:cNvPr>
            <xdr:cNvSpPr txBox="1"/>
          </xdr:nvSpPr>
          <xdr:spPr>
            <a:xfrm>
              <a:off x="9594639" y="1593217"/>
              <a:ext cx="4630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72192D-1F6B-44CA-AD75-A874E248551F}"/>
                </a:ext>
              </a:extLst>
            </xdr:cNvPr>
            <xdr:cNvSpPr txBox="1"/>
          </xdr:nvSpPr>
          <xdr:spPr>
            <a:xfrm>
              <a:off x="9594639" y="1593217"/>
              <a:ext cx="4630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1067646</xdr:colOff>
      <xdr:row>5</xdr:row>
      <xdr:rowOff>131657</xdr:rowOff>
    </xdr:from>
    <xdr:ext cx="2070375" cy="410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8B48390-2171-4959-B1B1-2871077C5740}"/>
                </a:ext>
              </a:extLst>
            </xdr:cNvPr>
            <xdr:cNvSpPr txBox="1"/>
          </xdr:nvSpPr>
          <xdr:spPr>
            <a:xfrm>
              <a:off x="10059246" y="1274657"/>
              <a:ext cx="2070375" cy="410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𝑙𝑎𝑖𝑚𝑠</m:t>
                        </m:r>
                      </m:sub>
                      <m:sup/>
                      <m:e>
                        <m:func>
                          <m:func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max</m:t>
                            </m:r>
                          </m:fName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(0, 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Actual</m:t>
                                </m:r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m:rPr>
                                    <m:nor/>
                                  </m:rPr>
                                  <a:rPr lang="en-US" sz="1100" b="0" i="0">
                                    <a:latin typeface="Cambria Math" panose="02040503050406030204" pitchFamily="18" charset="0"/>
                                  </a:rPr>
                                  <m:t>Loss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</m:func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8B48390-2171-4959-B1B1-2871077C5740}"/>
                </a:ext>
              </a:extLst>
            </xdr:cNvPr>
            <xdr:cNvSpPr txBox="1"/>
          </xdr:nvSpPr>
          <xdr:spPr>
            <a:xfrm>
              <a:off x="10059246" y="1274657"/>
              <a:ext cx="2070375" cy="410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_𝐶𝑙𝑎𝑖𝑚𝑠▒max⁡〖(0, 〖"Actual Loss" 〗_𝑖−𝑟⋅𝐸)〗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382057</xdr:colOff>
      <xdr:row>12</xdr:row>
      <xdr:rowOff>8678</xdr:rowOff>
    </xdr:from>
    <xdr:ext cx="6592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170D906-6F6F-4612-842B-590691F02875}"/>
                </a:ext>
              </a:extLst>
            </xdr:cNvPr>
            <xdr:cNvSpPr txBox="1"/>
          </xdr:nvSpPr>
          <xdr:spPr>
            <a:xfrm>
              <a:off x="10440457" y="2485178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170D906-6F6F-4612-842B-590691F02875}"/>
                </a:ext>
              </a:extLst>
            </xdr:cNvPr>
            <xdr:cNvSpPr txBox="1"/>
          </xdr:nvSpPr>
          <xdr:spPr>
            <a:xfrm>
              <a:off x="10440457" y="2485178"/>
              <a:ext cx="6592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𝐸⋅𝜙(𝑟)=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972397</xdr:colOff>
      <xdr:row>7</xdr:row>
      <xdr:rowOff>173990</xdr:rowOff>
    </xdr:from>
    <xdr:ext cx="3113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DD26080-1B69-4EA3-8B76-DF8A2F29BAE2}"/>
                </a:ext>
              </a:extLst>
            </xdr:cNvPr>
            <xdr:cNvSpPr txBox="1"/>
          </xdr:nvSpPr>
          <xdr:spPr>
            <a:xfrm>
              <a:off x="11030797" y="1697990"/>
              <a:ext cx="3113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DD26080-1B69-4EA3-8B76-DF8A2F29BAE2}"/>
                </a:ext>
              </a:extLst>
            </xdr:cNvPr>
            <xdr:cNvSpPr txBox="1"/>
          </xdr:nvSpPr>
          <xdr:spPr>
            <a:xfrm>
              <a:off x="11030797" y="1697990"/>
              <a:ext cx="3113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𝑛⋅𝐸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925195</xdr:colOff>
      <xdr:row>14</xdr:row>
      <xdr:rowOff>20531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636DC7-85AD-452D-ACF1-6874D4202ABE}"/>
                </a:ext>
              </a:extLst>
            </xdr:cNvPr>
            <xdr:cNvSpPr txBox="1"/>
          </xdr:nvSpPr>
          <xdr:spPr>
            <a:xfrm>
              <a:off x="9583420" y="2735156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636DC7-85AD-452D-ACF1-6874D4202ABE}"/>
                </a:ext>
              </a:extLst>
            </xdr:cNvPr>
            <xdr:cNvSpPr txBox="1"/>
          </xdr:nvSpPr>
          <xdr:spPr>
            <a:xfrm>
              <a:off x="9583420" y="2735156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606213</xdr:colOff>
      <xdr:row>16</xdr:row>
      <xdr:rowOff>10583</xdr:rowOff>
    </xdr:from>
    <xdr:ext cx="4649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9E69687-5D58-4F2E-AD5B-A276D377913C}"/>
                </a:ext>
              </a:extLst>
            </xdr:cNvPr>
            <xdr:cNvSpPr txBox="1"/>
          </xdr:nvSpPr>
          <xdr:spPr>
            <a:xfrm>
              <a:off x="9616863" y="3506258"/>
              <a:ext cx="4649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9E69687-5D58-4F2E-AD5B-A276D377913C}"/>
                </a:ext>
              </a:extLst>
            </xdr:cNvPr>
            <xdr:cNvSpPr txBox="1"/>
          </xdr:nvSpPr>
          <xdr:spPr>
            <a:xfrm>
              <a:off x="9616863" y="3506258"/>
              <a:ext cx="4649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349251</xdr:colOff>
      <xdr:row>19</xdr:row>
      <xdr:rowOff>19050</xdr:rowOff>
    </xdr:from>
    <xdr:ext cx="66114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1E47B68-66FF-4013-9E0B-826C2B5873B6}"/>
                </a:ext>
              </a:extLst>
            </xdr:cNvPr>
            <xdr:cNvSpPr txBox="1"/>
          </xdr:nvSpPr>
          <xdr:spPr>
            <a:xfrm>
              <a:off x="10055226" y="3876675"/>
              <a:ext cx="66114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1E47B68-66FF-4013-9E0B-826C2B5873B6}"/>
                </a:ext>
              </a:extLst>
            </xdr:cNvPr>
            <xdr:cNvSpPr txBox="1"/>
          </xdr:nvSpPr>
          <xdr:spPr>
            <a:xfrm>
              <a:off x="10055226" y="3876675"/>
              <a:ext cx="66114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𝐸⋅𝜓(𝑟)=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2920935-0945-4D21-8B3C-5219E7070498}"/>
                </a:ext>
              </a:extLst>
            </xdr:cNvPr>
            <xdr:cNvSpPr txBox="1"/>
          </xdr:nvSpPr>
          <xdr:spPr>
            <a:xfrm>
              <a:off x="923925" y="1969559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2920935-0945-4D21-8B3C-5219E7070498}"/>
                </a:ext>
              </a:extLst>
            </xdr:cNvPr>
            <xdr:cNvSpPr txBox="1"/>
          </xdr:nvSpPr>
          <xdr:spPr>
            <a:xfrm>
              <a:off x="923925" y="1969559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7337488-EE57-4B43-A622-7971A819FF29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7337488-EE57-4B43-A622-7971A819FF29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1284816</xdr:colOff>
      <xdr:row>11</xdr:row>
      <xdr:rowOff>100540</xdr:rowOff>
    </xdr:from>
    <xdr:ext cx="1543628" cy="347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6C70A3-9AB8-469E-99BF-B7CB2594A6A4}"/>
                </a:ext>
              </a:extLst>
            </xdr:cNvPr>
            <xdr:cNvSpPr txBox="1"/>
          </xdr:nvSpPr>
          <xdr:spPr>
            <a:xfrm>
              <a:off x="4818591" y="2196040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16C70A3-9AB8-469E-99BF-B7CB2594A6A4}"/>
                </a:ext>
              </a:extLst>
            </xdr:cNvPr>
            <xdr:cNvSpPr txBox="1"/>
          </xdr:nvSpPr>
          <xdr:spPr>
            <a:xfrm>
              <a:off x="4818591" y="2196040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𝐻=𝐿_𝐻/(𝐸[𝐴])  and 𝑟_𝐺=𝐿_𝐺/(𝐸[𝐴])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2</xdr:col>
      <xdr:colOff>0</xdr:colOff>
      <xdr:row>15</xdr:row>
      <xdr:rowOff>0</xdr:rowOff>
    </xdr:from>
    <xdr:to>
      <xdr:col>5</xdr:col>
      <xdr:colOff>2674</xdr:colOff>
      <xdr:row>34</xdr:row>
      <xdr:rowOff>174093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488CB2-9D77-4E51-9B80-9884A825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857500"/>
          <a:ext cx="3898399" cy="3793593"/>
        </a:xfrm>
        <a:prstGeom prst="rect">
          <a:avLst/>
        </a:prstGeom>
        <a:solidFill>
          <a:schemeClr val="bg1"/>
        </a:solidFill>
      </xdr:spPr>
    </xdr:pic>
    <xdr:clientData/>
  </xdr:twoCellAnchor>
  <xdr:oneCellAnchor>
    <xdr:from>
      <xdr:col>9</xdr:col>
      <xdr:colOff>173354</xdr:colOff>
      <xdr:row>13</xdr:row>
      <xdr:rowOff>128056</xdr:rowOff>
    </xdr:from>
    <xdr:ext cx="859466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4DB07C4-FE77-4ED6-A564-F87218DE7FA9}"/>
                </a:ext>
              </a:extLst>
            </xdr:cNvPr>
            <xdr:cNvSpPr txBox="1"/>
          </xdr:nvSpPr>
          <xdr:spPr>
            <a:xfrm>
              <a:off x="8202929" y="2604556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4DB07C4-FE77-4ED6-A564-F87218DE7FA9}"/>
                </a:ext>
              </a:extLst>
            </xdr:cNvPr>
            <xdr:cNvSpPr txBox="1"/>
          </xdr:nvSpPr>
          <xdr:spPr>
            <a:xfrm>
              <a:off x="8202929" y="2604556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7855DB-C269-4889-851C-E79FA206C957}"/>
            </a:ext>
          </a:extLst>
        </xdr:cNvPr>
        <xdr:cNvSpPr txBox="1"/>
      </xdr:nvSpPr>
      <xdr:spPr>
        <a:xfrm>
          <a:off x="7123642" y="3678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DE3B6DE-910F-4120-B915-EB5B5C99163D}"/>
                </a:ext>
              </a:extLst>
            </xdr:cNvPr>
            <xdr:cNvSpPr txBox="1"/>
          </xdr:nvSpPr>
          <xdr:spPr>
            <a:xfrm>
              <a:off x="6900333" y="32554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DE3B6DE-910F-4120-B915-EB5B5C99163D}"/>
                </a:ext>
              </a:extLst>
            </xdr:cNvPr>
            <xdr:cNvSpPr txBox="1"/>
          </xdr:nvSpPr>
          <xdr:spPr>
            <a:xfrm>
              <a:off x="6900333" y="32554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6529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1498820-2C0E-42BD-9087-FB2991F15CAB}"/>
                </a:ext>
              </a:extLst>
            </xdr:cNvPr>
            <xdr:cNvSpPr txBox="1"/>
          </xdr:nvSpPr>
          <xdr:spPr>
            <a:xfrm>
              <a:off x="5699337" y="36364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1498820-2C0E-42BD-9087-FB2991F15CAB}"/>
                </a:ext>
              </a:extLst>
            </xdr:cNvPr>
            <xdr:cNvSpPr txBox="1"/>
          </xdr:nvSpPr>
          <xdr:spPr>
            <a:xfrm>
              <a:off x="5699337" y="36364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314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6EA2A14-43F4-4EAD-8A4C-2C45272A064E}"/>
                </a:ext>
              </a:extLst>
            </xdr:cNvPr>
            <xdr:cNvSpPr txBox="1"/>
          </xdr:nvSpPr>
          <xdr:spPr>
            <a:xfrm>
              <a:off x="6099176" y="46058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6EA2A14-43F4-4EAD-8A4C-2C45272A064E}"/>
                </a:ext>
              </a:extLst>
            </xdr:cNvPr>
            <xdr:cNvSpPr txBox="1"/>
          </xdr:nvSpPr>
          <xdr:spPr>
            <a:xfrm>
              <a:off x="6099176" y="46058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023101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C78CE30-F740-4738-90B0-ED13E3F2597E}"/>
                </a:ext>
              </a:extLst>
            </xdr:cNvPr>
            <xdr:cNvSpPr txBox="1"/>
          </xdr:nvSpPr>
          <xdr:spPr>
            <a:xfrm>
              <a:off x="6073564" y="48994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C78CE30-F740-4738-90B0-ED13E3F2597E}"/>
                </a:ext>
              </a:extLst>
            </xdr:cNvPr>
            <xdr:cNvSpPr txBox="1"/>
          </xdr:nvSpPr>
          <xdr:spPr>
            <a:xfrm>
              <a:off x="6073564" y="48994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19560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AA0F099-ED0E-4BDC-BDDF-16DB73E2BFE5}"/>
                </a:ext>
              </a:extLst>
            </xdr:cNvPr>
            <xdr:cNvSpPr txBox="1"/>
          </xdr:nvSpPr>
          <xdr:spPr>
            <a:xfrm>
              <a:off x="6649509" y="53424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AA0F099-ED0E-4BDC-BDDF-16DB73E2BFE5}"/>
                </a:ext>
              </a:extLst>
            </xdr:cNvPr>
            <xdr:cNvSpPr txBox="1"/>
          </xdr:nvSpPr>
          <xdr:spPr>
            <a:xfrm>
              <a:off x="6649509" y="53424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27516</xdr:rowOff>
    </xdr:from>
    <xdr:ext cx="118340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F206E1F-AA5E-4CF8-A27F-4AF23277D7EA}"/>
                </a:ext>
              </a:extLst>
            </xdr:cNvPr>
            <xdr:cNvSpPr txBox="1"/>
          </xdr:nvSpPr>
          <xdr:spPr>
            <a:xfrm>
              <a:off x="7284508" y="5742516"/>
              <a:ext cx="118340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F206E1F-AA5E-4CF8-A27F-4AF23277D7EA}"/>
                </a:ext>
              </a:extLst>
            </xdr:cNvPr>
            <xdr:cNvSpPr txBox="1"/>
          </xdr:nvSpPr>
          <xdr:spPr>
            <a:xfrm>
              <a:off x="7284508" y="5742516"/>
              <a:ext cx="118340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𝑈=𝜙(𝑟_𝐻 )−𝜙(𝑟_𝐺)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062890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2FB5692-0091-4C36-B4B0-80701F4FDB78}"/>
                </a:ext>
              </a:extLst>
            </xdr:cNvPr>
            <xdr:cNvSpPr txBox="1"/>
          </xdr:nvSpPr>
          <xdr:spPr>
            <a:xfrm>
              <a:off x="5800937" y="6296871"/>
              <a:ext cx="3062890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2FB5692-0091-4C36-B4B0-80701F4FDB78}"/>
                </a:ext>
              </a:extLst>
            </xdr:cNvPr>
            <xdr:cNvSpPr txBox="1"/>
          </xdr:nvSpPr>
          <xdr:spPr>
            <a:xfrm>
              <a:off x="5800937" y="6296871"/>
              <a:ext cx="3062890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(𝑒+𝐸[𝐴])⋅𝑇=𝑐⋅(𝜙(𝑟_𝐻 )−𝜙(𝑟_𝐺 ))⋅𝐸[𝐴]⋅𝑇+𝐻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317713</xdr:colOff>
      <xdr:row>34</xdr:row>
      <xdr:rowOff>92286</xdr:rowOff>
    </xdr:from>
    <xdr:ext cx="2263889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25944AF-2346-4778-8810-C5A6FE101DAC}"/>
                </a:ext>
              </a:extLst>
            </xdr:cNvPr>
            <xdr:cNvSpPr txBox="1"/>
          </xdr:nvSpPr>
          <xdr:spPr>
            <a:xfrm>
              <a:off x="7128088" y="6569286"/>
              <a:ext cx="226388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𝝓</m:t>
                    </m:r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𝝓</m:t>
                    </m:r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25944AF-2346-4778-8810-C5A6FE101DAC}"/>
                </a:ext>
              </a:extLst>
            </xdr:cNvPr>
            <xdr:cNvSpPr txBox="1"/>
          </xdr:nvSpPr>
          <xdr:spPr>
            <a:xfrm>
              <a:off x="7128088" y="6569286"/>
              <a:ext cx="226388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𝝓(𝒓_𝑯 )−𝝓(𝒓_𝑮 )=((𝒆+𝑬[𝑨])⋅𝑻−𝑯)/(𝒄⋅𝑬[𝑨]⋅𝑻)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8997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118165F-9916-4224-B4D7-3AAEDBF67AAB}"/>
                </a:ext>
              </a:extLst>
            </xdr:cNvPr>
            <xdr:cNvSpPr txBox="1"/>
          </xdr:nvSpPr>
          <xdr:spPr>
            <a:xfrm>
              <a:off x="5785909" y="70559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118165F-9916-4224-B4D7-3AAEDBF67AAB}"/>
                </a:ext>
              </a:extLst>
            </xdr:cNvPr>
            <xdr:cNvSpPr txBox="1"/>
          </xdr:nvSpPr>
          <xdr:spPr>
            <a:xfrm>
              <a:off x="5785909" y="70559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5885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DCF34FC-EB63-4AE5-83E4-FE105DE93482}"/>
                </a:ext>
              </a:extLst>
            </xdr:cNvPr>
            <xdr:cNvSpPr txBox="1"/>
          </xdr:nvSpPr>
          <xdr:spPr>
            <a:xfrm>
              <a:off x="3786716" y="72559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DCF34FC-EB63-4AE5-83E4-FE105DE93482}"/>
                </a:ext>
              </a:extLst>
            </xdr:cNvPr>
            <xdr:cNvSpPr txBox="1"/>
          </xdr:nvSpPr>
          <xdr:spPr>
            <a:xfrm>
              <a:off x="3786716" y="72559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5685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B9BB219-D221-46BC-9476-0C9B1F0B893F}"/>
                </a:ext>
              </a:extLst>
            </xdr:cNvPr>
            <xdr:cNvSpPr txBox="1"/>
          </xdr:nvSpPr>
          <xdr:spPr>
            <a:xfrm>
              <a:off x="2025650" y="74570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B9BB219-D221-46BC-9476-0C9B1F0B893F}"/>
                </a:ext>
              </a:extLst>
            </xdr:cNvPr>
            <xdr:cNvSpPr txBox="1"/>
          </xdr:nvSpPr>
          <xdr:spPr>
            <a:xfrm>
              <a:off x="2025650" y="74570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19156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F881CAA-4944-42E9-95FF-B58AAA46B39A}"/>
                </a:ext>
              </a:extLst>
            </xdr:cNvPr>
            <xdr:cNvSpPr txBox="1"/>
          </xdr:nvSpPr>
          <xdr:spPr>
            <a:xfrm>
              <a:off x="4006850" y="7828491"/>
              <a:ext cx="19156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7F881CAA-4944-42E9-95FF-B58AAA46B39A}"/>
                </a:ext>
              </a:extLst>
            </xdr:cNvPr>
            <xdr:cNvSpPr txBox="1"/>
          </xdr:nvSpPr>
          <xdr:spPr>
            <a:xfrm>
              <a:off x="4006850" y="7828491"/>
              <a:ext cx="19156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346074" cy="342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31249DA-2A0C-45B9-A5B6-EAD063B41CC5}"/>
                </a:ext>
              </a:extLst>
            </xdr:cNvPr>
            <xdr:cNvSpPr txBox="1"/>
          </xdr:nvSpPr>
          <xdr:spPr>
            <a:xfrm>
              <a:off x="3942293" y="81110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31249DA-2A0C-45B9-A5B6-EAD063B41CC5}"/>
                </a:ext>
              </a:extLst>
            </xdr:cNvPr>
            <xdr:cNvSpPr txBox="1"/>
          </xdr:nvSpPr>
          <xdr:spPr>
            <a:xfrm>
              <a:off x="3942293" y="81110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89966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3C97C2D6-B030-4659-A61D-638495425CC6}"/>
                </a:ext>
              </a:extLst>
            </xdr:cNvPr>
            <xdr:cNvSpPr txBox="1"/>
          </xdr:nvSpPr>
          <xdr:spPr>
            <a:xfrm>
              <a:off x="2961217" y="8771467"/>
              <a:ext cx="89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3C97C2D6-B030-4659-A61D-638495425CC6}"/>
                </a:ext>
              </a:extLst>
            </xdr:cNvPr>
            <xdr:cNvSpPr txBox="1"/>
          </xdr:nvSpPr>
          <xdr:spPr>
            <a:xfrm>
              <a:off x="2961217" y="8771467"/>
              <a:ext cx="89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𝐻)−𝜙(𝑟_𝐺)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1828800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0ECDD6D-A88E-4DF1-9F02-AB8E180A65C9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0ECDD6D-A88E-4DF1-9F02-AB8E180A65C9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C318449-0D03-42BE-B078-EBD2FD76A086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C318449-0D03-42BE-B078-EBD2FD76A086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141816</xdr:colOff>
      <xdr:row>11</xdr:row>
      <xdr:rowOff>110065</xdr:rowOff>
    </xdr:from>
    <xdr:ext cx="1705082" cy="34733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FBFEF1-3638-412C-A37A-08C0D8358C53}"/>
                </a:ext>
              </a:extLst>
            </xdr:cNvPr>
            <xdr:cNvSpPr txBox="1"/>
          </xdr:nvSpPr>
          <xdr:spPr>
            <a:xfrm>
              <a:off x="5094816" y="2152225"/>
              <a:ext cx="1705082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FFBFEF1-3638-412C-A37A-08C0D8358C53}"/>
                </a:ext>
              </a:extLst>
            </xdr:cNvPr>
            <xdr:cNvSpPr txBox="1"/>
          </xdr:nvSpPr>
          <xdr:spPr>
            <a:xfrm>
              <a:off x="5094816" y="2152225"/>
              <a:ext cx="1705082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𝐻=𝐿_𝐻/(𝐸[𝐴_𝐷])  and 𝑟_𝐺=𝐿_𝐺/(𝐸[𝐴_𝐷])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135254</xdr:colOff>
      <xdr:row>13</xdr:row>
      <xdr:rowOff>118531</xdr:rowOff>
    </xdr:from>
    <xdr:ext cx="940193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E2B1856-CB7C-41F9-9E9F-2C88EEA6C546}"/>
                </a:ext>
              </a:extLst>
            </xdr:cNvPr>
            <xdr:cNvSpPr txBox="1"/>
          </xdr:nvSpPr>
          <xdr:spPr>
            <a:xfrm>
              <a:off x="8164829" y="2633131"/>
              <a:ext cx="940193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E2B1856-CB7C-41F9-9E9F-2C88EEA6C546}"/>
                </a:ext>
              </a:extLst>
            </xdr:cNvPr>
            <xdr:cNvSpPr txBox="1"/>
          </xdr:nvSpPr>
          <xdr:spPr>
            <a:xfrm>
              <a:off x="8164829" y="2633131"/>
              <a:ext cx="940193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𝐸[𝐴_𝐷]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A9F396-D774-4008-939E-3E637C6AD1DC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BB90EC7-DC8D-466B-B874-351E02DA2EF7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BB90EC7-DC8D-466B-B874-351E02DA2EF7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8069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AF8FEA8-11A7-4BD6-B2CD-408EDA3A391D}"/>
                </a:ext>
              </a:extLst>
            </xdr:cNvPr>
            <xdr:cNvSpPr txBox="1"/>
          </xdr:nvSpPr>
          <xdr:spPr>
            <a:xfrm>
              <a:off x="5699337" y="3674533"/>
              <a:ext cx="2806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AF8FEA8-11A7-4BD6-B2CD-408EDA3A391D}"/>
                </a:ext>
              </a:extLst>
            </xdr:cNvPr>
            <xdr:cNvSpPr txBox="1"/>
          </xdr:nvSpPr>
          <xdr:spPr>
            <a:xfrm>
              <a:off x="5699337" y="3674533"/>
              <a:ext cx="280692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(𝑒+𝐸[𝐴])⋅𝑇=(𝐵+𝑐⋅(𝑈+𝑉)⋅𝐸[𝐴_𝐷])⋅𝑇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4690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E571958-B3CA-43A0-96BD-366242C9D98C}"/>
                </a:ext>
              </a:extLst>
            </xdr:cNvPr>
            <xdr:cNvSpPr txBox="1"/>
          </xdr:nvSpPr>
          <xdr:spPr>
            <a:xfrm>
              <a:off x="6099176" y="4643967"/>
              <a:ext cx="2469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E571958-B3CA-43A0-96BD-366242C9D98C}"/>
                </a:ext>
              </a:extLst>
            </xdr:cNvPr>
            <xdr:cNvSpPr txBox="1"/>
          </xdr:nvSpPr>
          <xdr:spPr>
            <a:xfrm>
              <a:off x="6099176" y="4643967"/>
              <a:ext cx="24690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103827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921AF1-72BB-48AF-B916-E3706048A2FF}"/>
                </a:ext>
              </a:extLst>
            </xdr:cNvPr>
            <xdr:cNvSpPr txBox="1"/>
          </xdr:nvSpPr>
          <xdr:spPr>
            <a:xfrm>
              <a:off x="6073564" y="4937549"/>
              <a:ext cx="1103827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4921AF1-72BB-48AF-B916-E3706048A2FF}"/>
                </a:ext>
              </a:extLst>
            </xdr:cNvPr>
            <xdr:cNvSpPr txBox="1"/>
          </xdr:nvSpPr>
          <xdr:spPr>
            <a:xfrm>
              <a:off x="6073564" y="4937549"/>
              <a:ext cx="1103827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𝐻/𝑇−𝐵=𝑐𝑉𝐸[𝐴_𝐷]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21100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8C91AF8-4B24-4488-9AAF-4E4A905F8D7F}"/>
                </a:ext>
              </a:extLst>
            </xdr:cNvPr>
            <xdr:cNvSpPr txBox="1"/>
          </xdr:nvSpPr>
          <xdr:spPr>
            <a:xfrm>
              <a:off x="6649509" y="5380566"/>
              <a:ext cx="21100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8C91AF8-4B24-4488-9AAF-4E4A905F8D7F}"/>
                </a:ext>
              </a:extLst>
            </xdr:cNvPr>
            <xdr:cNvSpPr txBox="1"/>
          </xdr:nvSpPr>
          <xdr:spPr>
            <a:xfrm>
              <a:off x="6649509" y="5380566"/>
              <a:ext cx="21100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𝑐𝑈𝐸[𝐴_𝐷 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17991</xdr:rowOff>
    </xdr:from>
    <xdr:ext cx="13415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A32A975-E0AB-4A8B-9B9C-71386E1977AE}"/>
                </a:ext>
              </a:extLst>
            </xdr:cNvPr>
            <xdr:cNvSpPr txBox="1"/>
          </xdr:nvSpPr>
          <xdr:spPr>
            <a:xfrm>
              <a:off x="7284508" y="5771091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A32A975-E0AB-4A8B-9B9C-71386E1977AE}"/>
                </a:ext>
              </a:extLst>
            </xdr:cNvPr>
            <xdr:cNvSpPr txBox="1"/>
          </xdr:nvSpPr>
          <xdr:spPr>
            <a:xfrm>
              <a:off x="7284508" y="5771091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𝑈=𝜙_𝐷 (𝑟_𝐻 )−𝜙_𝐷 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375026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EFBB7DA-0BAE-4097-81DE-551FBFAFB981}"/>
                </a:ext>
              </a:extLst>
            </xdr:cNvPr>
            <xdr:cNvSpPr txBox="1"/>
          </xdr:nvSpPr>
          <xdr:spPr>
            <a:xfrm>
              <a:off x="5800937" y="6334971"/>
              <a:ext cx="3375026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EFBB7DA-0BAE-4097-81DE-551FBFAFB981}"/>
                </a:ext>
              </a:extLst>
            </xdr:cNvPr>
            <xdr:cNvSpPr txBox="1"/>
          </xdr:nvSpPr>
          <xdr:spPr>
            <a:xfrm>
              <a:off x="5800937" y="6334971"/>
              <a:ext cx="3375026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(𝑒+𝐸[𝐴])⋅𝑇=𝑐⋅(𝜙_𝐷 (𝑟_𝐻 )−𝜙_𝐷 (𝑟_𝐺 ))⋅𝐸[𝐴_𝐷 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279613</xdr:colOff>
      <xdr:row>34</xdr:row>
      <xdr:rowOff>92286</xdr:rowOff>
    </xdr:from>
    <xdr:ext cx="2505109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E14B462-CC6F-48F4-93DE-792A157A343F}"/>
                </a:ext>
              </a:extLst>
            </xdr:cNvPr>
            <xdr:cNvSpPr txBox="1"/>
          </xdr:nvSpPr>
          <xdr:spPr>
            <a:xfrm>
              <a:off x="7089988" y="6607386"/>
              <a:ext cx="250510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</m:sSub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</m:sSub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  <m:sub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𝑫</m:t>
                                </m:r>
                              </m:sub>
                            </m:sSub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E14B462-CC6F-48F4-93DE-792A157A343F}"/>
                </a:ext>
              </a:extLst>
            </xdr:cNvPr>
            <xdr:cNvSpPr txBox="1"/>
          </xdr:nvSpPr>
          <xdr:spPr>
            <a:xfrm>
              <a:off x="7089988" y="6607386"/>
              <a:ext cx="2505109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𝝓_𝑫 (𝒓_𝑯 )−𝝓_𝑫 (𝒓_𝑮 )=((𝒆+𝑬[𝑨])⋅𝑻−𝑯)/(𝒄⋅𝑬[𝑨_𝑫 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9804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628408-5621-45E3-897B-A4564DC70419}"/>
                </a:ext>
              </a:extLst>
            </xdr:cNvPr>
            <xdr:cNvSpPr txBox="1"/>
          </xdr:nvSpPr>
          <xdr:spPr>
            <a:xfrm>
              <a:off x="5785909" y="7094007"/>
              <a:ext cx="9804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628408-5621-45E3-897B-A4564DC70419}"/>
                </a:ext>
              </a:extLst>
            </xdr:cNvPr>
            <xdr:cNvSpPr txBox="1"/>
          </xdr:nvSpPr>
          <xdr:spPr>
            <a:xfrm>
              <a:off x="5785909" y="7094007"/>
              <a:ext cx="9804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𝐻=𝑟_𝐻⋅𝐸[𝐴_𝐷]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66930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07B59A1-2ADD-435E-AC06-B20CD06A0002}"/>
                </a:ext>
              </a:extLst>
            </xdr:cNvPr>
            <xdr:cNvSpPr txBox="1"/>
          </xdr:nvSpPr>
          <xdr:spPr>
            <a:xfrm>
              <a:off x="3786716" y="7294033"/>
              <a:ext cx="16693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07B59A1-2ADD-435E-AC06-B20CD06A0002}"/>
                </a:ext>
              </a:extLst>
            </xdr:cNvPr>
            <xdr:cNvSpPr txBox="1"/>
          </xdr:nvSpPr>
          <xdr:spPr>
            <a:xfrm>
              <a:off x="3786716" y="7294033"/>
              <a:ext cx="166930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6492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069DA42-8989-4942-B755-6859AC924157}"/>
                </a:ext>
              </a:extLst>
            </xdr:cNvPr>
            <xdr:cNvSpPr txBox="1"/>
          </xdr:nvSpPr>
          <xdr:spPr>
            <a:xfrm>
              <a:off x="2025650" y="7495116"/>
              <a:ext cx="16492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𝐷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069DA42-8989-4942-B755-6859AC924157}"/>
                </a:ext>
              </a:extLst>
            </xdr:cNvPr>
            <xdr:cNvSpPr txBox="1"/>
          </xdr:nvSpPr>
          <xdr:spPr>
            <a:xfrm>
              <a:off x="2025650" y="7495116"/>
              <a:ext cx="16492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𝐺=(𝐵+𝑐⋅𝑟_𝐺⋅𝐸[𝐴_𝐷 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206966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89DAC75-1C01-4241-B41D-0714075029C6}"/>
                </a:ext>
              </a:extLst>
            </xdr:cNvPr>
            <xdr:cNvSpPr txBox="1"/>
          </xdr:nvSpPr>
          <xdr:spPr>
            <a:xfrm>
              <a:off x="4006850" y="7866591"/>
              <a:ext cx="206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89DAC75-1C01-4241-B41D-0714075029C6}"/>
                </a:ext>
              </a:extLst>
            </xdr:cNvPr>
            <xdr:cNvSpPr txBox="1"/>
          </xdr:nvSpPr>
          <xdr:spPr>
            <a:xfrm>
              <a:off x="4006850" y="7866591"/>
              <a:ext cx="206966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)⋅𝐸[𝐴_𝐷 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429174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BC863D-D61B-4014-A0B8-B222B0191A2B}"/>
                </a:ext>
              </a:extLst>
            </xdr:cNvPr>
            <xdr:cNvSpPr txBox="1"/>
          </xdr:nvSpPr>
          <xdr:spPr>
            <a:xfrm>
              <a:off x="3942293" y="8149167"/>
              <a:ext cx="1429174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  <m:sub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𝑫</m:t>
                                </m:r>
                              </m:sub>
                            </m:sSub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BC863D-D61B-4014-A0B8-B222B0191A2B}"/>
                </a:ext>
              </a:extLst>
            </xdr:cNvPr>
            <xdr:cNvSpPr txBox="1"/>
          </xdr:nvSpPr>
          <xdr:spPr>
            <a:xfrm>
              <a:off x="3942293" y="8149167"/>
              <a:ext cx="1429174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𝑮−𝒓_𝑯=(𝑮−𝑯)/(𝒄⋅𝑬[𝑨_𝑫 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10577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7EF2DAA-CBD1-434E-8DD9-CE22A9EFFF55}"/>
                </a:ext>
              </a:extLst>
            </xdr:cNvPr>
            <xdr:cNvSpPr txBox="1"/>
          </xdr:nvSpPr>
          <xdr:spPr>
            <a:xfrm>
              <a:off x="2961217" y="8809567"/>
              <a:ext cx="10577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7EF2DAA-CBD1-434E-8DD9-CE22A9EFFF55}"/>
                </a:ext>
              </a:extLst>
            </xdr:cNvPr>
            <xdr:cNvSpPr txBox="1"/>
          </xdr:nvSpPr>
          <xdr:spPr>
            <a:xfrm>
              <a:off x="2961217" y="8809567"/>
              <a:ext cx="10577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𝜙_𝐷 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𝐻)−𝜙_𝐷 (𝑟_𝐺)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</xdr:col>
      <xdr:colOff>200025</xdr:colOff>
      <xdr:row>15</xdr:row>
      <xdr:rowOff>28575</xdr:rowOff>
    </xdr:from>
    <xdr:to>
      <xdr:col>4</xdr:col>
      <xdr:colOff>1257856</xdr:colOff>
      <xdr:row>34</xdr:row>
      <xdr:rowOff>181501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EEDF7D-D7B3-46BE-949A-0A5AC41FF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924175"/>
          <a:ext cx="3982006" cy="37724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1828800</xdr:colOff>
      <xdr:row>9</xdr:row>
      <xdr:rowOff>16934</xdr:rowOff>
    </xdr:from>
    <xdr:ext cx="11305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1B5C88-0C77-4F34-AE69-D799A64CF40D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1B5C88-0C77-4F34-AE69-D799A64CF40D}"/>
                </a:ext>
              </a:extLst>
            </xdr:cNvPr>
            <xdr:cNvSpPr txBox="1"/>
          </xdr:nvSpPr>
          <xdr:spPr>
            <a:xfrm>
              <a:off x="3257550" y="1731434"/>
              <a:ext cx="11305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𝑅=(𝐵+𝑐⋅𝐿)⋅𝑇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445347</xdr:colOff>
      <xdr:row>10</xdr:row>
      <xdr:rowOff>16087</xdr:rowOff>
    </xdr:from>
    <xdr:ext cx="268894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3946924-DAA9-4E93-A4B9-438816A42E1B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3946924-DAA9-4E93-A4B9-438816A42E1B}"/>
                </a:ext>
              </a:extLst>
            </xdr:cNvPr>
            <xdr:cNvSpPr txBox="1"/>
          </xdr:nvSpPr>
          <xdr:spPr>
            <a:xfrm>
              <a:off x="1369272" y="1921087"/>
              <a:ext cx="268894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𝐻=(𝐵+〖𝑐⋅𝐿〗_𝐻 )⋅𝑇 "and " 𝐺=(𝐵+〖𝑐⋅𝐿〗_𝐺 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65616</xdr:colOff>
      <xdr:row>11</xdr:row>
      <xdr:rowOff>110065</xdr:rowOff>
    </xdr:from>
    <xdr:ext cx="1543628" cy="347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98002E-619F-4CCE-9D3A-E76DEDF592E5}"/>
                </a:ext>
              </a:extLst>
            </xdr:cNvPr>
            <xdr:cNvSpPr txBox="1"/>
          </xdr:nvSpPr>
          <xdr:spPr>
            <a:xfrm>
              <a:off x="4885266" y="2205565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and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F98002E-619F-4CCE-9D3A-E76DEDF592E5}"/>
                </a:ext>
              </a:extLst>
            </xdr:cNvPr>
            <xdr:cNvSpPr txBox="1"/>
          </xdr:nvSpPr>
          <xdr:spPr>
            <a:xfrm>
              <a:off x="4885266" y="2205565"/>
              <a:ext cx="1543628" cy="347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𝐻=𝐿_𝐻/(𝐸[𝐴])  and 𝑟_𝐺=𝐿_𝐺/(𝐸[𝐴])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135254</xdr:colOff>
      <xdr:row>13</xdr:row>
      <xdr:rowOff>118531</xdr:rowOff>
    </xdr:from>
    <xdr:ext cx="859466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ADE9664-8F93-4608-8E2D-FDE6D020801D}"/>
                </a:ext>
              </a:extLst>
            </xdr:cNvPr>
            <xdr:cNvSpPr txBox="1"/>
          </xdr:nvSpPr>
          <xdr:spPr>
            <a:xfrm>
              <a:off x="8164829" y="2633131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ADE9664-8F93-4608-8E2D-FDE6D020801D}"/>
                </a:ext>
              </a:extLst>
            </xdr:cNvPr>
            <xdr:cNvSpPr txBox="1"/>
          </xdr:nvSpPr>
          <xdr:spPr>
            <a:xfrm>
              <a:off x="8164829" y="2633131"/>
              <a:ext cx="859466" cy="3531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𝐸[𝐿]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𝐸[𝐴]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=𝑈+𝑉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183CB0-D562-4D2C-9B90-1BEC120DCF20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89958</xdr:colOff>
      <xdr:row>17</xdr:row>
      <xdr:rowOff>16933</xdr:rowOff>
    </xdr:from>
    <xdr:ext cx="11404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D56AB4-FA98-4EFD-B1E0-ACE3E027F8C9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D56AB4-FA98-4EFD-B1E0-ACE3E027F8C9}"/>
                </a:ext>
              </a:extLst>
            </xdr:cNvPr>
            <xdr:cNvSpPr txBox="1"/>
          </xdr:nvSpPr>
          <xdr:spPr>
            <a:xfrm>
              <a:off x="6900333" y="3293533"/>
              <a:ext cx="11404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𝑅=(𝑒+𝐸[𝐴])⋅𝑇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879687</xdr:colOff>
      <xdr:row>19</xdr:row>
      <xdr:rowOff>16933</xdr:rowOff>
    </xdr:from>
    <xdr:ext cx="26529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E47E53C-CFB1-4ED1-B89C-3372DD8BE294}"/>
                </a:ext>
              </a:extLst>
            </xdr:cNvPr>
            <xdr:cNvSpPr txBox="1"/>
          </xdr:nvSpPr>
          <xdr:spPr>
            <a:xfrm>
              <a:off x="5699337" y="36745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])⋅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E47E53C-CFB1-4ED1-B89C-3372DD8BE294}"/>
                </a:ext>
              </a:extLst>
            </xdr:cNvPr>
            <xdr:cNvSpPr txBox="1"/>
          </xdr:nvSpPr>
          <xdr:spPr>
            <a:xfrm>
              <a:off x="5699337" y="3674533"/>
              <a:ext cx="26529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(𝑒+𝐸[𝐴])⋅𝑇=(𝐵+𝑐⋅(𝑈+𝑉)⋅𝐸[𝐴])⋅𝑇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127001</xdr:colOff>
      <xdr:row>24</xdr:row>
      <xdr:rowOff>33867</xdr:rowOff>
    </xdr:from>
    <xdr:ext cx="2314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BC17467-9B1E-43F9-84A0-D9B8459134D6}"/>
                </a:ext>
              </a:extLst>
            </xdr:cNvPr>
            <xdr:cNvSpPr txBox="1"/>
          </xdr:nvSpPr>
          <xdr:spPr>
            <a:xfrm>
              <a:off x="6099176" y="46439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𝑐𝑉𝐸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BC17467-9B1E-43F9-84A0-D9B8459134D6}"/>
                </a:ext>
              </a:extLst>
            </xdr:cNvPr>
            <xdr:cNvSpPr txBox="1"/>
          </xdr:nvSpPr>
          <xdr:spPr>
            <a:xfrm>
              <a:off x="6099176" y="4643967"/>
              <a:ext cx="2314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𝐻=(𝐵+𝑐𝐿_𝐻 )⋅𝑇=(𝐵+𝑐𝑉𝐸[𝐴])⋅𝑇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101389</xdr:colOff>
      <xdr:row>25</xdr:row>
      <xdr:rowOff>136949</xdr:rowOff>
    </xdr:from>
    <xdr:ext cx="1023101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FC95D90-2DF4-4C4C-B157-B0178607CD46}"/>
                </a:ext>
              </a:extLst>
            </xdr:cNvPr>
            <xdr:cNvSpPr txBox="1"/>
          </xdr:nvSpPr>
          <xdr:spPr>
            <a:xfrm>
              <a:off x="6073564" y="49375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𝑐𝑉𝐸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FC95D90-2DF4-4C4C-B157-B0178607CD46}"/>
                </a:ext>
              </a:extLst>
            </xdr:cNvPr>
            <xdr:cNvSpPr txBox="1"/>
          </xdr:nvSpPr>
          <xdr:spPr>
            <a:xfrm>
              <a:off x="6073564" y="4937549"/>
              <a:ext cx="102310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𝐻/𝑇−𝐵=𝑐𝑉𝐸[𝐴]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6</xdr:col>
      <xdr:colOff>677334</xdr:colOff>
      <xdr:row>28</xdr:row>
      <xdr:rowOff>8466</xdr:rowOff>
    </xdr:from>
    <xdr:ext cx="19560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60A4440-1964-4B55-9A3C-8F4A260E5216}"/>
                </a:ext>
              </a:extLst>
            </xdr:cNvPr>
            <xdr:cNvSpPr txBox="1"/>
          </xdr:nvSpPr>
          <xdr:spPr>
            <a:xfrm>
              <a:off x="6649509" y="53805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𝑐𝑈𝐸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60A4440-1964-4B55-9A3C-8F4A260E5216}"/>
                </a:ext>
              </a:extLst>
            </xdr:cNvPr>
            <xdr:cNvSpPr txBox="1"/>
          </xdr:nvSpPr>
          <xdr:spPr>
            <a:xfrm>
              <a:off x="6649509" y="5380566"/>
              <a:ext cx="19560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𝑐𝑈𝐸[𝐴]</a:t>
              </a:r>
              <a:r>
                <a:rPr lang="en-US" sz="1100" b="0" i="0">
                  <a:latin typeface="Cambria Math" panose="02040503050406030204" pitchFamily="18" charset="0"/>
                </a:rPr>
                <a:t>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474133</xdr:colOff>
      <xdr:row>30</xdr:row>
      <xdr:rowOff>27516</xdr:rowOff>
    </xdr:from>
    <xdr:ext cx="13415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BD374FF-38DD-4A78-988F-0E9444ADA971}"/>
                </a:ext>
              </a:extLst>
            </xdr:cNvPr>
            <xdr:cNvSpPr txBox="1"/>
          </xdr:nvSpPr>
          <xdr:spPr>
            <a:xfrm>
              <a:off x="7284508" y="5780616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BD374FF-38DD-4A78-988F-0E9444ADA971}"/>
                </a:ext>
              </a:extLst>
            </xdr:cNvPr>
            <xdr:cNvSpPr txBox="1"/>
          </xdr:nvSpPr>
          <xdr:spPr>
            <a:xfrm>
              <a:off x="7284508" y="5780616"/>
              <a:ext cx="134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𝑈=𝜙_𝐷^⋆ (𝑟_𝐻 )−𝜙_𝐷^⋆ (𝑟_𝐺)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981287</xdr:colOff>
      <xdr:row>33</xdr:row>
      <xdr:rowOff>10371</xdr:rowOff>
    </xdr:from>
    <xdr:ext cx="3301737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236CEB2-4216-48A0-BB62-9139DC3DBF85}"/>
                </a:ext>
              </a:extLst>
            </xdr:cNvPr>
            <xdr:cNvSpPr txBox="1"/>
          </xdr:nvSpPr>
          <xdr:spPr>
            <a:xfrm>
              <a:off x="5800937" y="6334971"/>
              <a:ext cx="3301737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𝐻</m:t>
                                </m:r>
                              </m:sub>
                            </m:sSub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𝑟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236CEB2-4216-48A0-BB62-9139DC3DBF85}"/>
                </a:ext>
              </a:extLst>
            </xdr:cNvPr>
            <xdr:cNvSpPr txBox="1"/>
          </xdr:nvSpPr>
          <xdr:spPr>
            <a:xfrm>
              <a:off x="5800937" y="6334971"/>
              <a:ext cx="3301737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(𝑒+𝐸[𝐴])⋅𝑇=𝑐⋅(𝜙_𝐷^⋆ (𝑟_𝐻 )−𝜙_𝐷^⋆ (𝑟_𝐺 ))⋅𝐸[𝐴]⋅𝑇+𝐻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7</xdr:col>
      <xdr:colOff>298663</xdr:colOff>
      <xdr:row>34</xdr:row>
      <xdr:rowOff>92286</xdr:rowOff>
    </xdr:from>
    <xdr:ext cx="2430088" cy="3565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E0020DD-D969-4373-8B16-B378FCA378BF}"/>
                </a:ext>
              </a:extLst>
            </xdr:cNvPr>
            <xdr:cNvSpPr txBox="1"/>
          </xdr:nvSpPr>
          <xdr:spPr>
            <a:xfrm>
              <a:off x="7109038" y="6607386"/>
              <a:ext cx="2430088" cy="3565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  <m:sup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𝑯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Sup>
                      <m:sSubSup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𝑫</m:t>
                        </m:r>
                      </m:sub>
                      <m:sup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d>
                      <m:d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𝒓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𝑮</m:t>
                            </m:r>
                          </m:sub>
                        </m:sSub>
                      </m:e>
                    </m:d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𝒆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𝑬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𝑨</m:t>
                                </m:r>
                              </m:e>
                            </m:d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E0020DD-D969-4373-8B16-B378FCA378BF}"/>
                </a:ext>
              </a:extLst>
            </xdr:cNvPr>
            <xdr:cNvSpPr txBox="1"/>
          </xdr:nvSpPr>
          <xdr:spPr>
            <a:xfrm>
              <a:off x="7109038" y="6607386"/>
              <a:ext cx="2430088" cy="3565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𝝓_𝑫^⋆ (𝒓_𝑯 )−𝝓_𝑫^⋆ (𝒓_𝑮 )=((𝒆+𝑬[𝑨])⋅𝑻−𝑯)/(𝒄⋅𝑬[𝑨]⋅𝑻)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966259</xdr:colOff>
      <xdr:row>37</xdr:row>
      <xdr:rowOff>7407</xdr:rowOff>
    </xdr:from>
    <xdr:ext cx="89973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E244F5-8648-428A-ACC4-1C926A1EE7CB}"/>
                </a:ext>
              </a:extLst>
            </xdr:cNvPr>
            <xdr:cNvSpPr txBox="1"/>
          </xdr:nvSpPr>
          <xdr:spPr>
            <a:xfrm>
              <a:off x="5785909" y="70940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7E244F5-8648-428A-ACC4-1C926A1EE7CB}"/>
                </a:ext>
              </a:extLst>
            </xdr:cNvPr>
            <xdr:cNvSpPr txBox="1"/>
          </xdr:nvSpPr>
          <xdr:spPr>
            <a:xfrm>
              <a:off x="5785909" y="7094007"/>
              <a:ext cx="89973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𝐿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𝐻=𝑟_𝐻⋅𝐸[𝐴]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252941</xdr:colOff>
      <xdr:row>38</xdr:row>
      <xdr:rowOff>16933</xdr:rowOff>
    </xdr:from>
    <xdr:ext cx="15885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C06C2C9-15F1-4F90-95BC-E8FC8C3593E8}"/>
                </a:ext>
              </a:extLst>
            </xdr:cNvPr>
            <xdr:cNvSpPr txBox="1"/>
          </xdr:nvSpPr>
          <xdr:spPr>
            <a:xfrm>
              <a:off x="3786716" y="72940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7C06C2C9-15F1-4F90-95BC-E8FC8C3593E8}"/>
                </a:ext>
              </a:extLst>
            </xdr:cNvPr>
            <xdr:cNvSpPr txBox="1"/>
          </xdr:nvSpPr>
          <xdr:spPr>
            <a:xfrm>
              <a:off x="3786716" y="7294033"/>
              <a:ext cx="15885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𝐻=(𝐵+𝑐⋅𝑟_𝐻⋅𝐸[𝐴])⋅𝑇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3</xdr:col>
      <xdr:colOff>596900</xdr:colOff>
      <xdr:row>39</xdr:row>
      <xdr:rowOff>27516</xdr:rowOff>
    </xdr:from>
    <xdr:ext cx="156850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FDD6F75-4586-43E2-9497-00E62737FF9B}"/>
                </a:ext>
              </a:extLst>
            </xdr:cNvPr>
            <xdr:cNvSpPr txBox="1"/>
          </xdr:nvSpPr>
          <xdr:spPr>
            <a:xfrm>
              <a:off x="2025650" y="74951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</m:d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FDD6F75-4586-43E2-9497-00E62737FF9B}"/>
                </a:ext>
              </a:extLst>
            </xdr:cNvPr>
            <xdr:cNvSpPr txBox="1"/>
          </xdr:nvSpPr>
          <xdr:spPr>
            <a:xfrm>
              <a:off x="2025650" y="7495116"/>
              <a:ext cx="156850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𝐺=(𝐵+𝑐⋅𝑟_𝐺⋅𝐸[𝐴])⋅𝑇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473075</xdr:colOff>
      <xdr:row>41</xdr:row>
      <xdr:rowOff>17991</xdr:rowOff>
    </xdr:from>
    <xdr:ext cx="195463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0628823-12A7-4BAA-BD84-4CB91789868C}"/>
                </a:ext>
              </a:extLst>
            </xdr:cNvPr>
            <xdr:cNvSpPr txBox="1"/>
          </xdr:nvSpPr>
          <xdr:spPr>
            <a:xfrm>
              <a:off x="4006850" y="7866591"/>
              <a:ext cx="19546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𝐺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𝑐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𝑟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0628823-12A7-4BAA-BD84-4CB91789868C}"/>
                </a:ext>
              </a:extLst>
            </xdr:cNvPr>
            <xdr:cNvSpPr txBox="1"/>
          </xdr:nvSpPr>
          <xdr:spPr>
            <a:xfrm>
              <a:off x="4006850" y="7866591"/>
              <a:ext cx="195463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𝐺−𝐻=𝑐⋅(𝑟_𝐺− 𝑟_𝐻 )⋅𝐸[𝐴]⋅𝑇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408518</xdr:colOff>
      <xdr:row>42</xdr:row>
      <xdr:rowOff>110067</xdr:rowOff>
    </xdr:from>
    <xdr:ext cx="1346074" cy="342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16EFEEA8-9C7E-408F-B884-BCB896263287}"/>
                </a:ext>
              </a:extLst>
            </xdr:cNvPr>
            <xdr:cNvSpPr txBox="1"/>
          </xdr:nvSpPr>
          <xdr:spPr>
            <a:xfrm>
              <a:off x="3942293" y="81491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𝒓</m:t>
                        </m:r>
                      </m:e>
                      <m:sub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sub>
                    </m:sSub>
                    <m:r>
                      <a:rPr lang="en-US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𝑯</m:t>
                        </m:r>
                      </m:num>
                      <m:den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1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𝑨</m:t>
                            </m:r>
                          </m:e>
                        </m:d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𝑻</m:t>
                        </m:r>
                      </m:den>
                    </m:f>
                  </m:oMath>
                </m:oMathPara>
              </a14:m>
              <a:endParaRPr lang="en-GB" sz="11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16EFEEA8-9C7E-408F-B884-BCB896263287}"/>
                </a:ext>
              </a:extLst>
            </xdr:cNvPr>
            <xdr:cNvSpPr txBox="1"/>
          </xdr:nvSpPr>
          <xdr:spPr>
            <a:xfrm>
              <a:off x="3942293" y="8149167"/>
              <a:ext cx="1346074" cy="342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𝒓</a:t>
              </a:r>
              <a:r>
                <a:rPr lang="en-GB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𝑮−𝒓_𝑯=(𝑮−𝑯)/(𝒄⋅𝑬[𝑨]⋅𝑻)</a:t>
              </a:r>
              <a:endParaRPr lang="en-GB" sz="11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1532467</xdr:colOff>
      <xdr:row>46</xdr:row>
      <xdr:rowOff>8467</xdr:rowOff>
    </xdr:from>
    <xdr:ext cx="105779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DC3CB2E-214B-4DB3-97F3-04B7A444339C}"/>
                </a:ext>
              </a:extLst>
            </xdr:cNvPr>
            <xdr:cNvSpPr txBox="1"/>
          </xdr:nvSpPr>
          <xdr:spPr>
            <a:xfrm>
              <a:off x="2961217" y="8809567"/>
              <a:ext cx="105779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Sup>
                          <m:sSub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𝜙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⋆</m:t>
                            </m:r>
                          </m:sup>
                        </m:sSub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)−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⋆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CDC3CB2E-214B-4DB3-97F3-04B7A444339C}"/>
                </a:ext>
              </a:extLst>
            </xdr:cNvPr>
            <xdr:cNvSpPr txBox="1"/>
          </xdr:nvSpPr>
          <xdr:spPr>
            <a:xfrm>
              <a:off x="2961217" y="8809567"/>
              <a:ext cx="105779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〖</a:t>
              </a:r>
              <a:r>
                <a:rPr lang="en-US" sz="1100" b="0" i="0">
                  <a:latin typeface="Cambria Math" panose="02040503050406030204" pitchFamily="18" charset="0"/>
                </a:rPr>
                <a:t>𝜙_𝐷^⋆ (𝑟</a:t>
              </a:r>
              <a:r>
                <a:rPr lang="en-GB" sz="1100" b="0" i="0">
                  <a:latin typeface="Cambria Math" panose="02040503050406030204" pitchFamily="18" charset="0"/>
                </a:rPr>
                <a:t>〗_</a:t>
              </a:r>
              <a:r>
                <a:rPr lang="en-US" sz="1100" b="0" i="0">
                  <a:latin typeface="Cambria Math" panose="02040503050406030204" pitchFamily="18" charset="0"/>
                </a:rPr>
                <a:t>𝐻)−𝜙_𝐷^⋆ (𝑟_𝐺)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</xdr:col>
      <xdr:colOff>190500</xdr:colOff>
      <xdr:row>15</xdr:row>
      <xdr:rowOff>19050</xdr:rowOff>
    </xdr:from>
    <xdr:to>
      <xdr:col>4</xdr:col>
      <xdr:colOff>1248331</xdr:colOff>
      <xdr:row>34</xdr:row>
      <xdr:rowOff>171976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56948FC-EA4C-4B60-8D2F-B41700FA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914650"/>
          <a:ext cx="3982006" cy="37724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8467</xdr:colOff>
      <xdr:row>21</xdr:row>
      <xdr:rowOff>33867</xdr:rowOff>
    </xdr:from>
    <xdr:to>
      <xdr:col>14</xdr:col>
      <xdr:colOff>93134</xdr:colOff>
      <xdr:row>35</xdr:row>
      <xdr:rowOff>118534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93175C-7A2E-497C-BB46-E3A911FE7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422487</xdr:colOff>
      <xdr:row>55</xdr:row>
      <xdr:rowOff>9525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CE1E36-1329-497F-A790-3AB2FA7E2D22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CE1E36-1329-497F-A790-3AB2FA7E2D22}"/>
                </a:ext>
              </a:extLst>
            </xdr:cNvPr>
            <xdr:cNvSpPr txBox="1"/>
          </xdr:nvSpPr>
          <xdr:spPr>
            <a:xfrm>
              <a:off x="12366837" y="10487025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558800</xdr:colOff>
      <xdr:row>56</xdr:row>
      <xdr:rowOff>16932</xdr:rowOff>
    </xdr:from>
    <xdr:ext cx="286738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ECAFC39-FA3A-4DDF-B14A-5EFCED04EDB6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1.2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+1.2−1=0.21+0.2=0.41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ECAFC39-FA3A-4DDF-B14A-5EFCED04EDB6}"/>
                </a:ext>
              </a:extLst>
            </xdr:cNvPr>
            <xdr:cNvSpPr txBox="1"/>
          </xdr:nvSpPr>
          <xdr:spPr>
            <a:xfrm>
              <a:off x="9417050" y="10684932"/>
              <a:ext cx="28673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𝜓(1.2)=𝜙(1.2)+1.2−1=0.21+0.2=0.41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16934</xdr:colOff>
      <xdr:row>18</xdr:row>
      <xdr:rowOff>16932</xdr:rowOff>
    </xdr:from>
    <xdr:to>
      <xdr:col>13</xdr:col>
      <xdr:colOff>702733</xdr:colOff>
      <xdr:row>32</xdr:row>
      <xdr:rowOff>101598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9945E-C330-4B31-8A68-57A38C49E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533188</xdr:colOff>
      <xdr:row>41</xdr:row>
      <xdr:rowOff>11218</xdr:rowOff>
    </xdr:from>
    <xdr:ext cx="13063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366679-AFBB-4706-8A3B-C8BA6DBD7693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366679-AFBB-4706-8A3B-C8BA6DBD7693}"/>
                </a:ext>
              </a:extLst>
            </xdr:cNvPr>
            <xdr:cNvSpPr txBox="1"/>
          </xdr:nvSpPr>
          <xdr:spPr>
            <a:xfrm>
              <a:off x="12563263" y="8012218"/>
              <a:ext cx="13063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𝜓(𝑟)=𝜙(𝑟)+𝑟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3</xdr:col>
      <xdr:colOff>1448647</xdr:colOff>
      <xdr:row>4</xdr:row>
      <xdr:rowOff>38736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1FCAB-A402-4EDD-9177-1B140B73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3334597" cy="80073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596265</xdr:colOff>
      <xdr:row>9</xdr:row>
      <xdr:rowOff>6667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049740-65DB-4E2C-866C-3E84C5B758C1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049740-65DB-4E2C-866C-3E84C5B758C1}"/>
                </a:ext>
              </a:extLst>
            </xdr:cNvPr>
            <xdr:cNvSpPr txBox="1"/>
          </xdr:nvSpPr>
          <xdr:spPr>
            <a:xfrm>
              <a:off x="12359640" y="1911667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11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07712A-827F-417C-BF45-F6BEB34D19FB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07712A-827F-417C-BF45-F6BEB34D19FB}"/>
                </a:ext>
              </a:extLst>
            </xdr:cNvPr>
            <xdr:cNvSpPr txBox="1"/>
          </xdr:nvSpPr>
          <xdr:spPr>
            <a:xfrm>
              <a:off x="12102465" y="2292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59055</xdr:colOff>
      <xdr:row>23</xdr:row>
      <xdr:rowOff>8572</xdr:rowOff>
    </xdr:from>
    <xdr:ext cx="8542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6443AB2-51A7-4B92-942B-2941930EF677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𝐷</m:t>
                          </m:r>
                        </m:sub>
                      </m:sSub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6443AB2-51A7-4B92-942B-2941930EF677}"/>
                </a:ext>
              </a:extLst>
            </xdr:cNvPr>
            <xdr:cNvSpPr txBox="1"/>
          </xdr:nvSpPr>
          <xdr:spPr>
            <a:xfrm>
              <a:off x="12565380" y="4580572"/>
              <a:ext cx="8542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𝐸[𝐴_𝐷 ]⋅𝜙(𝑟)  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oneCellAnchor>
    <xdr:from>
      <xdr:col>12</xdr:col>
      <xdr:colOff>339090</xdr:colOff>
      <xdr:row>25</xdr:row>
      <xdr:rowOff>6667</xdr:rowOff>
    </xdr:from>
    <xdr:ext cx="100976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122454D-6AA8-40D0-B73C-4B7853E534C1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122454D-6AA8-40D0-B73C-4B7853E534C1}"/>
                </a:ext>
              </a:extLst>
            </xdr:cNvPr>
            <xdr:cNvSpPr txBox="1"/>
          </xdr:nvSpPr>
          <xdr:spPr>
            <a:xfrm>
              <a:off x="12102465" y="4959667"/>
              <a:ext cx="100976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𝐸[𝐴]−𝐸[𝐴_𝐷 ]=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80434</xdr:colOff>
      <xdr:row>5</xdr:row>
      <xdr:rowOff>156633</xdr:rowOff>
    </xdr:from>
    <xdr:ext cx="2157385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59F990-1B15-402D-BBEC-5A53966F990B}"/>
                </a:ext>
              </a:extLst>
            </xdr:cNvPr>
            <xdr:cNvSpPr txBox="1"/>
          </xdr:nvSpPr>
          <xdr:spPr>
            <a:xfrm>
              <a:off x="11958109" y="1109133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59F990-1B15-402D-BBEC-5A53966F990B}"/>
                </a:ext>
              </a:extLst>
            </xdr:cNvPr>
            <xdr:cNvSpPr txBox="1"/>
          </xdr:nvSpPr>
          <xdr:spPr>
            <a:xfrm>
              <a:off x="11958109" y="1109133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"Limited Aggregate Loss" 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"Expected Unlimited Aggregate Loss" 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8</xdr:col>
      <xdr:colOff>13335</xdr:colOff>
      <xdr:row>13</xdr:row>
      <xdr:rowOff>132925</xdr:rowOff>
    </xdr:from>
    <xdr:to>
      <xdr:col>15</xdr:col>
      <xdr:colOff>148300</xdr:colOff>
      <xdr:row>33</xdr:row>
      <xdr:rowOff>151235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2EC0E-D1EA-45DD-86C2-F2689E1C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0" y="2609425"/>
          <a:ext cx="3840190" cy="3837835"/>
        </a:xfrm>
        <a:prstGeom prst="rect">
          <a:avLst/>
        </a:prstGeom>
      </xdr:spPr>
    </xdr:pic>
    <xdr:clientData/>
  </xdr:twoCellAnchor>
  <xdr:oneCellAnchor>
    <xdr:from>
      <xdr:col>9</xdr:col>
      <xdr:colOff>84667</xdr:colOff>
      <xdr:row>45</xdr:row>
      <xdr:rowOff>4233</xdr:rowOff>
    </xdr:from>
    <xdr:ext cx="12781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DF7C4D6-D5D3-471D-8714-617D6EB05F9B}"/>
                </a:ext>
              </a:extLst>
            </xdr:cNvPr>
            <xdr:cNvSpPr txBox="1"/>
          </xdr:nvSpPr>
          <xdr:spPr>
            <a:xfrm>
              <a:off x="9019117" y="85767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DF7C4D6-D5D3-471D-8714-617D6EB05F9B}"/>
                </a:ext>
              </a:extLst>
            </xdr:cNvPr>
            <xdr:cNvSpPr txBox="1"/>
          </xdr:nvSpPr>
          <xdr:spPr>
            <a:xfrm>
              <a:off x="9019117" y="85767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𝜓_𝐷^∗=𝜙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674914</xdr:colOff>
      <xdr:row>0</xdr:row>
      <xdr:rowOff>108856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D98B934-4A9E-475D-9935-DAE17050774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D98B934-4A9E-475D-9935-DAE17050774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882291</xdr:colOff>
      <xdr:row>7</xdr:row>
      <xdr:rowOff>101237</xdr:rowOff>
    </xdr:from>
    <xdr:ext cx="2518061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A22F42E-A5C3-4CFF-A4D3-2F6406FC8242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A22F42E-A5C3-4CFF-A4D3-2F6406FC8242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Unlimited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31296</xdr:colOff>
      <xdr:row>25</xdr:row>
      <xdr:rowOff>10886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65D6205-8EE1-4AE3-8B9F-AE89DDCB576E}"/>
                </a:ext>
              </a:extLst>
            </xdr:cNvPr>
            <xdr:cNvSpPr txBox="1"/>
          </xdr:nvSpPr>
          <xdr:spPr>
            <a:xfrm>
              <a:off x="10223046" y="478291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65D6205-8EE1-4AE3-8B9F-AE89DDCB576E}"/>
                </a:ext>
              </a:extLst>
            </xdr:cNvPr>
            <xdr:cNvSpPr txBox="1"/>
          </xdr:nvSpPr>
          <xdr:spPr>
            <a:xfrm>
              <a:off x="10223046" y="478291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99331</xdr:colOff>
      <xdr:row>25</xdr:row>
      <xdr:rowOff>9526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9A8ACE-6441-4153-BC03-A7508E9D6FB8}"/>
                </a:ext>
              </a:extLst>
            </xdr:cNvPr>
            <xdr:cNvSpPr txBox="1"/>
          </xdr:nvSpPr>
          <xdr:spPr>
            <a:xfrm>
              <a:off x="10938781" y="478155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9A8ACE-6441-4153-BC03-A7508E9D6FB8}"/>
                </a:ext>
              </a:extLst>
            </xdr:cNvPr>
            <xdr:cNvSpPr txBox="1"/>
          </xdr:nvSpPr>
          <xdr:spPr>
            <a:xfrm>
              <a:off x="10938781" y="478155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612321</xdr:colOff>
      <xdr:row>40</xdr:row>
      <xdr:rowOff>9525</xdr:rowOff>
    </xdr:from>
    <xdr:ext cx="149643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734EB9D-7ED7-4657-BD05-6F57C1383FC9}"/>
                </a:ext>
              </a:extLst>
            </xdr:cNvPr>
            <xdr:cNvSpPr txBox="1"/>
          </xdr:nvSpPr>
          <xdr:spPr>
            <a:xfrm>
              <a:off x="8146596" y="7639050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)= 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734EB9D-7ED7-4657-BD05-6F57C1383FC9}"/>
                </a:ext>
              </a:extLst>
            </xdr:cNvPr>
            <xdr:cNvSpPr txBox="1"/>
          </xdr:nvSpPr>
          <xdr:spPr>
            <a:xfrm>
              <a:off x="8146596" y="7639050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(𝑟)= 𝜙_𝐷^∗ 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304799</xdr:colOff>
      <xdr:row>41</xdr:row>
      <xdr:rowOff>10886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EC415E5-BF02-4AC1-B2CA-5CAE8D3CB9CC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EC415E5-BF02-4AC1-B2CA-5CAE8D3CB9CC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272143</xdr:colOff>
      <xdr:row>41</xdr:row>
      <xdr:rowOff>0</xdr:rowOff>
    </xdr:from>
    <xdr:ext cx="4004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039D185-558F-47AD-9A3A-A5BC5804A618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039D185-558F-47AD-9A3A-A5BC5804A618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119743</xdr:colOff>
      <xdr:row>38</xdr:row>
      <xdr:rowOff>21771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2614937-6210-496F-8762-055B63525F40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2614937-6210-496F-8762-055B63525F40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16</xdr:col>
      <xdr:colOff>78377</xdr:colOff>
      <xdr:row>38</xdr:row>
      <xdr:rowOff>3265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7EE34D0-5AF9-4068-88B3-FB7075749BEF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7EE34D0-5AF9-4068-88B3-FB7075749BEF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382087</xdr:colOff>
      <xdr:row>2</xdr:row>
      <xdr:rowOff>114572</xdr:rowOff>
    </xdr:from>
    <xdr:ext cx="2304029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78D8B1-AAC0-442C-9274-6403CFCE4239}"/>
                </a:ext>
              </a:extLst>
            </xdr:cNvPr>
            <xdr:cNvSpPr txBox="1"/>
          </xdr:nvSpPr>
          <xdr:spPr>
            <a:xfrm>
              <a:off x="10659562" y="495572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78D8B1-AAC0-442C-9274-6403CFCE4239}"/>
                </a:ext>
              </a:extLst>
            </xdr:cNvPr>
            <xdr:cNvSpPr txBox="1"/>
          </xdr:nvSpPr>
          <xdr:spPr>
            <a:xfrm>
              <a:off x="10659562" y="495572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534759</xdr:colOff>
      <xdr:row>8</xdr:row>
      <xdr:rowOff>121102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BFABD24-F1B1-46D5-A6FD-43D5A19E6C21}"/>
                </a:ext>
              </a:extLst>
            </xdr:cNvPr>
            <xdr:cNvSpPr txBox="1"/>
          </xdr:nvSpPr>
          <xdr:spPr>
            <a:xfrm>
              <a:off x="9764484" y="1645102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BFABD24-F1B1-46D5-A6FD-43D5A19E6C21}"/>
                </a:ext>
              </a:extLst>
            </xdr:cNvPr>
            <xdr:cNvSpPr txBox="1"/>
          </xdr:nvSpPr>
          <xdr:spPr>
            <a:xfrm>
              <a:off x="9764484" y="1645102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831396</xdr:colOff>
      <xdr:row>12</xdr:row>
      <xdr:rowOff>137432</xdr:rowOff>
    </xdr:from>
    <xdr:ext cx="1140440" cy="320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7EEE413-2499-492E-A2A4-BA831B2E1E7E}"/>
                </a:ext>
              </a:extLst>
            </xdr:cNvPr>
            <xdr:cNvSpPr txBox="1"/>
          </xdr:nvSpPr>
          <xdr:spPr>
            <a:xfrm>
              <a:off x="10061121" y="2423432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𝐼𝐶𝑅𝐿𝐿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1+0.8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7EEE413-2499-492E-A2A4-BA831B2E1E7E}"/>
                </a:ext>
              </a:extLst>
            </xdr:cNvPr>
            <xdr:cNvSpPr txBox="1"/>
          </xdr:nvSpPr>
          <xdr:spPr>
            <a:xfrm>
              <a:off x="10061121" y="2423432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𝐼𝐶𝑅𝐿𝐿=  (1+0.8𝑘)/(1−𝑘)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97972</xdr:colOff>
      <xdr:row>26</xdr:row>
      <xdr:rowOff>10886</xdr:rowOff>
    </xdr:from>
    <xdr:ext cx="7537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ECA231A-5F97-4807-9634-605CDE3EB5BB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[</m:t>
                  </m:r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𝐴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𝐷</m:t>
                      </m:r>
                    </m:sub>
                  </m:sSub>
                </m:oMath>
              </a14:m>
              <a:r>
                <a:rPr lang="en-GB" sz="1100"/>
                <a:t>]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ECA231A-5F97-4807-9634-605CDE3EB5BB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𝜙(𝑟)⋅𝐸[𝐴_𝐷</a:t>
              </a:r>
              <a:r>
                <a:rPr lang="en-GB" sz="1100"/>
                <a:t>]</a:t>
              </a:r>
            </a:p>
          </xdr:txBody>
        </xdr:sp>
      </mc:Fallback>
    </mc:AlternateContent>
    <xdr:clientData/>
  </xdr:oneCellAnchor>
  <xdr:oneCellAnchor>
    <xdr:from>
      <xdr:col>15</xdr:col>
      <xdr:colOff>413657</xdr:colOff>
      <xdr:row>29</xdr:row>
      <xdr:rowOff>21772</xdr:rowOff>
    </xdr:from>
    <xdr:ext cx="6757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729671E-4F33-4075-96F6-121C3EFA4C5C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729671E-4F33-4075-96F6-121C3EFA4C5C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𝐸−𝐸[𝐴_𝐷]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59267</xdr:colOff>
      <xdr:row>2</xdr:row>
      <xdr:rowOff>14816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0B2258-BF0B-453A-A744-72B2FCB336B2}"/>
                </a:ext>
              </a:extLst>
            </xdr:cNvPr>
            <xdr:cNvSpPr txBox="1"/>
          </xdr:nvSpPr>
          <xdr:spPr>
            <a:xfrm>
              <a:off x="10327217" y="39581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0B2258-BF0B-453A-A744-72B2FCB336B2}"/>
                </a:ext>
              </a:extLst>
            </xdr:cNvPr>
            <xdr:cNvSpPr txBox="1"/>
          </xdr:nvSpPr>
          <xdr:spPr>
            <a:xfrm>
              <a:off x="10327217" y="395816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245534</xdr:colOff>
      <xdr:row>17</xdr:row>
      <xdr:rowOff>0</xdr:rowOff>
    </xdr:from>
    <xdr:ext cx="959622" cy="191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3B543A0-CBD0-48B7-9EC3-8F6D5BDC812F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1000</m:t>
                      </m:r>
                    </m:sub>
                  </m:sSub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̂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en-US" sz="1100" b="0" i="1">
                          <a:latin typeface="Cambria Math" panose="02040503050406030204" pitchFamily="18" charset="0"/>
                        </a:rPr>
                        <m:t>;2000</m:t>
                      </m:r>
                    </m:e>
                  </m:d>
                </m:oMath>
              </a14:m>
              <a:r>
                <a:rPr lang="en-GB" sz="1100"/>
                <a:t>=</a:t>
              </a: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3B543A0-CBD0-48B7-9EC3-8F6D5BDC812F}"/>
                </a:ext>
              </a:extLst>
            </xdr:cNvPr>
            <xdr:cNvSpPr txBox="1"/>
          </xdr:nvSpPr>
          <xdr:spPr>
            <a:xfrm>
              <a:off x="7941734" y="3505200"/>
              <a:ext cx="959622" cy="191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𝐸_1000 [𝑋 ̂;2000]</a:t>
              </a:r>
              <a:r>
                <a:rPr lang="en-GB" sz="1100"/>
                <a:t>=</a:t>
              </a:r>
            </a:p>
          </xdr:txBody>
        </xdr:sp>
      </mc:Fallback>
    </mc:AlternateContent>
    <xdr:clientData/>
  </xdr:oneCellAnchor>
  <xdr:twoCellAnchor>
    <xdr:from>
      <xdr:col>12</xdr:col>
      <xdr:colOff>16933</xdr:colOff>
      <xdr:row>22</xdr:row>
      <xdr:rowOff>25399</xdr:rowOff>
    </xdr:from>
    <xdr:to>
      <xdr:col>19</xdr:col>
      <xdr:colOff>67733</xdr:colOff>
      <xdr:row>36</xdr:row>
      <xdr:rowOff>118533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909E04-638C-495C-9180-B88F7CF61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84667</xdr:colOff>
      <xdr:row>41</xdr:row>
      <xdr:rowOff>59266</xdr:rowOff>
    </xdr:from>
    <xdr:ext cx="2149563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B394AB-39B6-46C8-BDE4-37DCDAC3204F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d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+1222.7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B394AB-39B6-46C8-BDE4-37DCDAC3204F}"/>
                </a:ext>
              </a:extLst>
            </xdr:cNvPr>
            <xdr:cNvSpPr txBox="1"/>
          </xdr:nvSpPr>
          <xdr:spPr>
            <a:xfrm>
              <a:off x="8152342" y="8174566"/>
              <a:ext cx="2149563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𝑒_𝑋(𝑥) =  (𝑥+𝛽)/(𝛼−1)=0.2535𝑥+1222.7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770467</xdr:colOff>
      <xdr:row>43</xdr:row>
      <xdr:rowOff>118533</xdr:rowOff>
    </xdr:from>
    <xdr:ext cx="970137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B2733B4-94E8-4B9D-B1D3-66F32B58FAC0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=0.2535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B2733B4-94E8-4B9D-B1D3-66F32B58FAC0}"/>
                </a:ext>
              </a:extLst>
            </xdr:cNvPr>
            <xdr:cNvSpPr txBox="1"/>
          </xdr:nvSpPr>
          <xdr:spPr>
            <a:xfrm>
              <a:off x="8838142" y="8614833"/>
              <a:ext cx="970137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1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=0.2535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414866</xdr:colOff>
      <xdr:row>43</xdr:row>
      <xdr:rowOff>101600</xdr:rowOff>
    </xdr:from>
    <xdr:ext cx="970137" cy="321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DD29D5F-1037-4976-8C47-271084FCBCF1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𝛼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=1222.7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DD29D5F-1037-4976-8C47-271084FCBCF1}"/>
                </a:ext>
              </a:extLst>
            </xdr:cNvPr>
            <xdr:cNvSpPr txBox="1"/>
          </xdr:nvSpPr>
          <xdr:spPr>
            <a:xfrm>
              <a:off x="10682816" y="8597900"/>
              <a:ext cx="970137" cy="321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</a:t>
              </a:r>
              <a:r>
                <a:rPr lang="en-GB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 panose="02040503050406030204" pitchFamily="18" charset="0"/>
                </a:rPr>
                <a:t>𝛼−1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=1222.7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228600</xdr:colOff>
      <xdr:row>46</xdr:row>
      <xdr:rowOff>25400</xdr:rowOff>
    </xdr:from>
    <xdr:ext cx="64581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3EA5F6D-3101-497A-A83E-34800C01866D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=4.945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3EA5F6D-3101-497A-A83E-34800C01866D}"/>
                </a:ext>
              </a:extLst>
            </xdr:cNvPr>
            <xdr:cNvSpPr txBox="1"/>
          </xdr:nvSpPr>
          <xdr:spPr>
            <a:xfrm>
              <a:off x="8296275" y="9093200"/>
              <a:ext cx="645818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𝛼=4.945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321733</xdr:colOff>
      <xdr:row>46</xdr:row>
      <xdr:rowOff>25398</xdr:rowOff>
    </xdr:from>
    <xdr:ext cx="80291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C1D3872-EB6F-4816-8450-5D77D0BA8F3A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𝛽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=4823.27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C1D3872-EB6F-4816-8450-5D77D0BA8F3A}"/>
                </a:ext>
              </a:extLst>
            </xdr:cNvPr>
            <xdr:cNvSpPr txBox="1"/>
          </xdr:nvSpPr>
          <xdr:spPr>
            <a:xfrm>
              <a:off x="9237133" y="9093198"/>
              <a:ext cx="802912" cy="17222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𝛽=4823.27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16932</xdr:colOff>
      <xdr:row>5</xdr:row>
      <xdr:rowOff>194732</xdr:rowOff>
    </xdr:from>
    <xdr:ext cx="1236492" cy="3852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C56B40-8663-40C0-957D-F0DC6CC82EFA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C56B40-8663-40C0-957D-F0DC6CC82EFA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𝐼(𝐿)=(𝐸[𝑋;𝐿]+𝜖)/(𝐸[𝑋;𝑏]+𝜖)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406400</xdr:colOff>
      <xdr:row>2</xdr:row>
      <xdr:rowOff>33866</xdr:rowOff>
    </xdr:from>
    <xdr:ext cx="6334298" cy="488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7F0E-2633-431C-857F-3767C19D27C1}"/>
                </a:ext>
              </a:extLst>
            </xdr:cNvPr>
            <xdr:cNvSpPr txBox="1"/>
          </xdr:nvSpPr>
          <xdr:spPr>
            <a:xfrm>
              <a:off x="9645650" y="605366"/>
              <a:ext cx="6334298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9FC7F0E-2633-431C-857F-3767C19D27C1}"/>
                </a:ext>
              </a:extLst>
            </xdr:cNvPr>
            <xdr:cNvSpPr txBox="1"/>
          </xdr:nvSpPr>
          <xdr:spPr>
            <a:xfrm>
              <a:off x="9645650" y="605366"/>
              <a:ext cx="6334298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𝑒^(𝜇+𝜎^2/2) " and " 𝐸[𝑋;𝐿]=E[X]⋅Φ((log⁡(𝐿)−𝜇−𝜎^2)/𝜎)+L⋅Φ((−log⁡(𝐿)+𝜇)/𝜎)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  <xdr:oneCellAnchor>
    <xdr:from>
      <xdr:col>12</xdr:col>
      <xdr:colOff>8467</xdr:colOff>
      <xdr:row>17</xdr:row>
      <xdr:rowOff>12699</xdr:rowOff>
    </xdr:from>
    <xdr:ext cx="136011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77A9DDE-142A-44C0-AE6F-6519C0738819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77A9DDE-142A-44C0-AE6F-6519C0738819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𝐸[𝑁]⋅(𝐸[𝑋;𝑏]+𝜖)=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42332</xdr:colOff>
      <xdr:row>25</xdr:row>
      <xdr:rowOff>12699</xdr:rowOff>
    </xdr:from>
    <xdr:ext cx="12845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C24FCAB-7A9F-46E9-BB16-01732302D362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  <m:d>
                        <m:dPr>
                          <m:begChr m:val="["/>
                          <m:endChr m:val="]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;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e>
                      </m:d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</m:d>
                </m:oMath>
              </a14:m>
              <a:r>
                <a:rPr lang="en-GB" sz="1100"/>
                <a:t> =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C24FCAB-7A9F-46E9-BB16-01732302D362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𝐸[𝑁]⋅(𝐸[𝑋;𝐿]+𝜖)</a:t>
              </a:r>
              <a:r>
                <a:rPr lang="en-GB" sz="1100"/>
                <a:t> =</a:t>
              </a:r>
            </a:p>
          </xdr:txBody>
        </xdr:sp>
      </mc:Fallback>
    </mc:AlternateContent>
    <xdr:clientData/>
  </xdr:oneCellAnchor>
  <xdr:oneCellAnchor>
    <xdr:from>
      <xdr:col>12</xdr:col>
      <xdr:colOff>42334</xdr:colOff>
      <xdr:row>45</xdr:row>
      <xdr:rowOff>182032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323E863-0A32-44FD-89EB-0E93A92D1669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323E863-0A32-44FD-89EB-0E93A92D1669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127001</xdr:colOff>
      <xdr:row>35</xdr:row>
      <xdr:rowOff>29634</xdr:rowOff>
    </xdr:from>
    <xdr:ext cx="1004249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CA61774-B26E-42B7-A134-38D3D5B54B9B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CA61774-B26E-42B7-A134-38D3D5B54B9B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𝐸[𝑋;𝐿]⋅(1+𝜇)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𝐸[𝑋;𝑏]⋅(1+𝜇)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16934</xdr:colOff>
      <xdr:row>41</xdr:row>
      <xdr:rowOff>12700</xdr:rowOff>
    </xdr:from>
    <xdr:ext cx="14071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8811F0-6CFC-4D28-AE70-DEC83C67C822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E8811F0-6CFC-4D28-AE70-DEC83C67C822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𝐸[𝑁]⋅𝐸[𝑋;𝑏]⋅(1+𝜇)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84667</xdr:colOff>
      <xdr:row>30</xdr:row>
      <xdr:rowOff>21165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947C716-C4B7-44C3-85AA-BF4B33C41D82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947C716-C4B7-44C3-85AA-BF4B33C41D82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409788</xdr:colOff>
      <xdr:row>0</xdr:row>
      <xdr:rowOff>110065</xdr:rowOff>
    </xdr:from>
    <xdr:ext cx="1634422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B590AB2-4D1E-4B00-9997-F43871DBB605}"/>
                </a:ext>
              </a:extLst>
            </xdr:cNvPr>
            <xdr:cNvSpPr txBox="1"/>
          </xdr:nvSpPr>
          <xdr:spPr>
            <a:xfrm>
              <a:off x="936328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B590AB2-4D1E-4B00-9997-F43871DBB605}"/>
                </a:ext>
              </a:extLst>
            </xdr:cNvPr>
            <xdr:cNvSpPr txBox="1"/>
          </xdr:nvSpPr>
          <xdr:spPr>
            <a:xfrm>
              <a:off x="936328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𝐸[𝑋;𝑑]+𝐹_𝑋 (𝑑)⋅𝜖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𝐸[𝑋;𝑏]+𝜖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651088</xdr:colOff>
      <xdr:row>1</xdr:row>
      <xdr:rowOff>7620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58544D7-4B43-4407-9F62-8B1107C359A7}"/>
                </a:ext>
              </a:extLst>
            </xdr:cNvPr>
            <xdr:cNvSpPr txBox="1"/>
          </xdr:nvSpPr>
          <xdr:spPr>
            <a:xfrm>
              <a:off x="12281113" y="38862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58544D7-4B43-4407-9F62-8B1107C359A7}"/>
                </a:ext>
              </a:extLst>
            </xdr:cNvPr>
            <xdr:cNvSpPr txBox="1"/>
          </xdr:nvSpPr>
          <xdr:spPr>
            <a:xfrm>
              <a:off x="12281113" y="38862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38947</xdr:colOff>
      <xdr:row>2</xdr:row>
      <xdr:rowOff>170179</xdr:rowOff>
    </xdr:from>
    <xdr:ext cx="2734275" cy="393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ECC7B0-CD68-4A71-AD06-1E9731D9C412}"/>
                </a:ext>
              </a:extLst>
            </xdr:cNvPr>
            <xdr:cNvSpPr txBox="1"/>
          </xdr:nvSpPr>
          <xdr:spPr>
            <a:xfrm>
              <a:off x="10040197" y="74167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</m:e>
                                </m:d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𝜖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CECC7B0-CD68-4A71-AD06-1E9731D9C412}"/>
                </a:ext>
              </a:extLst>
            </xdr:cNvPr>
            <xdr:cNvSpPr txBox="1"/>
          </xdr:nvSpPr>
          <xdr:spPr>
            <a:xfrm>
              <a:off x="10040197" y="74167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((𝐸[𝑋;𝑏]−𝐸[𝑋;𝑑]+(1−𝐹_𝑋 (𝑑))𝜖)/(1−𝐹_𝑋 (𝑑) ))⋅(1+𝑢)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898313</xdr:colOff>
      <xdr:row>21</xdr:row>
      <xdr:rowOff>0</xdr:rowOff>
    </xdr:from>
    <xdr:ext cx="11522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54F046E-D962-48B5-AFD6-3390382BCA9A}"/>
                </a:ext>
              </a:extLst>
            </xdr:cNvPr>
            <xdr:cNvSpPr txBox="1"/>
          </xdr:nvSpPr>
          <xdr:spPr>
            <a:xfrm>
              <a:off x="9851813" y="4229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54F046E-D962-48B5-AFD6-3390382BCA9A}"/>
                </a:ext>
              </a:extLst>
            </xdr:cNvPr>
            <xdr:cNvSpPr txBox="1"/>
          </xdr:nvSpPr>
          <xdr:spPr>
            <a:xfrm>
              <a:off x="9851813" y="4229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𝑃_𝑏⋅(𝐼(𝐿)−𝐶(𝑑))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610871</xdr:colOff>
      <xdr:row>6</xdr:row>
      <xdr:rowOff>4869</xdr:rowOff>
    </xdr:from>
    <xdr:ext cx="3638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DB06A6-D141-4010-80D7-FCF38777146C}"/>
                </a:ext>
              </a:extLst>
            </xdr:cNvPr>
            <xdr:cNvSpPr txBox="1"/>
          </xdr:nvSpPr>
          <xdr:spPr>
            <a:xfrm>
              <a:off x="9564371" y="13383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𝜖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1DB06A6-D141-4010-80D7-FCF38777146C}"/>
                </a:ext>
              </a:extLst>
            </xdr:cNvPr>
            <xdr:cNvSpPr txBox="1"/>
          </xdr:nvSpPr>
          <xdr:spPr>
            <a:xfrm>
              <a:off x="9564371" y="13383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𝜖=0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16933</xdr:colOff>
      <xdr:row>5</xdr:row>
      <xdr:rowOff>149015</xdr:rowOff>
    </xdr:from>
    <xdr:ext cx="943142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F62F35B-DCF2-4379-8400-AB290065C936}"/>
                </a:ext>
              </a:extLst>
            </xdr:cNvPr>
            <xdr:cNvSpPr txBox="1"/>
          </xdr:nvSpPr>
          <xdr:spPr>
            <a:xfrm>
              <a:off x="11646958" y="12920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F62F35B-DCF2-4379-8400-AB290065C936}"/>
                </a:ext>
              </a:extLst>
            </xdr:cNvPr>
            <xdr:cNvSpPr txBox="1"/>
          </xdr:nvSpPr>
          <xdr:spPr>
            <a:xfrm>
              <a:off x="11646958" y="12920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613832</xdr:colOff>
      <xdr:row>0</xdr:row>
      <xdr:rowOff>84665</xdr:rowOff>
    </xdr:from>
    <xdr:ext cx="2509661" cy="37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6C897B-9D45-441C-855F-68DE95AB23AC}"/>
                </a:ext>
              </a:extLst>
            </xdr:cNvPr>
            <xdr:cNvSpPr txBox="1"/>
          </xdr:nvSpPr>
          <xdr:spPr>
            <a:xfrm>
              <a:off x="9834032" y="846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6C897B-9D45-441C-855F-68DE95AB23AC}"/>
                </a:ext>
              </a:extLst>
            </xdr:cNvPr>
            <xdr:cNvSpPr txBox="1"/>
          </xdr:nvSpPr>
          <xdr:spPr>
            <a:xfrm>
              <a:off x="9834032" y="846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𝐶(𝑑)=(𝐸[𝑋;𝑑]−𝑑(1−𝐹_𝑋 (𝑑))+𝐹_𝑋 (𝑑)𝜖)/(𝐸[𝑋;𝑏]+𝜖)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1001185</xdr:colOff>
      <xdr:row>4</xdr:row>
      <xdr:rowOff>107951</xdr:rowOff>
    </xdr:from>
    <xdr:ext cx="228825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BCD612-666F-4327-8BF4-53E27F60AB07}"/>
                </a:ext>
              </a:extLst>
            </xdr:cNvPr>
            <xdr:cNvSpPr txBox="1"/>
          </xdr:nvSpPr>
          <xdr:spPr>
            <a:xfrm>
              <a:off x="11259610" y="86995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BCD612-666F-4327-8BF4-53E27F60AB07}"/>
                </a:ext>
              </a:extLst>
            </xdr:cNvPr>
            <xdr:cNvSpPr txBox="1"/>
          </xdr:nvSpPr>
          <xdr:spPr>
            <a:xfrm>
              <a:off x="11259610" y="86995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𝐸[𝑋;𝑏]−𝐸[𝑋;𝑑]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1−𝐹_𝑋 (𝑑)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+(𝑑+𝜖))(1+𝑢)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20</xdr:col>
      <xdr:colOff>973668</xdr:colOff>
      <xdr:row>3</xdr:row>
      <xdr:rowOff>6350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3A6B0B2-A7FE-429D-93E4-3C762B09366C}"/>
                </a:ext>
              </a:extLst>
            </xdr:cNvPr>
            <xdr:cNvSpPr txBox="1"/>
          </xdr:nvSpPr>
          <xdr:spPr>
            <a:xfrm>
              <a:off x="16661343" y="57785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3A6B0B2-A7FE-429D-93E4-3C762B09366C}"/>
                </a:ext>
              </a:extLst>
            </xdr:cNvPr>
            <xdr:cNvSpPr txBox="1"/>
          </xdr:nvSpPr>
          <xdr:spPr>
            <a:xfrm>
              <a:off x="16661343" y="57785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17</xdr:row>
      <xdr:rowOff>370417</xdr:rowOff>
    </xdr:from>
    <xdr:to>
      <xdr:col>7</xdr:col>
      <xdr:colOff>508001</xdr:colOff>
      <xdr:row>21</xdr:row>
      <xdr:rowOff>179917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8B5089-0836-46B1-A083-0D2C1BCD639D}"/>
            </a:ext>
          </a:extLst>
        </xdr:cNvPr>
        <xdr:cNvSpPr txBox="1"/>
      </xdr:nvSpPr>
      <xdr:spPr>
        <a:xfrm>
          <a:off x="6050491" y="3608917"/>
          <a:ext cx="5916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137582</xdr:colOff>
      <xdr:row>19</xdr:row>
      <xdr:rowOff>158749</xdr:rowOff>
    </xdr:from>
    <xdr:to>
      <xdr:col>2</xdr:col>
      <xdr:colOff>412750</xdr:colOff>
      <xdr:row>24</xdr:row>
      <xdr:rowOff>158749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7FF77-6AF0-4758-AA7A-015AE7EF2B78}"/>
            </a:ext>
          </a:extLst>
        </xdr:cNvPr>
        <xdr:cNvSpPr txBox="1"/>
      </xdr:nvSpPr>
      <xdr:spPr>
        <a:xfrm>
          <a:off x="851957" y="3778249"/>
          <a:ext cx="589493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1</xdr:col>
      <xdr:colOff>105833</xdr:colOff>
      <xdr:row>26</xdr:row>
      <xdr:rowOff>162983</xdr:rowOff>
    </xdr:from>
    <xdr:to>
      <xdr:col>2</xdr:col>
      <xdr:colOff>449792</xdr:colOff>
      <xdr:row>31</xdr:row>
      <xdr:rowOff>162983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4CFBF-BD50-4AD8-BE34-37EC095BD84D}"/>
            </a:ext>
          </a:extLst>
        </xdr:cNvPr>
        <xdr:cNvSpPr txBox="1"/>
      </xdr:nvSpPr>
      <xdr:spPr>
        <a:xfrm>
          <a:off x="820208" y="5115983"/>
          <a:ext cx="658284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317498</xdr:colOff>
      <xdr:row>20</xdr:row>
      <xdr:rowOff>0</xdr:rowOff>
    </xdr:from>
    <xdr:to>
      <xdr:col>9</xdr:col>
      <xdr:colOff>338666</xdr:colOff>
      <xdr:row>25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D5293E-4DF0-44E1-A435-8E1FCB2DB0FC}"/>
            </a:ext>
          </a:extLst>
        </xdr:cNvPr>
        <xdr:cNvSpPr txBox="1"/>
      </xdr:nvSpPr>
      <xdr:spPr>
        <a:xfrm>
          <a:off x="5480048" y="3810000"/>
          <a:ext cx="630768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328084</xdr:colOff>
      <xdr:row>26</xdr:row>
      <xdr:rowOff>4233</xdr:rowOff>
    </xdr:from>
    <xdr:to>
      <xdr:col>9</xdr:col>
      <xdr:colOff>335494</xdr:colOff>
      <xdr:row>31</xdr:row>
      <xdr:rowOff>4233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0D9A98-C229-4289-A97D-0181CAF3E3E8}"/>
            </a:ext>
          </a:extLst>
        </xdr:cNvPr>
        <xdr:cNvSpPr txBox="1"/>
      </xdr:nvSpPr>
      <xdr:spPr>
        <a:xfrm>
          <a:off x="5490634" y="4957233"/>
          <a:ext cx="6170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267123</xdr:colOff>
      <xdr:row>11</xdr:row>
      <xdr:rowOff>19049</xdr:rowOff>
    </xdr:from>
    <xdr:ext cx="2394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A9FF9E-FBB4-4E2D-99AB-252F0947242C}"/>
                </a:ext>
              </a:extLst>
            </xdr:cNvPr>
            <xdr:cNvSpPr txBox="1"/>
          </xdr:nvSpPr>
          <xdr:spPr>
            <a:xfrm>
              <a:off x="14059323" y="2419349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CA9FF9E-FBB4-4E2D-99AB-252F0947242C}"/>
                </a:ext>
              </a:extLst>
            </xdr:cNvPr>
            <xdr:cNvSpPr txBox="1"/>
          </xdr:nvSpPr>
          <xdr:spPr>
            <a:xfrm>
              <a:off x="14059323" y="2419349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435821</xdr:colOff>
      <xdr:row>26</xdr:row>
      <xdr:rowOff>1692</xdr:rowOff>
    </xdr:from>
    <xdr:ext cx="1609287" cy="2005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24EA225-43BE-4D48-87D0-29C4F58527B1}"/>
                </a:ext>
              </a:extLst>
            </xdr:cNvPr>
            <xdr:cNvSpPr txBox="1"/>
          </xdr:nvSpPr>
          <xdr:spPr>
            <a:xfrm>
              <a:off x="11713421" y="5335692"/>
              <a:ext cx="1609287" cy="200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p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24EA225-43BE-4D48-87D0-29C4F58527B1}"/>
                </a:ext>
              </a:extLst>
            </xdr:cNvPr>
            <xdr:cNvSpPr txBox="1"/>
          </xdr:nvSpPr>
          <xdr:spPr>
            <a:xfrm>
              <a:off x="11713421" y="5335692"/>
              <a:ext cx="1609287" cy="200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𝜇_𝑖= 𝑒^(𝛽_0 )⋅𝑒^(𝛽_1⋅𝑥_1 )⋅𝑒^(𝛽_2⋅𝑥_2 )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228599</xdr:colOff>
      <xdr:row>4</xdr:row>
      <xdr:rowOff>8466</xdr:rowOff>
    </xdr:from>
    <xdr:ext cx="3784601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D75046-6398-4716-9BE9-493AF5D8C297}"/>
                </a:ext>
              </a:extLst>
            </xdr:cNvPr>
            <xdr:cNvSpPr txBox="1"/>
          </xdr:nvSpPr>
          <xdr:spPr>
            <a:xfrm>
              <a:off x="9553574" y="960966"/>
              <a:ext cx="378460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𝑤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</m:d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D75046-6398-4716-9BE9-493AF5D8C297}"/>
                </a:ext>
              </a:extLst>
            </xdr:cNvPr>
            <xdr:cNvSpPr txBox="1"/>
          </xdr:nvSpPr>
          <xdr:spPr>
            <a:xfrm>
              <a:off x="9553574" y="960966"/>
              <a:ext cx="3784601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𝐸[𝑤_2 ]=𝐸[𝑊]+𝑏_𝑤∗(𝑉_2−𝐸[𝑉])+𝑐_𝑤∗(𝑊_2−𝐸[𝑊])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12</xdr:col>
      <xdr:colOff>1066800</xdr:colOff>
      <xdr:row>10</xdr:row>
      <xdr:rowOff>6351</xdr:rowOff>
    </xdr:from>
    <xdr:ext cx="596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4087A-45DF-42F9-9BAA-9CA11B1B3BC0}"/>
                </a:ext>
              </a:extLst>
            </xdr:cNvPr>
            <xdr:cNvSpPr txBox="1"/>
          </xdr:nvSpPr>
          <xdr:spPr>
            <a:xfrm>
              <a:off x="10677525" y="2101851"/>
              <a:ext cx="596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=0.2 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4087A-45DF-42F9-9BAA-9CA11B1B3BC0}"/>
                </a:ext>
              </a:extLst>
            </xdr:cNvPr>
            <xdr:cNvSpPr txBox="1"/>
          </xdr:nvSpPr>
          <xdr:spPr>
            <a:xfrm>
              <a:off x="10677525" y="2101851"/>
              <a:ext cx="596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𝑏_𝑤=0.2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721782</xdr:colOff>
      <xdr:row>10</xdr:row>
      <xdr:rowOff>0</xdr:rowOff>
    </xdr:from>
    <xdr:ext cx="55489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2A2EB06-7E66-44E8-B387-33B3F0D8173A}"/>
                </a:ext>
              </a:extLst>
            </xdr:cNvPr>
            <xdr:cNvSpPr txBox="1"/>
          </xdr:nvSpPr>
          <xdr:spPr>
            <a:xfrm>
              <a:off x="11551707" y="2095500"/>
              <a:ext cx="5548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=0.3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2A2EB06-7E66-44E8-B387-33B3F0D8173A}"/>
                </a:ext>
              </a:extLst>
            </xdr:cNvPr>
            <xdr:cNvSpPr txBox="1"/>
          </xdr:nvSpPr>
          <xdr:spPr>
            <a:xfrm>
              <a:off x="11551707" y="2095500"/>
              <a:ext cx="55489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𝑐_𝑤=0.3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50801</xdr:colOff>
      <xdr:row>13</xdr:row>
      <xdr:rowOff>42334</xdr:rowOff>
    </xdr:from>
    <xdr:ext cx="1324658" cy="32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A712EF-5BD0-4CEE-9517-15C26F21E745}"/>
                </a:ext>
              </a:extLst>
            </xdr:cNvPr>
            <xdr:cNvSpPr txBox="1"/>
          </xdr:nvSpPr>
          <xdr:spPr>
            <a:xfrm>
              <a:off x="9661526" y="2709334"/>
              <a:ext cx="1324658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5+3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2000+2000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1A712EF-5BD0-4CEE-9517-15C26F21E745}"/>
                </a:ext>
              </a:extLst>
            </xdr:cNvPr>
            <xdr:cNvSpPr txBox="1"/>
          </xdr:nvSpPr>
          <xdr:spPr>
            <a:xfrm>
              <a:off x="9661526" y="2709334"/>
              <a:ext cx="1324658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𝐸[𝑉]=(5+3)/(2000+2000) 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33866</xdr:colOff>
      <xdr:row>15</xdr:row>
      <xdr:rowOff>118533</xdr:rowOff>
    </xdr:from>
    <xdr:ext cx="1340367" cy="3242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3A14FFA-09B2-4B00-A7A6-7DDC88053F84}"/>
                </a:ext>
              </a:extLst>
            </xdr:cNvPr>
            <xdr:cNvSpPr txBox="1"/>
          </xdr:nvSpPr>
          <xdr:spPr>
            <a:xfrm>
              <a:off x="9644591" y="3166533"/>
              <a:ext cx="1340367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20+25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2000+2000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3A14FFA-09B2-4B00-A7A6-7DDC88053F84}"/>
                </a:ext>
              </a:extLst>
            </xdr:cNvPr>
            <xdr:cNvSpPr txBox="1"/>
          </xdr:nvSpPr>
          <xdr:spPr>
            <a:xfrm>
              <a:off x="9644591" y="3166533"/>
              <a:ext cx="1340367" cy="3242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𝐸[𝑊]=(20+25)/(2000+2000)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40222</xdr:colOff>
      <xdr:row>18</xdr:row>
      <xdr:rowOff>8468</xdr:rowOff>
    </xdr:from>
    <xdr:ext cx="1667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67DB0C-6B90-405D-92C7-A9BA8A7DB717}"/>
                </a:ext>
              </a:extLst>
            </xdr:cNvPr>
            <xdr:cNvSpPr txBox="1"/>
          </xdr:nvSpPr>
          <xdr:spPr>
            <a:xfrm>
              <a:off x="10870147" y="3627968"/>
              <a:ext cx="166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67DB0C-6B90-405D-92C7-A9BA8A7DB717}"/>
                </a:ext>
              </a:extLst>
            </xdr:cNvPr>
            <xdr:cNvSpPr txBox="1"/>
          </xdr:nvSpPr>
          <xdr:spPr>
            <a:xfrm>
              <a:off x="10870147" y="3627968"/>
              <a:ext cx="1667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𝑉_2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463555</xdr:colOff>
      <xdr:row>18</xdr:row>
      <xdr:rowOff>8466</xdr:rowOff>
    </xdr:from>
    <xdr:ext cx="2124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CAB2532-6647-4A43-9551-987462721A32}"/>
                </a:ext>
              </a:extLst>
            </xdr:cNvPr>
            <xdr:cNvSpPr txBox="1"/>
          </xdr:nvSpPr>
          <xdr:spPr>
            <a:xfrm>
              <a:off x="11293480" y="3627966"/>
              <a:ext cx="212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CAB2532-6647-4A43-9551-987462721A32}"/>
                </a:ext>
              </a:extLst>
            </xdr:cNvPr>
            <xdr:cNvSpPr txBox="1"/>
          </xdr:nvSpPr>
          <xdr:spPr>
            <a:xfrm>
              <a:off x="11293480" y="3627966"/>
              <a:ext cx="212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𝑊_2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76200</xdr:colOff>
      <xdr:row>20</xdr:row>
      <xdr:rowOff>42333</xdr:rowOff>
    </xdr:from>
    <xdr:ext cx="1143455" cy="3207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72F08-FEFF-49D5-AE9C-EEC272F2369A}"/>
                </a:ext>
              </a:extLst>
            </xdr:cNvPr>
            <xdr:cNvSpPr txBox="1"/>
          </xdr:nvSpPr>
          <xdr:spPr>
            <a:xfrm>
              <a:off x="9686925" y="4042833"/>
              <a:ext cx="1143455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3+2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1000+1000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72F08-FEFF-49D5-AE9C-EEC272F2369A}"/>
                </a:ext>
              </a:extLst>
            </xdr:cNvPr>
            <xdr:cNvSpPr txBox="1"/>
          </xdr:nvSpPr>
          <xdr:spPr>
            <a:xfrm>
              <a:off x="9686925" y="4042833"/>
              <a:ext cx="1143455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𝑉_2=(3+2)/(1000+1000)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67734</xdr:colOff>
      <xdr:row>22</xdr:row>
      <xdr:rowOff>25400</xdr:rowOff>
    </xdr:from>
    <xdr:ext cx="1220206" cy="3207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2071AAB-E07C-4971-B346-9CBF1A3BFD01}"/>
                </a:ext>
              </a:extLst>
            </xdr:cNvPr>
            <xdr:cNvSpPr txBox="1"/>
          </xdr:nvSpPr>
          <xdr:spPr>
            <a:xfrm>
              <a:off x="9678459" y="4406900"/>
              <a:ext cx="1220206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10+13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1000+1000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2071AAB-E07C-4971-B346-9CBF1A3BFD01}"/>
                </a:ext>
              </a:extLst>
            </xdr:cNvPr>
            <xdr:cNvSpPr txBox="1"/>
          </xdr:nvSpPr>
          <xdr:spPr>
            <a:xfrm>
              <a:off x="9678459" y="4406900"/>
              <a:ext cx="1220206" cy="3207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𝑊_2=  (10+13)/(1000+1000)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50800</xdr:colOff>
      <xdr:row>26</xdr:row>
      <xdr:rowOff>16934</xdr:rowOff>
    </xdr:from>
    <xdr:ext cx="114852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3C7D31C-D224-48FD-8E69-20C734161464}"/>
                </a:ext>
              </a:extLst>
            </xdr:cNvPr>
            <xdr:cNvSpPr txBox="1"/>
          </xdr:nvSpPr>
          <xdr:spPr>
            <a:xfrm>
              <a:off x="9661525" y="5160434"/>
              <a:ext cx="1148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𝑤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=0.011425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3C7D31C-D224-48FD-8E69-20C734161464}"/>
                </a:ext>
              </a:extLst>
            </xdr:cNvPr>
            <xdr:cNvSpPr txBox="1"/>
          </xdr:nvSpPr>
          <xdr:spPr>
            <a:xfrm>
              <a:off x="9661525" y="5160434"/>
              <a:ext cx="1148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𝐸[𝑤_2 ]=0.011425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230716</xdr:colOff>
      <xdr:row>33</xdr:row>
      <xdr:rowOff>103717</xdr:rowOff>
    </xdr:from>
    <xdr:ext cx="3595984" cy="3799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3A9F96C-B813-4A5A-8EFF-B0D303F44433}"/>
                </a:ext>
              </a:extLst>
            </xdr:cNvPr>
            <xdr:cNvSpPr txBox="1"/>
          </xdr:nvSpPr>
          <xdr:spPr>
            <a:xfrm>
              <a:off x="9165166" y="6695017"/>
              <a:ext cx="3595984" cy="379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Experience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Modification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⋅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𝑊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3A9F96C-B813-4A5A-8EFF-B0D303F44433}"/>
                </a:ext>
              </a:extLst>
            </xdr:cNvPr>
            <xdr:cNvSpPr txBox="1"/>
          </xdr:nvSpPr>
          <xdr:spPr>
            <a:xfrm>
              <a:off x="9165166" y="6695017"/>
              <a:ext cx="3595984" cy="3799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"Experience Modification = "  (𝐴_𝑝+(1−𝑊)⋅𝐸_𝑒+𝐵+〖𝑊⋅𝐴〗_𝑒)/(𝐸_𝑝+(1−𝑊)⋅𝐸_𝑒+𝐵+𝑊⋅𝐸_𝑒 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156633</xdr:colOff>
      <xdr:row>39</xdr:row>
      <xdr:rowOff>103717</xdr:rowOff>
    </xdr:from>
    <xdr:ext cx="3225691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9EE6F4-0CC8-495D-8E81-557E054A2DCB}"/>
                </a:ext>
              </a:extLst>
            </xdr:cNvPr>
            <xdr:cNvSpPr txBox="1"/>
          </xdr:nvSpPr>
          <xdr:spPr>
            <a:xfrm>
              <a:off x="11567583" y="7838017"/>
              <a:ext cx="322569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Max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.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Debit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Mod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=1.10+0.0004⋅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Expected</m:t>
                            </m:r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nor/>
                              </m:rPr>
                              <a:rPr lang="en-US" sz="1100" b="0" i="0">
                                <a:latin typeface="Cambria Math" panose="02040503050406030204" pitchFamily="18" charset="0"/>
                              </a:rPr>
                              <m:t>Loss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9EE6F4-0CC8-495D-8E81-557E054A2DCB}"/>
                </a:ext>
              </a:extLst>
            </xdr:cNvPr>
            <xdr:cNvSpPr txBox="1"/>
          </xdr:nvSpPr>
          <xdr:spPr>
            <a:xfrm>
              <a:off x="11567583" y="7838017"/>
              <a:ext cx="3225691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"Max. Debit Mod"=1.10+0.0004⋅("Expected Loss" /𝐺)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618067</xdr:colOff>
      <xdr:row>29</xdr:row>
      <xdr:rowOff>76200</xdr:rowOff>
    </xdr:from>
    <xdr:ext cx="690254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BEE03B-D36B-4FDB-A284-4BBC5864456E}"/>
                </a:ext>
              </a:extLst>
            </xdr:cNvPr>
            <xdr:cNvSpPr txBox="1"/>
          </xdr:nvSpPr>
          <xdr:spPr>
            <a:xfrm>
              <a:off x="11181292" y="5791200"/>
              <a:ext cx="6902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∑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BEE03B-D36B-4FDB-A284-4BBC5864456E}"/>
                </a:ext>
              </a:extLst>
            </xdr:cNvPr>
            <xdr:cNvSpPr txBox="1"/>
          </xdr:nvSpPr>
          <xdr:spPr>
            <a:xfrm>
              <a:off x="11181292" y="5791200"/>
              <a:ext cx="690254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∑(𝐴−𝐸)^2/𝐸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514351</xdr:colOff>
      <xdr:row>28</xdr:row>
      <xdr:rowOff>59265</xdr:rowOff>
    </xdr:from>
    <xdr:ext cx="1130438" cy="338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6272BEE-C007-44F3-A589-F5615E131E33}"/>
                </a:ext>
              </a:extLst>
            </xdr:cNvPr>
            <xdr:cNvSpPr txBox="1"/>
          </xdr:nvSpPr>
          <xdr:spPr>
            <a:xfrm>
              <a:off x="15535276" y="5774265"/>
              <a:ext cx="1130438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𝑚𝑠𝑒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=∑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6272BEE-C007-44F3-A589-F5615E131E33}"/>
                </a:ext>
              </a:extLst>
            </xdr:cNvPr>
            <xdr:cNvSpPr txBox="1"/>
          </xdr:nvSpPr>
          <xdr:spPr>
            <a:xfrm>
              <a:off x="15535276" y="5774265"/>
              <a:ext cx="1130438" cy="338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𝑚𝑠𝑒=∑(𝐴−𝐸)^2/3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3</xdr:row>
      <xdr:rowOff>16932</xdr:rowOff>
    </xdr:from>
    <xdr:ext cx="2250552" cy="5100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635D2E-795D-4543-9D2D-E5D363391A81}"/>
                </a:ext>
              </a:extLst>
            </xdr:cNvPr>
            <xdr:cNvSpPr txBox="1"/>
          </xdr:nvSpPr>
          <xdr:spPr>
            <a:xfrm>
              <a:off x="9182100" y="778932"/>
              <a:ext cx="2250552" cy="51001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𝑗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sup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𝑗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begChr m:val="|"/>
                                <m:endChr m:val="|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𝑗</m:t>
                                </m:r>
                              </m:e>
                            </m:d>
                          </m:e>
                        </m:d>
                      </m:e>
                    </m:nary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635D2E-795D-4543-9D2D-E5D363391A81}"/>
                </a:ext>
              </a:extLst>
            </xdr:cNvPr>
            <xdr:cNvSpPr txBox="1"/>
          </xdr:nvSpPr>
          <xdr:spPr>
            <a:xfrm>
              <a:off x="9182100" y="778932"/>
              <a:ext cx="2250552" cy="51001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GB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𝑗=1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^𝑁▒〖𝑍_𝑗⋅𝐶(|𝑖−𝑗|) 〗=𝐶(𝑁+Δ−𝑖)+𝜆/2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59267</xdr:colOff>
      <xdr:row>10</xdr:row>
      <xdr:rowOff>25400</xdr:rowOff>
    </xdr:from>
    <xdr:ext cx="2050754" cy="3203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02DC77F-86C4-4865-BD26-D182505EE197}"/>
                </a:ext>
              </a:extLst>
            </xdr:cNvPr>
            <xdr:cNvSpPr txBox="1"/>
          </xdr:nvSpPr>
          <xdr:spPr>
            <a:xfrm>
              <a:off x="9088967" y="2120900"/>
              <a:ext cx="2050754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02DC77F-86C4-4865-BD26-D182505EE197}"/>
                </a:ext>
              </a:extLst>
            </xdr:cNvPr>
            <xdr:cNvSpPr txBox="1"/>
          </xdr:nvSpPr>
          <xdr:spPr>
            <a:xfrm>
              <a:off x="9088967" y="2120900"/>
              <a:ext cx="2050754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𝑍_1⋅𝐶(0)+𝑍_2⋅𝐶(1)=𝐶(4)+𝜆/2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84667</xdr:colOff>
      <xdr:row>12</xdr:row>
      <xdr:rowOff>16933</xdr:rowOff>
    </xdr:from>
    <xdr:ext cx="2029786" cy="3203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E5E5FB0-B648-4CAE-B011-649A4F6DB26D}"/>
                </a:ext>
              </a:extLst>
            </xdr:cNvPr>
            <xdr:cNvSpPr txBox="1"/>
          </xdr:nvSpPr>
          <xdr:spPr>
            <a:xfrm>
              <a:off x="9114367" y="2493433"/>
              <a:ext cx="2029786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𝜆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E5E5FB0-B648-4CAE-B011-649A4F6DB26D}"/>
                </a:ext>
              </a:extLst>
            </xdr:cNvPr>
            <xdr:cNvSpPr txBox="1"/>
          </xdr:nvSpPr>
          <xdr:spPr>
            <a:xfrm>
              <a:off x="9114367" y="2493433"/>
              <a:ext cx="2029786" cy="3203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𝑍_1⋅𝐶(1)+𝑍_2⋅𝐶(0)=𝐶(3)+𝜆/2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397934</xdr:colOff>
      <xdr:row>14</xdr:row>
      <xdr:rowOff>8467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05071BD-52FE-45EE-B8E8-949CE9D83A50}"/>
                </a:ext>
              </a:extLst>
            </xdr:cNvPr>
            <xdr:cNvSpPr txBox="1"/>
          </xdr:nvSpPr>
          <xdr:spPr>
            <a:xfrm>
              <a:off x="9903884" y="2865967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05071BD-52FE-45EE-B8E8-949CE9D83A50}"/>
                </a:ext>
              </a:extLst>
            </xdr:cNvPr>
            <xdr:cNvSpPr txBox="1"/>
          </xdr:nvSpPr>
          <xdr:spPr>
            <a:xfrm>
              <a:off x="9903884" y="2865967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𝑍_1+𝑍_2=1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313267</xdr:colOff>
      <xdr:row>16</xdr:row>
      <xdr:rowOff>16932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B33DA5A-DF1A-4D86-91D0-F5EA3F52A483}"/>
                </a:ext>
              </a:extLst>
            </xdr:cNvPr>
            <xdr:cNvSpPr txBox="1"/>
          </xdr:nvSpPr>
          <xdr:spPr>
            <a:xfrm>
              <a:off x="9819217" y="3255432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B33DA5A-DF1A-4D86-91D0-F5EA3F52A483}"/>
                </a:ext>
              </a:extLst>
            </xdr:cNvPr>
            <xdr:cNvSpPr txBox="1"/>
          </xdr:nvSpPr>
          <xdr:spPr>
            <a:xfrm>
              <a:off x="9819217" y="3255432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𝑍_2=1−𝑍_1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237065</xdr:colOff>
      <xdr:row>19</xdr:row>
      <xdr:rowOff>6349</xdr:rowOff>
    </xdr:from>
    <xdr:ext cx="7482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96FCDEC-D164-4F47-98F0-39C0FB9C811A}"/>
                </a:ext>
              </a:extLst>
            </xdr:cNvPr>
            <xdr:cNvSpPr txBox="1"/>
          </xdr:nvSpPr>
          <xdr:spPr>
            <a:xfrm>
              <a:off x="11838515" y="3816349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96FCDEC-D164-4F47-98F0-39C0FB9C811A}"/>
                </a:ext>
              </a:extLst>
            </xdr:cNvPr>
            <xdr:cNvSpPr txBox="1"/>
          </xdr:nvSpPr>
          <xdr:spPr>
            <a:xfrm>
              <a:off x="11838515" y="3816349"/>
              <a:ext cx="7482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𝑍_2=1−𝑍_1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152402</xdr:colOff>
      <xdr:row>20</xdr:row>
      <xdr:rowOff>16933</xdr:rowOff>
    </xdr:from>
    <xdr:ext cx="3180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01E3DA3-B9D5-4338-8BDF-A0CA8B8528C0}"/>
                </a:ext>
              </a:extLst>
            </xdr:cNvPr>
            <xdr:cNvSpPr txBox="1"/>
          </xdr:nvSpPr>
          <xdr:spPr>
            <a:xfrm>
              <a:off x="9182102" y="4017433"/>
              <a:ext cx="3180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01E3DA3-B9D5-4338-8BDF-A0CA8B8528C0}"/>
                </a:ext>
              </a:extLst>
            </xdr:cNvPr>
            <xdr:cNvSpPr txBox="1"/>
          </xdr:nvSpPr>
          <xdr:spPr>
            <a:xfrm>
              <a:off x="9182102" y="4017433"/>
              <a:ext cx="3180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𝑍_1=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143935</xdr:colOff>
      <xdr:row>23</xdr:row>
      <xdr:rowOff>16934</xdr:rowOff>
    </xdr:from>
    <xdr:ext cx="32130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9BBED58-2F65-4C22-B6EE-A644F0E2B1F6}"/>
                </a:ext>
              </a:extLst>
            </xdr:cNvPr>
            <xdr:cNvSpPr txBox="1"/>
          </xdr:nvSpPr>
          <xdr:spPr>
            <a:xfrm>
              <a:off x="9173635" y="4588934"/>
              <a:ext cx="3213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9BBED58-2F65-4C22-B6EE-A644F0E2B1F6}"/>
                </a:ext>
              </a:extLst>
            </xdr:cNvPr>
            <xdr:cNvSpPr txBox="1"/>
          </xdr:nvSpPr>
          <xdr:spPr>
            <a:xfrm>
              <a:off x="9173635" y="4588934"/>
              <a:ext cx="3213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𝑍_2=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411691</xdr:colOff>
      <xdr:row>0</xdr:row>
      <xdr:rowOff>141817</xdr:rowOff>
    </xdr:from>
    <xdr:ext cx="1312333" cy="3915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1EC420A-8DA5-4AE0-BC1D-AFEB55F35D41}"/>
                </a:ext>
              </a:extLst>
            </xdr:cNvPr>
            <xdr:cNvSpPr txBox="1"/>
          </xdr:nvSpPr>
          <xdr:spPr>
            <a:xfrm>
              <a:off x="10870141" y="332317"/>
              <a:ext cx="1312333" cy="39158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𝑋𝑆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f>
                              <m:f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</m:num>
                              <m:den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10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1EC420A-8DA5-4AE0-BC1D-AFEB55F35D41}"/>
                </a:ext>
              </a:extLst>
            </xdr:cNvPr>
            <xdr:cNvSpPr txBox="1"/>
          </xdr:nvSpPr>
          <xdr:spPr>
            <a:xfrm>
              <a:off x="10870141" y="332317"/>
              <a:ext cx="1312333" cy="391583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𝑋𝑆(𝑥_𝑖 )= (1−𝑥_𝑖/10)^2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124036</xdr:colOff>
      <xdr:row>9</xdr:row>
      <xdr:rowOff>21590</xdr:rowOff>
    </xdr:from>
    <xdr:ext cx="23942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5C65444-05FE-4784-9EF6-D45891A0DBE0}"/>
                </a:ext>
              </a:extLst>
            </xdr:cNvPr>
            <xdr:cNvSpPr txBox="1"/>
          </xdr:nvSpPr>
          <xdr:spPr>
            <a:xfrm>
              <a:off x="13963861" y="1736090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5C65444-05FE-4784-9EF6-D45891A0DBE0}"/>
                </a:ext>
              </a:extLst>
            </xdr:cNvPr>
            <xdr:cNvSpPr txBox="1"/>
          </xdr:nvSpPr>
          <xdr:spPr>
            <a:xfrm>
              <a:off x="13963861" y="1736090"/>
              <a:ext cx="2394245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494665</xdr:colOff>
      <xdr:row>11</xdr:row>
      <xdr:rowOff>3810</xdr:rowOff>
    </xdr:from>
    <xdr:ext cx="31157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DE75F3-4671-4BC9-8E53-CEAD3F0D5F49}"/>
                </a:ext>
              </a:extLst>
            </xdr:cNvPr>
            <xdr:cNvSpPr txBox="1"/>
          </xdr:nvSpPr>
          <xdr:spPr>
            <a:xfrm>
              <a:off x="10372090" y="2289810"/>
              <a:ext cx="3115789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</m:e>
                    </m:func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+1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offset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DE75F3-4671-4BC9-8E53-CEAD3F0D5F49}"/>
                </a:ext>
              </a:extLst>
            </xdr:cNvPr>
            <xdr:cNvSpPr txBox="1"/>
          </xdr:nvSpPr>
          <xdr:spPr>
            <a:xfrm>
              <a:off x="10372090" y="2289810"/>
              <a:ext cx="3115789" cy="172227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𝑔(𝜇_𝑖 )=ln⁡(𝜇_𝑖 )=𝛽_0+𝛽_1⋅𝑥_1+𝛽_2⋅𝑥_2+1⋅〖"offset" 〗_𝑖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49953</xdr:colOff>
      <xdr:row>34</xdr:row>
      <xdr:rowOff>25399</xdr:rowOff>
    </xdr:from>
    <xdr:to>
      <xdr:col>10</xdr:col>
      <xdr:colOff>433917</xdr:colOff>
      <xdr:row>47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4878D-0BF4-46E6-BF07-C2012CBFF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25</xdr:row>
      <xdr:rowOff>23812</xdr:rowOff>
    </xdr:from>
    <xdr:to>
      <xdr:col>16</xdr:col>
      <xdr:colOff>85725</xdr:colOff>
      <xdr:row>39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11097-CED4-48C8-A83A-34F30EACB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20</xdr:col>
      <xdr:colOff>76200</xdr:colOff>
      <xdr:row>26</xdr:row>
      <xdr:rowOff>0</xdr:rowOff>
    </xdr:from>
    <xdr:ext cx="23241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F73A1A3-5FAB-4993-B130-9ABB3E608FA1}"/>
                </a:ext>
              </a:extLst>
            </xdr:cNvPr>
            <xdr:cNvSpPr txBox="1"/>
          </xdr:nvSpPr>
          <xdr:spPr>
            <a:xfrm>
              <a:off x="16640175" y="5143500"/>
              <a:ext cx="2324100" cy="45720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%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Error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Model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Pure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Premium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Pure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Premium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F73A1A3-5FAB-4993-B130-9ABB3E608FA1}"/>
                </a:ext>
              </a:extLst>
            </xdr:cNvPr>
            <xdr:cNvSpPr txBox="1"/>
          </xdr:nvSpPr>
          <xdr:spPr>
            <a:xfrm>
              <a:off x="16640175" y="5143500"/>
              <a:ext cx="2324100" cy="45720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% "Error"=  "Model Pure Premium" /"Actual Pure Premium " −1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16</xdr:col>
      <xdr:colOff>857251</xdr:colOff>
      <xdr:row>33</xdr:row>
      <xdr:rowOff>33337</xdr:rowOff>
    </xdr:from>
    <xdr:to>
      <xdr:col>25</xdr:col>
      <xdr:colOff>1</xdr:colOff>
      <xdr:row>47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438A52-97AF-4125-85A8-4D35E1BA6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529167</xdr:colOff>
      <xdr:row>17</xdr:row>
      <xdr:rowOff>173566</xdr:rowOff>
    </xdr:from>
    <xdr:to>
      <xdr:col>23</xdr:col>
      <xdr:colOff>349250</xdr:colOff>
      <xdr:row>32</xdr:row>
      <xdr:rowOff>59266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E49114-0CC6-40E2-917A-667BA4A74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444290</xdr:colOff>
      <xdr:row>5</xdr:row>
      <xdr:rowOff>9313</xdr:rowOff>
    </xdr:from>
    <xdr:ext cx="230717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047068-C590-4021-AFA2-0163EF8ED0F1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Manual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047068-C590-4021-AFA2-0163EF8ED0F1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"Manual Loss Ratio = "  "Actual Losses" /"Expected Losses"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200026</xdr:colOff>
      <xdr:row>8</xdr:row>
      <xdr:rowOff>11431</xdr:rowOff>
    </xdr:from>
    <xdr:ext cx="2975686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BE0F485-A22D-4C34-B9DD-010C97670A17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Standard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Modified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BE0F485-A22D-4C34-B9DD-010C97670A17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"Standard Loss Ratio = "  "Actual Losses" /"Modified Expected Losses"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777029</xdr:colOff>
      <xdr:row>21</xdr:row>
      <xdr:rowOff>56092</xdr:rowOff>
    </xdr:from>
    <xdr:ext cx="1677247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842149-B03D-44E7-B3E3-8E5B7A8C4D6E}"/>
                </a:ext>
              </a:extLst>
            </xdr:cNvPr>
            <xdr:cNvSpPr txBox="1"/>
          </xdr:nvSpPr>
          <xdr:spPr>
            <a:xfrm>
              <a:off x="10235354" y="4056592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8842149-B03D-44E7-B3E3-8E5B7A8C4D6E}"/>
                </a:ext>
              </a:extLst>
            </xdr:cNvPr>
            <xdr:cNvSpPr txBox="1"/>
          </xdr:nvSpPr>
          <xdr:spPr>
            <a:xfrm>
              <a:off x="10235354" y="4056592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𝑠</a:t>
              </a:r>
              <a:r>
                <a:rPr lang="en-GB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2=1/(𝑛−1) ∑_(𝑖=1)^𝑛▒(𝑥_𝑖−𝑥 ̅ )^2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248920</xdr:colOff>
      <xdr:row>1</xdr:row>
      <xdr:rowOff>19050</xdr:rowOff>
    </xdr:from>
    <xdr:ext cx="384336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B57B7-1E2F-4808-8894-1E4D715B9646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Efficiency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Test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Statistic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Standard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Manual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85B57B7-1E2F-4808-8894-1E4D715B9646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"Efficiency Test Statistic = "  "Standard Loss Ratio Sample Variance" /"Manual Loss Ratio Sample Variance" 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3EEA-41FF-40F4-98E8-C603FB3476C4}">
  <dimension ref="A6:M24"/>
  <sheetViews>
    <sheetView showGridLines="0" tabSelected="1" workbookViewId="0"/>
  </sheetViews>
  <sheetFormatPr defaultRowHeight="14.4" x14ac:dyDescent="0.3"/>
  <cols>
    <col min="1" max="5" width="9.6640625" customWidth="1"/>
    <col min="6" max="6" width="14.109375" customWidth="1"/>
    <col min="12" max="12" width="7" customWidth="1"/>
    <col min="13" max="13" width="12.44140625" customWidth="1"/>
  </cols>
  <sheetData>
    <row r="6" spans="1:9" ht="21" x14ac:dyDescent="0.4">
      <c r="A6" s="1" t="s">
        <v>0</v>
      </c>
      <c r="B6" s="1"/>
      <c r="C6" s="1"/>
      <c r="D6" s="1"/>
      <c r="E6" s="1"/>
      <c r="F6" s="1"/>
      <c r="G6" s="1"/>
      <c r="H6" s="1"/>
      <c r="I6" s="2"/>
    </row>
    <row r="8" spans="1:9" x14ac:dyDescent="0.3">
      <c r="A8" t="s">
        <v>7</v>
      </c>
    </row>
    <row r="9" spans="1:9" x14ac:dyDescent="0.3">
      <c r="A9" t="s">
        <v>1</v>
      </c>
    </row>
    <row r="10" spans="1:9" x14ac:dyDescent="0.3">
      <c r="A10" t="s">
        <v>2</v>
      </c>
    </row>
    <row r="12" spans="1:9" x14ac:dyDescent="0.3">
      <c r="A12" t="s">
        <v>3</v>
      </c>
    </row>
    <row r="13" spans="1:9" x14ac:dyDescent="0.3">
      <c r="A13" t="s">
        <v>4</v>
      </c>
    </row>
    <row r="16" spans="1:9" x14ac:dyDescent="0.3">
      <c r="A16" s="3" t="s">
        <v>5</v>
      </c>
    </row>
    <row r="18" spans="1:13" ht="15.6" x14ac:dyDescent="0.3">
      <c r="A18" s="4" t="s">
        <v>6</v>
      </c>
      <c r="B18" s="2"/>
      <c r="C18" s="2"/>
      <c r="D18" s="2"/>
      <c r="E18" s="2"/>
      <c r="F18" s="2"/>
      <c r="G18" s="2"/>
      <c r="H18" s="2"/>
      <c r="I18" s="2"/>
    </row>
    <row r="24" spans="1:13" x14ac:dyDescent="0.3">
      <c r="J24" s="2"/>
      <c r="K24" s="2"/>
      <c r="L24" s="2"/>
      <c r="M24" s="2"/>
    </row>
  </sheetData>
  <sheetProtection formatCells="0" formatColumns="0" formatRow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B19-30CF-4555-A5C4-D4AC33D8F7F6}">
  <sheetPr codeName="Sheet41"/>
  <dimension ref="A1:W150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8" customWidth="1"/>
    <col min="5" max="5" width="17.6640625" customWidth="1"/>
    <col min="6" max="6" width="17.33203125" customWidth="1"/>
    <col min="7" max="7" width="12.5546875" bestFit="1" customWidth="1"/>
    <col min="8" max="8" width="2.6640625" customWidth="1"/>
    <col min="9" max="9" width="4.33203125" customWidth="1"/>
    <col min="10" max="10" width="7.5546875" customWidth="1"/>
    <col min="11" max="11" width="9.33203125" customWidth="1"/>
    <col min="12" max="12" width="8.109375" customWidth="1"/>
    <col min="13" max="13" width="8" customWidth="1"/>
    <col min="14" max="14" width="8.33203125" customWidth="1"/>
    <col min="15" max="15" width="9.109375" customWidth="1"/>
    <col min="16" max="16" width="11.109375" customWidth="1"/>
    <col min="17" max="17" width="9.109375" customWidth="1"/>
    <col min="19" max="21" width="9.6640625" customWidth="1"/>
  </cols>
  <sheetData>
    <row r="1" spans="1:23" x14ac:dyDescent="0.3">
      <c r="A1" s="32" t="s">
        <v>137</v>
      </c>
      <c r="B1" s="33"/>
      <c r="C1" s="33" t="s">
        <v>30</v>
      </c>
      <c r="D1" s="34"/>
      <c r="E1" s="33"/>
      <c r="F1" s="772" t="s">
        <v>199</v>
      </c>
      <c r="G1" s="773"/>
      <c r="H1" s="10"/>
      <c r="I1" s="12" t="s">
        <v>140</v>
      </c>
      <c r="K1" t="s">
        <v>369</v>
      </c>
      <c r="V1" s="10"/>
    </row>
    <row r="2" spans="1:23" x14ac:dyDescent="0.3">
      <c r="A2" s="35" t="s">
        <v>138</v>
      </c>
      <c r="B2" s="36"/>
      <c r="C2" s="36" t="s">
        <v>267</v>
      </c>
      <c r="D2" s="36"/>
      <c r="E2" s="36"/>
      <c r="F2" s="36"/>
      <c r="G2" s="37"/>
      <c r="H2" s="10"/>
      <c r="V2" s="10"/>
    </row>
    <row r="3" spans="1:23" x14ac:dyDescent="0.3">
      <c r="A3" s="35" t="s">
        <v>141</v>
      </c>
      <c r="B3" s="36"/>
      <c r="C3" s="36" t="s">
        <v>370</v>
      </c>
      <c r="D3" s="36"/>
      <c r="E3" s="36"/>
      <c r="F3" s="36"/>
      <c r="G3" s="37"/>
      <c r="H3" s="10"/>
      <c r="J3" s="775" t="s">
        <v>301</v>
      </c>
      <c r="K3" s="2" t="s">
        <v>357</v>
      </c>
      <c r="L3" s="2"/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J4" s="775"/>
      <c r="K4" s="80">
        <f>C7</f>
        <v>6</v>
      </c>
      <c r="L4" s="176">
        <f>D7</f>
        <v>1</v>
      </c>
      <c r="M4" s="184" t="s">
        <v>179</v>
      </c>
      <c r="N4" s="63" t="s">
        <v>360</v>
      </c>
      <c r="O4" s="158" t="s">
        <v>361</v>
      </c>
      <c r="V4" s="14"/>
      <c r="W4" s="13"/>
    </row>
    <row r="5" spans="1:23" ht="15" customHeight="1" x14ac:dyDescent="0.3">
      <c r="A5" s="41" t="s">
        <v>144</v>
      </c>
      <c r="B5" s="36"/>
      <c r="C5" s="36" t="s">
        <v>371</v>
      </c>
      <c r="D5" s="36"/>
      <c r="E5" s="36"/>
      <c r="F5" s="36"/>
      <c r="G5" s="37"/>
      <c r="H5" s="14"/>
      <c r="J5" s="775"/>
      <c r="K5" s="82">
        <f>C8</f>
        <v>2</v>
      </c>
      <c r="L5" s="185">
        <f>D8</f>
        <v>4</v>
      </c>
      <c r="M5" s="184"/>
      <c r="N5" s="65" t="s">
        <v>362</v>
      </c>
      <c r="O5" s="102" t="s">
        <v>363</v>
      </c>
      <c r="S5" s="13"/>
      <c r="T5" s="13"/>
      <c r="U5" s="13"/>
      <c r="V5" s="14"/>
      <c r="W5" s="13"/>
    </row>
    <row r="6" spans="1:23" x14ac:dyDescent="0.3">
      <c r="A6" s="45"/>
      <c r="B6" s="776" t="s">
        <v>301</v>
      </c>
      <c r="C6" s="73" t="s">
        <v>357</v>
      </c>
      <c r="D6" s="73"/>
      <c r="E6" s="36"/>
      <c r="F6" s="36"/>
      <c r="G6" s="37"/>
      <c r="H6" s="14"/>
      <c r="S6" s="13"/>
      <c r="T6" s="13"/>
      <c r="U6" s="13"/>
      <c r="V6" s="14"/>
      <c r="W6" s="13"/>
    </row>
    <row r="7" spans="1:23" ht="15" customHeight="1" x14ac:dyDescent="0.3">
      <c r="A7" s="45"/>
      <c r="B7" s="776"/>
      <c r="C7" s="80">
        <v>6</v>
      </c>
      <c r="D7" s="176">
        <v>1</v>
      </c>
      <c r="E7" s="36"/>
      <c r="F7" s="36"/>
      <c r="G7" s="37"/>
      <c r="H7" s="14"/>
      <c r="K7" t="s">
        <v>372</v>
      </c>
      <c r="N7" s="186">
        <f>K4/(K4+L4)</f>
        <v>0.8571428571428571</v>
      </c>
      <c r="S7" s="13"/>
      <c r="T7" s="13"/>
      <c r="U7" s="13"/>
      <c r="V7" s="14"/>
      <c r="W7" s="13"/>
    </row>
    <row r="8" spans="1:23" ht="15" customHeight="1" x14ac:dyDescent="0.3">
      <c r="A8" s="41"/>
      <c r="B8" s="776"/>
      <c r="C8" s="82">
        <v>2</v>
      </c>
      <c r="D8" s="185">
        <v>4</v>
      </c>
      <c r="E8" s="36"/>
      <c r="F8" s="36"/>
      <c r="G8" s="37"/>
      <c r="H8" s="14"/>
      <c r="S8" s="13"/>
      <c r="T8" s="13"/>
      <c r="U8" s="13"/>
      <c r="V8" s="14"/>
      <c r="W8" s="13"/>
    </row>
    <row r="9" spans="1:23" x14ac:dyDescent="0.3">
      <c r="A9" s="41"/>
      <c r="B9" s="39"/>
      <c r="C9" s="36"/>
      <c r="D9" s="36"/>
      <c r="E9" s="36"/>
      <c r="F9" s="36"/>
      <c r="G9" s="37"/>
      <c r="H9" s="14"/>
      <c r="K9" t="s">
        <v>374</v>
      </c>
      <c r="N9" s="187">
        <f>L5/(L5+K5)</f>
        <v>0.66666666666666663</v>
      </c>
      <c r="S9" s="13"/>
      <c r="T9" s="13"/>
      <c r="U9" s="13"/>
      <c r="V9" s="14"/>
      <c r="W9" s="13"/>
    </row>
    <row r="10" spans="1:23" x14ac:dyDescent="0.3">
      <c r="A10" s="35" t="s">
        <v>173</v>
      </c>
      <c r="B10" s="39"/>
      <c r="C10" s="36" t="s">
        <v>373</v>
      </c>
      <c r="D10" s="36"/>
      <c r="E10" s="36"/>
      <c r="F10" s="36"/>
      <c r="G10" s="37"/>
      <c r="H10" s="14"/>
      <c r="S10" s="13"/>
      <c r="T10" s="13"/>
      <c r="U10" s="13"/>
      <c r="V10" s="14"/>
      <c r="W10" s="13"/>
    </row>
    <row r="11" spans="1:23" ht="15" thickBot="1" x14ac:dyDescent="0.35">
      <c r="A11" s="188"/>
      <c r="B11" s="189"/>
      <c r="C11" s="54"/>
      <c r="D11" s="54"/>
      <c r="E11" s="54"/>
      <c r="F11" s="54"/>
      <c r="G11" s="55"/>
      <c r="H11" s="14"/>
      <c r="K11" s="11" t="s">
        <v>375</v>
      </c>
      <c r="O11" s="187">
        <f>1-N9</f>
        <v>0.33333333333333337</v>
      </c>
      <c r="S11" s="13"/>
      <c r="T11" s="13"/>
      <c r="U11" s="13"/>
      <c r="V11" s="14"/>
      <c r="W11" s="13"/>
    </row>
    <row r="12" spans="1:23" x14ac:dyDescent="0.3">
      <c r="A12" s="13"/>
      <c r="B12" s="13"/>
      <c r="H12" s="14"/>
      <c r="S12" s="13"/>
      <c r="T12" s="13"/>
      <c r="U12" s="13"/>
      <c r="V12" s="14"/>
      <c r="W12" s="13"/>
    </row>
    <row r="13" spans="1:23" x14ac:dyDescent="0.3">
      <c r="A13" s="13"/>
      <c r="B13" s="13"/>
      <c r="H13" s="14"/>
      <c r="I13" s="3" t="s">
        <v>376</v>
      </c>
      <c r="S13" s="13"/>
      <c r="T13" s="13"/>
      <c r="U13" s="13"/>
      <c r="V13" s="14"/>
      <c r="W13" s="13"/>
    </row>
    <row r="14" spans="1:23" x14ac:dyDescent="0.3">
      <c r="A14" s="13"/>
      <c r="B14" s="13"/>
      <c r="H14" s="14"/>
      <c r="I14" s="3" t="s">
        <v>377</v>
      </c>
      <c r="K14" s="3"/>
      <c r="S14" s="13"/>
      <c r="T14" s="13"/>
      <c r="U14" s="13"/>
      <c r="V14" s="14"/>
      <c r="W14" s="13"/>
    </row>
    <row r="15" spans="1:23" x14ac:dyDescent="0.3">
      <c r="H15" s="14"/>
      <c r="I15" s="3" t="s">
        <v>378</v>
      </c>
      <c r="S15" s="13"/>
      <c r="T15" s="13"/>
      <c r="U15" s="13"/>
      <c r="V15" s="14"/>
      <c r="W15" s="13"/>
    </row>
    <row r="16" spans="1:23" x14ac:dyDescent="0.3">
      <c r="H16" s="14"/>
      <c r="I16" s="3" t="s">
        <v>379</v>
      </c>
      <c r="S16" s="13"/>
      <c r="T16" s="13"/>
      <c r="U16" s="13"/>
      <c r="V16" s="14"/>
      <c r="W16" s="13"/>
    </row>
    <row r="17" spans="8:23" x14ac:dyDescent="0.3">
      <c r="H17" s="14"/>
      <c r="S17" s="13"/>
      <c r="T17" s="13"/>
      <c r="U17" s="13"/>
      <c r="V17" s="14"/>
      <c r="W17" s="13"/>
    </row>
    <row r="18" spans="8:23" x14ac:dyDescent="0.3">
      <c r="H18" s="14"/>
      <c r="S18" s="13"/>
      <c r="T18" s="13"/>
      <c r="U18" s="13"/>
      <c r="V18" s="14"/>
      <c r="W18" s="13"/>
    </row>
    <row r="19" spans="8:23" ht="15" customHeight="1" x14ac:dyDescent="0.3">
      <c r="H19" s="14"/>
      <c r="S19" s="13"/>
      <c r="T19" s="13"/>
      <c r="U19" s="13"/>
      <c r="V19" s="14"/>
      <c r="W19" s="13"/>
    </row>
    <row r="20" spans="8:23" x14ac:dyDescent="0.3">
      <c r="H20" s="14"/>
      <c r="S20" s="13"/>
      <c r="T20" s="13"/>
      <c r="U20" s="13"/>
      <c r="V20" s="14"/>
      <c r="W20" s="13"/>
    </row>
    <row r="21" spans="8:23" x14ac:dyDescent="0.3">
      <c r="H21" s="14"/>
      <c r="S21" s="13"/>
      <c r="T21" s="13"/>
      <c r="U21" s="13"/>
      <c r="V21" s="14"/>
      <c r="W21" s="13"/>
    </row>
    <row r="22" spans="8:23" x14ac:dyDescent="0.3">
      <c r="H22" s="14"/>
      <c r="P22" s="13"/>
      <c r="Q22" s="13"/>
      <c r="R22" s="13"/>
      <c r="S22" s="13"/>
      <c r="T22" s="13"/>
      <c r="U22" s="13"/>
      <c r="V22" s="14"/>
      <c r="W22" s="13"/>
    </row>
    <row r="23" spans="8:23" ht="15" customHeight="1" x14ac:dyDescent="0.3">
      <c r="H23" s="14"/>
      <c r="P23" s="13"/>
      <c r="Q23" s="13"/>
      <c r="R23" s="13"/>
      <c r="S23" s="13"/>
      <c r="T23" s="13"/>
      <c r="U23" s="13"/>
      <c r="V23" s="14"/>
      <c r="W23" s="13"/>
    </row>
    <row r="24" spans="8:23" ht="15" customHeight="1" x14ac:dyDescent="0.3">
      <c r="H24" s="14"/>
      <c r="P24" s="13"/>
      <c r="Q24" s="13"/>
      <c r="R24" s="13"/>
      <c r="S24" s="13"/>
      <c r="T24" s="13"/>
      <c r="U24" s="13"/>
      <c r="V24" s="14"/>
      <c r="W24" s="13"/>
    </row>
    <row r="25" spans="8:23" ht="15" customHeight="1" x14ac:dyDescent="0.3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3">
      <c r="H26" s="14"/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3">
      <c r="H27" s="14"/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3">
      <c r="H28" s="14"/>
      <c r="P28" s="13"/>
      <c r="Q28" s="13"/>
      <c r="R28" s="13"/>
      <c r="S28" s="13"/>
      <c r="T28" s="13"/>
      <c r="U28" s="13"/>
      <c r="V28" s="14"/>
      <c r="W28" s="13"/>
    </row>
    <row r="29" spans="8:23" x14ac:dyDescent="0.3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3">
      <c r="H49" s="14"/>
      <c r="P49" s="13"/>
      <c r="Q49" s="13"/>
      <c r="R49" s="13"/>
      <c r="S49" s="13"/>
      <c r="T49" s="13"/>
      <c r="U49" s="13"/>
      <c r="V49" s="14"/>
      <c r="W49" s="13"/>
    </row>
    <row r="143" spans="8:22" x14ac:dyDescent="0.3">
      <c r="H143" s="14"/>
      <c r="V143" s="14"/>
    </row>
    <row r="144" spans="8:22" x14ac:dyDescent="0.3">
      <c r="H144" s="14"/>
      <c r="V144" s="14"/>
    </row>
    <row r="145" spans="1:22" x14ac:dyDescent="0.3">
      <c r="H145" s="14"/>
      <c r="V145" s="14"/>
    </row>
    <row r="146" spans="1:22" x14ac:dyDescent="0.3">
      <c r="H146" s="14"/>
      <c r="V146" s="14"/>
    </row>
    <row r="147" spans="1:22" x14ac:dyDescent="0.3">
      <c r="H147" s="14"/>
      <c r="V147" s="14"/>
    </row>
    <row r="148" spans="1:22" x14ac:dyDescent="0.3">
      <c r="H148" s="14"/>
      <c r="V148" s="14"/>
    </row>
    <row r="149" spans="1:22" x14ac:dyDescent="0.3">
      <c r="H149" s="14"/>
      <c r="V149" s="14"/>
    </row>
    <row r="150" spans="1:22" x14ac:dyDescent="0.3">
      <c r="A150" s="30" t="s">
        <v>196</v>
      </c>
      <c r="B150" s="30" t="s">
        <v>196</v>
      </c>
      <c r="C150" s="30" t="s">
        <v>196</v>
      </c>
      <c r="D150" s="30" t="s">
        <v>196</v>
      </c>
      <c r="E150" s="30" t="s">
        <v>196</v>
      </c>
      <c r="F150" s="30" t="s">
        <v>196</v>
      </c>
      <c r="G150" s="30" t="s">
        <v>196</v>
      </c>
      <c r="H150" s="30"/>
      <c r="I150" s="30" t="s">
        <v>196</v>
      </c>
      <c r="J150" s="30" t="s">
        <v>196</v>
      </c>
      <c r="K150" s="30" t="s">
        <v>196</v>
      </c>
      <c r="L150" s="30" t="s">
        <v>196</v>
      </c>
      <c r="M150" s="30" t="s">
        <v>196</v>
      </c>
      <c r="N150" s="30" t="s">
        <v>196</v>
      </c>
      <c r="O150" s="30" t="s">
        <v>196</v>
      </c>
      <c r="P150" s="30" t="s">
        <v>196</v>
      </c>
      <c r="Q150" s="30" t="s">
        <v>196</v>
      </c>
      <c r="R150" s="30" t="s">
        <v>196</v>
      </c>
      <c r="S150" s="30" t="s">
        <v>196</v>
      </c>
      <c r="T150" s="30" t="s">
        <v>196</v>
      </c>
      <c r="U150" s="30" t="s">
        <v>196</v>
      </c>
      <c r="V150" s="30"/>
    </row>
  </sheetData>
  <mergeCells count="3">
    <mergeCell ref="J3:J5"/>
    <mergeCell ref="B6:B8"/>
    <mergeCell ref="F1:G1"/>
  </mergeCells>
  <hyperlinks>
    <hyperlink ref="F1" location="TOC!A1" display="Return to TOC" xr:uid="{6BA42B58-85DF-485C-B3B7-199C411EBB9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0F85-AEF2-499B-BE1C-B8BFDF3A0367}">
  <sheetPr codeName="Sheet49"/>
  <dimension ref="A1:X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16.109375" bestFit="1" customWidth="1"/>
    <col min="5" max="5" width="6" bestFit="1" customWidth="1"/>
    <col min="6" max="6" width="6.44140625" customWidth="1"/>
    <col min="7" max="7" width="17.44140625" bestFit="1" customWidth="1"/>
    <col min="9" max="9" width="2.6640625" customWidth="1"/>
    <col min="10" max="10" width="10.6640625" customWidth="1"/>
    <col min="11" max="11" width="12.6640625" customWidth="1"/>
    <col min="12" max="12" width="16.33203125" bestFit="1" customWidth="1"/>
    <col min="13" max="13" width="6.5546875" customWidth="1"/>
    <col min="14" max="14" width="10" bestFit="1" customWidth="1"/>
    <col min="15" max="16" width="17.44140625" bestFit="1" customWidth="1"/>
    <col min="17" max="17" width="12.33203125" customWidth="1"/>
    <col min="18" max="18" width="9.5546875" customWidth="1"/>
    <col min="19" max="22" width="2.6640625" customWidth="1"/>
  </cols>
  <sheetData>
    <row r="1" spans="1:24" x14ac:dyDescent="0.3">
      <c r="A1" s="32" t="s">
        <v>137</v>
      </c>
      <c r="B1" s="33"/>
      <c r="C1" s="33" t="s">
        <v>116</v>
      </c>
      <c r="D1" s="34"/>
      <c r="E1" s="33"/>
      <c r="F1" s="33"/>
      <c r="G1" s="772" t="s">
        <v>199</v>
      </c>
      <c r="H1" s="773"/>
      <c r="I1" s="10"/>
      <c r="J1" s="12" t="s">
        <v>140</v>
      </c>
      <c r="W1" s="10"/>
    </row>
    <row r="2" spans="1:24" x14ac:dyDescent="0.3">
      <c r="A2" s="35" t="s">
        <v>138</v>
      </c>
      <c r="B2" s="36"/>
      <c r="C2" s="36" t="s">
        <v>380</v>
      </c>
      <c r="D2" s="36"/>
      <c r="E2" s="36"/>
      <c r="F2" s="36"/>
      <c r="G2" s="36"/>
      <c r="H2" s="37"/>
      <c r="I2" s="10"/>
      <c r="J2" s="31" t="s">
        <v>381</v>
      </c>
      <c r="W2" s="10"/>
    </row>
    <row r="3" spans="1:24" x14ac:dyDescent="0.3">
      <c r="A3" s="35" t="s">
        <v>141</v>
      </c>
      <c r="B3" s="36"/>
      <c r="C3" s="36" t="s">
        <v>51</v>
      </c>
      <c r="D3" s="36"/>
      <c r="E3" s="36"/>
      <c r="F3" s="36"/>
      <c r="G3" s="36"/>
      <c r="H3" s="37"/>
      <c r="I3" s="10"/>
      <c r="J3" s="24" t="s">
        <v>270</v>
      </c>
      <c r="K3" s="24" t="s">
        <v>382</v>
      </c>
      <c r="L3" s="24" t="s">
        <v>383</v>
      </c>
      <c r="M3" s="24" t="s">
        <v>384</v>
      </c>
      <c r="N3" s="24" t="s">
        <v>385</v>
      </c>
      <c r="O3" s="24" t="s">
        <v>386</v>
      </c>
      <c r="W3" s="10"/>
    </row>
    <row r="4" spans="1:24" x14ac:dyDescent="0.3">
      <c r="A4" s="38"/>
      <c r="B4" s="39"/>
      <c r="C4" s="39"/>
      <c r="D4" s="39"/>
      <c r="E4" s="39"/>
      <c r="F4" s="39"/>
      <c r="G4" s="36"/>
      <c r="H4" s="40"/>
      <c r="I4" s="14"/>
      <c r="J4" s="100">
        <v>1</v>
      </c>
      <c r="K4" s="100">
        <f t="shared" ref="K4:K13" si="0">INDEX(C$6:C$15,MATCH($J4,$H$6:$H$15,0))</f>
        <v>2</v>
      </c>
      <c r="L4" s="100">
        <f t="shared" ref="L4:L13" si="1">INDEX(D$6:D$15,MATCH($J4,$H$6:$H$15,0))</f>
        <v>900</v>
      </c>
      <c r="M4" s="100">
        <f t="shared" ref="M4:M13" si="2">INDEX(E$6:E$15,MATCH($J4,$H$6:$H$15,0))</f>
        <v>490</v>
      </c>
      <c r="N4" s="191">
        <f t="shared" ref="N4:N13" si="3">INDEX(F$6:F$15,MATCH($J4,$H$6:$H$15,0))</f>
        <v>0.68</v>
      </c>
      <c r="O4" s="100">
        <f t="shared" ref="O4:O13" si="4">INDEX(G$6:G$15,MATCH($J4,$H$6:$H$15,0))</f>
        <v>612</v>
      </c>
      <c r="W4" s="14"/>
      <c r="X4" s="13"/>
    </row>
    <row r="5" spans="1:24" ht="15" customHeight="1" x14ac:dyDescent="0.3">
      <c r="A5" s="41" t="s">
        <v>144</v>
      </c>
      <c r="B5" s="36"/>
      <c r="C5" s="48" t="s">
        <v>382</v>
      </c>
      <c r="D5" s="48" t="s">
        <v>383</v>
      </c>
      <c r="E5" s="48" t="s">
        <v>384</v>
      </c>
      <c r="F5" s="48" t="s">
        <v>385</v>
      </c>
      <c r="G5" s="48" t="s">
        <v>386</v>
      </c>
      <c r="H5" s="202" t="s">
        <v>270</v>
      </c>
      <c r="I5" s="14"/>
      <c r="J5" s="100">
        <v>2</v>
      </c>
      <c r="K5" s="100">
        <f t="shared" si="0"/>
        <v>8</v>
      </c>
      <c r="L5" s="100">
        <f t="shared" si="1"/>
        <v>1300</v>
      </c>
      <c r="M5" s="100">
        <f t="shared" si="2"/>
        <v>800</v>
      </c>
      <c r="N5" s="191">
        <f t="shared" si="3"/>
        <v>0.72</v>
      </c>
      <c r="O5" s="100">
        <f t="shared" si="4"/>
        <v>936</v>
      </c>
      <c r="T5" s="13"/>
      <c r="U5" s="13"/>
      <c r="V5" s="13"/>
      <c r="W5" s="14"/>
      <c r="X5" s="13"/>
    </row>
    <row r="6" spans="1:24" x14ac:dyDescent="0.3">
      <c r="A6" s="45"/>
      <c r="B6" s="36"/>
      <c r="C6" s="20">
        <v>1</v>
      </c>
      <c r="D6" s="144">
        <v>810</v>
      </c>
      <c r="E6" s="144">
        <v>750</v>
      </c>
      <c r="F6" s="199">
        <v>0.97</v>
      </c>
      <c r="G6" s="20">
        <v>786</v>
      </c>
      <c r="H6" s="202">
        <f>_xlfn.RANK.EQ(F6,$F$6:$F$15,1)</f>
        <v>8</v>
      </c>
      <c r="I6" s="14"/>
      <c r="J6" s="100">
        <v>3</v>
      </c>
      <c r="K6" s="100">
        <f t="shared" si="0"/>
        <v>10</v>
      </c>
      <c r="L6" s="100">
        <f t="shared" si="1"/>
        <v>1500</v>
      </c>
      <c r="M6" s="100">
        <f t="shared" si="2"/>
        <v>975</v>
      </c>
      <c r="N6" s="191">
        <f t="shared" si="3"/>
        <v>0.76</v>
      </c>
      <c r="O6" s="100">
        <f t="shared" si="4"/>
        <v>1140</v>
      </c>
      <c r="T6" s="13"/>
      <c r="U6" s="13"/>
      <c r="V6" s="13"/>
      <c r="W6" s="14"/>
      <c r="X6" s="13"/>
    </row>
    <row r="7" spans="1:24" ht="15" customHeight="1" x14ac:dyDescent="0.3">
      <c r="A7" s="45"/>
      <c r="B7" s="36"/>
      <c r="C7" s="20">
        <v>2</v>
      </c>
      <c r="D7" s="144">
        <v>900</v>
      </c>
      <c r="E7" s="144">
        <v>490</v>
      </c>
      <c r="F7" s="199">
        <v>0.68</v>
      </c>
      <c r="G7" s="20">
        <v>612</v>
      </c>
      <c r="H7" s="202">
        <f t="shared" ref="H7:H15" si="5">_xlfn.RANK.EQ(F7,$F$6:$F$15,1)</f>
        <v>1</v>
      </c>
      <c r="I7" s="14"/>
      <c r="J7" s="100">
        <v>4</v>
      </c>
      <c r="K7" s="100">
        <f t="shared" si="0"/>
        <v>4</v>
      </c>
      <c r="L7" s="100">
        <f t="shared" si="1"/>
        <v>975</v>
      </c>
      <c r="M7" s="100">
        <f t="shared" si="2"/>
        <v>650</v>
      </c>
      <c r="N7" s="191">
        <f t="shared" si="3"/>
        <v>0.78</v>
      </c>
      <c r="O7" s="100">
        <f t="shared" si="4"/>
        <v>761</v>
      </c>
      <c r="T7" s="13"/>
      <c r="U7" s="13"/>
      <c r="V7" s="13"/>
      <c r="W7" s="14"/>
      <c r="X7" s="13"/>
    </row>
    <row r="8" spans="1:24" ht="15" customHeight="1" x14ac:dyDescent="0.3">
      <c r="A8" s="41"/>
      <c r="B8" s="39"/>
      <c r="C8" s="20">
        <v>3</v>
      </c>
      <c r="D8" s="144">
        <v>950</v>
      </c>
      <c r="E8" s="144">
        <v>1075</v>
      </c>
      <c r="F8" s="199">
        <v>1.1299999999999999</v>
      </c>
      <c r="G8" s="144">
        <v>1074</v>
      </c>
      <c r="H8" s="202">
        <f t="shared" si="5"/>
        <v>10</v>
      </c>
      <c r="I8" s="14"/>
      <c r="J8" s="100">
        <v>5</v>
      </c>
      <c r="K8" s="100">
        <f t="shared" si="0"/>
        <v>5</v>
      </c>
      <c r="L8" s="100">
        <f t="shared" si="1"/>
        <v>1075</v>
      </c>
      <c r="M8" s="100">
        <f t="shared" si="2"/>
        <v>850</v>
      </c>
      <c r="N8" s="191">
        <f t="shared" si="3"/>
        <v>0.88</v>
      </c>
      <c r="O8" s="100">
        <f t="shared" si="4"/>
        <v>946</v>
      </c>
      <c r="T8" s="13"/>
      <c r="U8" s="13"/>
      <c r="V8" s="13"/>
      <c r="W8" s="14"/>
      <c r="X8" s="13"/>
    </row>
    <row r="9" spans="1:24" x14ac:dyDescent="0.3">
      <c r="A9" s="41"/>
      <c r="B9" s="39"/>
      <c r="C9" s="20">
        <v>4</v>
      </c>
      <c r="D9" s="144">
        <v>975</v>
      </c>
      <c r="E9" s="144">
        <v>650</v>
      </c>
      <c r="F9" s="199">
        <v>0.78</v>
      </c>
      <c r="G9" s="20">
        <v>761</v>
      </c>
      <c r="H9" s="202">
        <f t="shared" si="5"/>
        <v>4</v>
      </c>
      <c r="I9" s="14"/>
      <c r="J9" s="100">
        <v>6</v>
      </c>
      <c r="K9" s="100">
        <f t="shared" si="0"/>
        <v>9</v>
      </c>
      <c r="L9" s="100">
        <f t="shared" si="1"/>
        <v>1450</v>
      </c>
      <c r="M9" s="100">
        <f t="shared" si="2"/>
        <v>1175</v>
      </c>
      <c r="N9" s="191">
        <f t="shared" si="3"/>
        <v>0.9</v>
      </c>
      <c r="O9" s="100">
        <f t="shared" si="4"/>
        <v>1305</v>
      </c>
      <c r="T9" s="13"/>
      <c r="U9" s="13"/>
      <c r="V9" s="13"/>
      <c r="W9" s="14"/>
      <c r="X9" s="13"/>
    </row>
    <row r="10" spans="1:24" x14ac:dyDescent="0.3">
      <c r="A10" s="38"/>
      <c r="B10" s="39"/>
      <c r="C10" s="20">
        <v>5</v>
      </c>
      <c r="D10" s="144">
        <v>1075</v>
      </c>
      <c r="E10" s="144">
        <v>850</v>
      </c>
      <c r="F10" s="199">
        <v>0.88</v>
      </c>
      <c r="G10" s="20">
        <v>946</v>
      </c>
      <c r="H10" s="202">
        <f t="shared" si="5"/>
        <v>5</v>
      </c>
      <c r="I10" s="14"/>
      <c r="J10" s="100">
        <v>7</v>
      </c>
      <c r="K10" s="100">
        <f t="shared" si="0"/>
        <v>6</v>
      </c>
      <c r="L10" s="100">
        <f t="shared" si="1"/>
        <v>1100</v>
      </c>
      <c r="M10" s="100">
        <f t="shared" si="2"/>
        <v>1000</v>
      </c>
      <c r="N10" s="191">
        <f t="shared" si="3"/>
        <v>0.96</v>
      </c>
      <c r="O10" s="100">
        <f t="shared" si="4"/>
        <v>1056</v>
      </c>
      <c r="T10" s="13"/>
      <c r="U10" s="13"/>
      <c r="V10" s="13"/>
      <c r="W10" s="14"/>
      <c r="X10" s="13"/>
    </row>
    <row r="11" spans="1:24" x14ac:dyDescent="0.3">
      <c r="A11" s="38"/>
      <c r="B11" s="39"/>
      <c r="C11" s="20">
        <v>6</v>
      </c>
      <c r="D11" s="144">
        <v>1100</v>
      </c>
      <c r="E11" s="144">
        <v>1000</v>
      </c>
      <c r="F11" s="199">
        <v>0.96</v>
      </c>
      <c r="G11" s="144">
        <v>1056</v>
      </c>
      <c r="H11" s="202">
        <f t="shared" si="5"/>
        <v>7</v>
      </c>
      <c r="I11" s="14"/>
      <c r="J11" s="100">
        <v>8</v>
      </c>
      <c r="K11" s="100">
        <f t="shared" si="0"/>
        <v>1</v>
      </c>
      <c r="L11" s="100">
        <f t="shared" si="1"/>
        <v>810</v>
      </c>
      <c r="M11" s="100">
        <f t="shared" si="2"/>
        <v>750</v>
      </c>
      <c r="N11" s="191">
        <f t="shared" si="3"/>
        <v>0.97</v>
      </c>
      <c r="O11" s="100">
        <f t="shared" si="4"/>
        <v>786</v>
      </c>
      <c r="T11" s="13"/>
      <c r="U11" s="13"/>
      <c r="V11" s="13"/>
      <c r="W11" s="14"/>
      <c r="X11" s="13"/>
    </row>
    <row r="12" spans="1:24" x14ac:dyDescent="0.3">
      <c r="A12" s="45"/>
      <c r="B12" s="39"/>
      <c r="C12" s="20">
        <v>7</v>
      </c>
      <c r="D12" s="144">
        <v>1225</v>
      </c>
      <c r="E12" s="144">
        <v>1300</v>
      </c>
      <c r="F12" s="199">
        <v>1.06</v>
      </c>
      <c r="G12" s="144">
        <v>1299</v>
      </c>
      <c r="H12" s="202">
        <f t="shared" si="5"/>
        <v>9</v>
      </c>
      <c r="I12" s="14"/>
      <c r="J12" s="100">
        <v>9</v>
      </c>
      <c r="K12" s="100">
        <f t="shared" si="0"/>
        <v>7</v>
      </c>
      <c r="L12" s="100">
        <f t="shared" si="1"/>
        <v>1225</v>
      </c>
      <c r="M12" s="100">
        <f t="shared" si="2"/>
        <v>1300</v>
      </c>
      <c r="N12" s="191">
        <f t="shared" si="3"/>
        <v>1.06</v>
      </c>
      <c r="O12" s="100">
        <f t="shared" si="4"/>
        <v>1299</v>
      </c>
      <c r="T12" s="13"/>
      <c r="U12" s="13"/>
      <c r="V12" s="13"/>
      <c r="W12" s="14"/>
      <c r="X12" s="13"/>
    </row>
    <row r="13" spans="1:24" x14ac:dyDescent="0.3">
      <c r="A13" s="38"/>
      <c r="B13" s="39"/>
      <c r="C13" s="20">
        <v>8</v>
      </c>
      <c r="D13" s="144">
        <v>1300</v>
      </c>
      <c r="E13" s="144">
        <v>800</v>
      </c>
      <c r="F13" s="199">
        <v>0.72</v>
      </c>
      <c r="G13" s="144">
        <v>936</v>
      </c>
      <c r="H13" s="202">
        <f t="shared" si="5"/>
        <v>2</v>
      </c>
      <c r="I13" s="14"/>
      <c r="J13" s="67">
        <v>10</v>
      </c>
      <c r="K13" s="67">
        <f t="shared" si="0"/>
        <v>3</v>
      </c>
      <c r="L13" s="67">
        <f t="shared" si="1"/>
        <v>950</v>
      </c>
      <c r="M13" s="67">
        <f t="shared" si="2"/>
        <v>1075</v>
      </c>
      <c r="N13" s="192">
        <f t="shared" si="3"/>
        <v>1.1299999999999999</v>
      </c>
      <c r="O13" s="67">
        <f t="shared" si="4"/>
        <v>1074</v>
      </c>
      <c r="T13" s="13"/>
      <c r="U13" s="13"/>
      <c r="V13" s="13"/>
      <c r="W13" s="14"/>
      <c r="X13" s="13"/>
    </row>
    <row r="14" spans="1:24" x14ac:dyDescent="0.3">
      <c r="A14" s="38"/>
      <c r="B14" s="39"/>
      <c r="C14" s="20">
        <v>9</v>
      </c>
      <c r="D14" s="144">
        <v>1450</v>
      </c>
      <c r="E14" s="144">
        <v>1175</v>
      </c>
      <c r="F14" s="199">
        <v>0.9</v>
      </c>
      <c r="G14" s="144">
        <v>1305</v>
      </c>
      <c r="H14" s="202">
        <f t="shared" si="5"/>
        <v>6</v>
      </c>
      <c r="I14" s="14"/>
      <c r="T14" s="13"/>
      <c r="U14" s="13"/>
      <c r="V14" s="13"/>
      <c r="W14" s="14"/>
      <c r="X14" s="13"/>
    </row>
    <row r="15" spans="1:24" x14ac:dyDescent="0.3">
      <c r="A15" s="45"/>
      <c r="B15" s="36"/>
      <c r="C15" s="22">
        <v>10</v>
      </c>
      <c r="D15" s="147">
        <v>1500</v>
      </c>
      <c r="E15" s="147">
        <v>975</v>
      </c>
      <c r="F15" s="200">
        <v>0.76</v>
      </c>
      <c r="G15" s="147">
        <v>1140</v>
      </c>
      <c r="H15" s="202">
        <f t="shared" si="5"/>
        <v>3</v>
      </c>
      <c r="I15" s="14"/>
      <c r="J15" t="s">
        <v>387</v>
      </c>
      <c r="T15" s="13"/>
      <c r="U15" s="13"/>
      <c r="V15" s="13"/>
      <c r="W15" s="14"/>
      <c r="X15" s="13"/>
    </row>
    <row r="16" spans="1:24" x14ac:dyDescent="0.3">
      <c r="A16" s="45"/>
      <c r="B16" s="36"/>
      <c r="C16" s="36"/>
      <c r="D16" s="36"/>
      <c r="E16" s="36"/>
      <c r="F16" s="36"/>
      <c r="G16" s="36"/>
      <c r="H16" s="201"/>
      <c r="I16" s="14"/>
      <c r="T16" s="13"/>
      <c r="U16" s="13"/>
      <c r="V16" s="13"/>
      <c r="W16" s="14"/>
      <c r="X16" s="13"/>
    </row>
    <row r="17" spans="1:24" ht="28.8" x14ac:dyDescent="0.3">
      <c r="A17" s="35" t="s">
        <v>173</v>
      </c>
      <c r="B17" s="36"/>
      <c r="C17" s="36" t="s">
        <v>51</v>
      </c>
      <c r="D17" s="36"/>
      <c r="E17" s="36"/>
      <c r="F17" s="36"/>
      <c r="G17" s="36"/>
      <c r="H17" s="37"/>
      <c r="I17" s="14"/>
      <c r="J17" s="24" t="s">
        <v>388</v>
      </c>
      <c r="K17" s="24" t="s">
        <v>277</v>
      </c>
      <c r="L17" s="193" t="s">
        <v>389</v>
      </c>
      <c r="M17" s="193" t="s">
        <v>390</v>
      </c>
      <c r="N17" s="193" t="s">
        <v>391</v>
      </c>
      <c r="O17" s="193" t="s">
        <v>392</v>
      </c>
      <c r="P17" s="193" t="s">
        <v>393</v>
      </c>
      <c r="Q17" s="193" t="s">
        <v>394</v>
      </c>
      <c r="T17" s="13"/>
      <c r="U17" s="13"/>
      <c r="V17" s="13"/>
      <c r="W17" s="14"/>
      <c r="X17" s="13"/>
    </row>
    <row r="18" spans="1:24" ht="15" thickBot="1" x14ac:dyDescent="0.35">
      <c r="A18" s="53"/>
      <c r="B18" s="54"/>
      <c r="C18" s="54"/>
      <c r="D18" s="54"/>
      <c r="E18" s="54"/>
      <c r="F18" s="54"/>
      <c r="G18" s="54"/>
      <c r="H18" s="55"/>
      <c r="I18" s="14"/>
      <c r="J18" s="100" t="str">
        <f>K4&amp;", "&amp;K5</f>
        <v>2, 8</v>
      </c>
      <c r="K18" s="100">
        <v>1</v>
      </c>
      <c r="L18" s="100">
        <f>SUM(L4:L5)</f>
        <v>2200</v>
      </c>
      <c r="M18" s="100">
        <f>SUM(M4:M5)</f>
        <v>1290</v>
      </c>
      <c r="N18" s="194">
        <f>M18/L18</f>
        <v>0.58636363636363631</v>
      </c>
      <c r="O18" s="191">
        <f>SUMPRODUCT(N4:N5,L4:L5)/SUM(L4:L5)</f>
        <v>0.70363636363636362</v>
      </c>
      <c r="P18" s="100">
        <f>SUM(O4:O5)</f>
        <v>1548</v>
      </c>
      <c r="Q18" s="194">
        <f>M18/(O18*L18)</f>
        <v>0.83333333333333337</v>
      </c>
      <c r="R18" s="195"/>
      <c r="V18" s="13"/>
      <c r="W18" s="14"/>
      <c r="X18" s="13"/>
    </row>
    <row r="19" spans="1:24" x14ac:dyDescent="0.3">
      <c r="I19" s="14"/>
      <c r="J19" s="100" t="str">
        <f>K6&amp;", "&amp;K7</f>
        <v>10, 4</v>
      </c>
      <c r="K19" s="100">
        <v>2</v>
      </c>
      <c r="L19" s="100">
        <f>SUM(L6:L7)</f>
        <v>2475</v>
      </c>
      <c r="M19" s="100">
        <f>SUM(M6:M7)</f>
        <v>1625</v>
      </c>
      <c r="N19" s="194">
        <f t="shared" ref="N19:N22" si="6">M19/L19</f>
        <v>0.65656565656565657</v>
      </c>
      <c r="O19" s="191">
        <f>SUMPRODUCT(N6:N7,L6:L7)/SUM(L6:L7)</f>
        <v>0.76787878787878783</v>
      </c>
      <c r="P19" s="100">
        <f>SUM(O6:O7)</f>
        <v>1901</v>
      </c>
      <c r="Q19" s="194">
        <f t="shared" ref="Q19:Q22" si="7">M19/(O19*L19)</f>
        <v>0.85503814785582755</v>
      </c>
      <c r="T19" s="13"/>
      <c r="V19" s="13"/>
      <c r="W19" s="14"/>
      <c r="X19" s="13"/>
    </row>
    <row r="20" spans="1:24" x14ac:dyDescent="0.3">
      <c r="I20" s="14"/>
      <c r="J20" s="100" t="str">
        <f>K8&amp;", "&amp;K9</f>
        <v>5, 9</v>
      </c>
      <c r="K20" s="100">
        <v>3</v>
      </c>
      <c r="L20" s="100">
        <f>SUM(L8:L9)</f>
        <v>2525</v>
      </c>
      <c r="M20" s="100">
        <f>SUM(M8:M9)</f>
        <v>2025</v>
      </c>
      <c r="N20" s="194">
        <f t="shared" si="6"/>
        <v>0.80198019801980203</v>
      </c>
      <c r="O20" s="191">
        <f>SUMPRODUCT(N8:N9,L8:L9)/SUM(L8:L9)</f>
        <v>0.8914851485148515</v>
      </c>
      <c r="P20" s="100">
        <f>SUM(O8:O9)</f>
        <v>2251</v>
      </c>
      <c r="Q20" s="194">
        <f t="shared" si="7"/>
        <v>0.89960017769880052</v>
      </c>
      <c r="T20" s="13"/>
      <c r="V20" s="13"/>
      <c r="W20" s="14"/>
      <c r="X20" s="13"/>
    </row>
    <row r="21" spans="1:24" x14ac:dyDescent="0.3">
      <c r="I21" s="14"/>
      <c r="J21" s="100" t="str">
        <f>K10&amp;", "&amp;K11</f>
        <v>6, 1</v>
      </c>
      <c r="K21" s="100">
        <v>4</v>
      </c>
      <c r="L21" s="100">
        <f>SUM(L10:L11)</f>
        <v>1910</v>
      </c>
      <c r="M21" s="100">
        <f>SUM(M10:M11)</f>
        <v>1750</v>
      </c>
      <c r="N21" s="194">
        <f t="shared" si="6"/>
        <v>0.91623036649214662</v>
      </c>
      <c r="O21" s="191">
        <f>SUMPRODUCT(N10:N11,L10:L11)/SUM(L10:L11)</f>
        <v>0.96424083769633495</v>
      </c>
      <c r="P21" s="100">
        <f>SUM(O10:O11)</f>
        <v>1842</v>
      </c>
      <c r="Q21" s="194">
        <f t="shared" si="7"/>
        <v>0.95020904599011791</v>
      </c>
      <c r="R21" s="13"/>
      <c r="T21" s="13"/>
      <c r="U21" s="13"/>
      <c r="V21" s="13"/>
      <c r="W21" s="14"/>
      <c r="X21" s="13"/>
    </row>
    <row r="22" spans="1:24" x14ac:dyDescent="0.3">
      <c r="I22" s="14"/>
      <c r="J22" s="67" t="str">
        <f>K12&amp;", "&amp;K13</f>
        <v>7, 3</v>
      </c>
      <c r="K22" s="67">
        <v>5</v>
      </c>
      <c r="L22" s="67">
        <f>SUM(L12:L13)</f>
        <v>2175</v>
      </c>
      <c r="M22" s="67">
        <f>SUM(M12:M13)</f>
        <v>2375</v>
      </c>
      <c r="N22" s="196">
        <f t="shared" si="6"/>
        <v>1.0919540229885059</v>
      </c>
      <c r="O22" s="192">
        <f>SUMPRODUCT(N12:N13,L12:L13)/SUM(L12:L13)</f>
        <v>1.0905747126436782</v>
      </c>
      <c r="P22" s="67">
        <f>SUM(O12:O13)</f>
        <v>2373</v>
      </c>
      <c r="Q22" s="196">
        <f t="shared" si="7"/>
        <v>1.0012647554806071</v>
      </c>
      <c r="R22" s="13"/>
      <c r="T22" s="13"/>
      <c r="U22" s="13"/>
      <c r="V22" s="13"/>
      <c r="W22" s="14"/>
      <c r="X22" s="13"/>
    </row>
    <row r="23" spans="1:24" ht="15" customHeight="1" x14ac:dyDescent="0.3">
      <c r="I23" s="14"/>
      <c r="Q23" s="13"/>
      <c r="R23" s="13"/>
      <c r="S23" s="13"/>
      <c r="T23" s="13"/>
      <c r="U23" s="13"/>
      <c r="V23" s="13"/>
      <c r="W23" s="14"/>
      <c r="X23" s="13"/>
    </row>
    <row r="24" spans="1:24" ht="15" customHeight="1" x14ac:dyDescent="0.3">
      <c r="I24" s="14"/>
      <c r="J24" s="197" t="s">
        <v>395</v>
      </c>
      <c r="K24" t="s">
        <v>396</v>
      </c>
      <c r="Q24" s="13"/>
      <c r="R24" s="13"/>
      <c r="S24" s="13"/>
      <c r="T24" s="13"/>
      <c r="U24" s="13"/>
      <c r="V24" s="13"/>
      <c r="W24" s="14"/>
      <c r="X24" s="13"/>
    </row>
    <row r="25" spans="1:24" ht="15" customHeight="1" x14ac:dyDescent="0.3">
      <c r="I25" s="14"/>
      <c r="J25" t="s">
        <v>397</v>
      </c>
      <c r="Q25" s="13"/>
      <c r="R25" s="13"/>
      <c r="S25" s="13"/>
      <c r="T25" s="13"/>
      <c r="U25" s="13"/>
      <c r="V25" s="13"/>
      <c r="W25" s="14"/>
      <c r="X25" s="13"/>
    </row>
    <row r="26" spans="1:24" ht="15" customHeight="1" x14ac:dyDescent="0.3">
      <c r="I26" s="14"/>
      <c r="J26" t="s">
        <v>398</v>
      </c>
      <c r="Q26" s="13"/>
      <c r="R26" s="13"/>
      <c r="S26" s="13"/>
      <c r="T26" s="13"/>
      <c r="U26" s="13"/>
      <c r="V26" s="13"/>
      <c r="W26" s="14"/>
      <c r="X26" s="13"/>
    </row>
    <row r="27" spans="1:24" ht="15" customHeight="1" x14ac:dyDescent="0.3">
      <c r="I27" s="14"/>
      <c r="J27" t="s">
        <v>399</v>
      </c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3">
      <c r="I28" s="14"/>
      <c r="Q28" s="13"/>
      <c r="R28" s="13"/>
      <c r="S28" s="13"/>
      <c r="T28" s="13"/>
      <c r="U28" s="13"/>
      <c r="V28" s="13"/>
      <c r="W28" s="14"/>
      <c r="X28" s="13"/>
    </row>
    <row r="29" spans="1:24" x14ac:dyDescent="0.3">
      <c r="I29" s="14"/>
      <c r="J29" t="s">
        <v>400</v>
      </c>
      <c r="Q29" s="13"/>
      <c r="R29" s="13"/>
      <c r="S29" s="13"/>
      <c r="T29" s="13"/>
      <c r="U29" s="13"/>
      <c r="V29" s="13"/>
      <c r="W29" s="14"/>
      <c r="X29" s="13"/>
    </row>
    <row r="30" spans="1:24" x14ac:dyDescent="0.3">
      <c r="I30" s="14"/>
      <c r="J30" t="s">
        <v>401</v>
      </c>
      <c r="Q30" s="13"/>
      <c r="R30" s="13"/>
      <c r="S30" s="13"/>
      <c r="T30" s="13"/>
      <c r="U30" s="13"/>
      <c r="V30" s="13"/>
      <c r="W30" s="14"/>
      <c r="X30" s="13"/>
    </row>
    <row r="31" spans="1:24" x14ac:dyDescent="0.3">
      <c r="I31" s="14"/>
      <c r="J31" t="s">
        <v>402</v>
      </c>
      <c r="Q31" s="13"/>
      <c r="R31" s="13"/>
      <c r="S31" s="13"/>
      <c r="T31" s="13"/>
      <c r="U31" s="13"/>
      <c r="V31" s="13"/>
      <c r="W31" s="14"/>
      <c r="X31" s="13"/>
    </row>
    <row r="32" spans="1:24" x14ac:dyDescent="0.3">
      <c r="I32" s="14"/>
      <c r="J32" t="s">
        <v>403</v>
      </c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I33" s="14"/>
      <c r="S33" s="13"/>
      <c r="T33" s="13"/>
      <c r="U33" s="13"/>
      <c r="V33" s="13"/>
      <c r="W33" s="14"/>
      <c r="X33" s="13"/>
    </row>
    <row r="34" spans="1:24" x14ac:dyDescent="0.3">
      <c r="I34" s="14"/>
      <c r="S34" s="13"/>
      <c r="T34" s="13"/>
      <c r="U34" s="13"/>
      <c r="V34" s="13"/>
      <c r="W34" s="14"/>
      <c r="X34" s="13"/>
    </row>
    <row r="35" spans="1:24" x14ac:dyDescent="0.3">
      <c r="I35" s="14"/>
      <c r="U35" s="13"/>
      <c r="V35" s="13"/>
      <c r="W35" s="14"/>
      <c r="X35" s="13"/>
    </row>
    <row r="36" spans="1:24" x14ac:dyDescent="0.3">
      <c r="I36" s="14"/>
      <c r="Q36" s="13"/>
      <c r="R36" s="13"/>
      <c r="U36" s="13"/>
      <c r="V36" s="13"/>
      <c r="W36" s="14"/>
      <c r="X36" s="13"/>
    </row>
    <row r="37" spans="1:24" x14ac:dyDescent="0.3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13"/>
      <c r="B39" s="13"/>
      <c r="I39" s="14"/>
      <c r="S39" s="13"/>
      <c r="T39" s="13"/>
      <c r="U39" s="13"/>
      <c r="V39" s="13"/>
      <c r="W39" s="14"/>
      <c r="X39" s="13"/>
    </row>
    <row r="40" spans="1:24" x14ac:dyDescent="0.3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3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9:24" x14ac:dyDescent="0.3">
      <c r="I49" s="14"/>
      <c r="Q49" s="13"/>
      <c r="R49" s="13"/>
      <c r="S49" s="13"/>
      <c r="T49" s="13"/>
      <c r="U49" s="13"/>
      <c r="V49" s="13"/>
      <c r="W49" s="14"/>
      <c r="X49" s="13"/>
    </row>
  </sheetData>
  <mergeCells count="1">
    <mergeCell ref="G1:H1"/>
  </mergeCells>
  <hyperlinks>
    <hyperlink ref="G1" location="TOC!A1" display="Return to TOC" xr:uid="{0EBAC88A-0435-47B1-B033-C71133EE78D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6778-EB16-46CD-88A4-09ED1F642E0F}">
  <sheetPr codeName="Sheet48"/>
  <dimension ref="A1:W250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12.6640625" bestFit="1" customWidth="1"/>
    <col min="5" max="5" width="15.44140625" bestFit="1" customWidth="1"/>
    <col min="6" max="6" width="22.33203125" bestFit="1" customWidth="1"/>
    <col min="7" max="7" width="7.6640625" customWidth="1"/>
    <col min="8" max="8" width="2.6640625" customWidth="1"/>
    <col min="9" max="9" width="9.33203125" customWidth="1"/>
    <col min="10" max="10" width="14.33203125" customWidth="1"/>
    <col min="11" max="11" width="15.6640625" customWidth="1"/>
    <col min="12" max="12" width="8.6640625" customWidth="1"/>
    <col min="13" max="14" width="7.6640625" customWidth="1"/>
    <col min="15" max="17" width="9.109375" customWidth="1"/>
    <col min="19" max="19" width="9.109375" customWidth="1"/>
    <col min="21" max="21" width="5.6640625" customWidth="1"/>
  </cols>
  <sheetData>
    <row r="1" spans="1:23" x14ac:dyDescent="0.3">
      <c r="A1" s="32" t="s">
        <v>137</v>
      </c>
      <c r="B1" s="33"/>
      <c r="C1" s="33" t="s">
        <v>116</v>
      </c>
      <c r="D1" s="34"/>
      <c r="E1" s="33"/>
      <c r="F1" s="772" t="s">
        <v>199</v>
      </c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404</v>
      </c>
      <c r="D2" s="36"/>
      <c r="E2" s="36"/>
      <c r="F2" s="36"/>
      <c r="G2" s="37"/>
      <c r="H2" s="10"/>
      <c r="I2" t="s">
        <v>406</v>
      </c>
      <c r="V2" s="10"/>
    </row>
    <row r="3" spans="1:23" x14ac:dyDescent="0.3">
      <c r="A3" s="35" t="s">
        <v>141</v>
      </c>
      <c r="B3" s="36"/>
      <c r="C3" s="36" t="s">
        <v>405</v>
      </c>
      <c r="D3" s="36"/>
      <c r="E3" s="36"/>
      <c r="F3" s="36"/>
      <c r="G3" s="37"/>
      <c r="H3" s="10"/>
      <c r="I3" t="s">
        <v>407</v>
      </c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I4" t="s">
        <v>411</v>
      </c>
      <c r="V4" s="14"/>
      <c r="W4" s="13"/>
    </row>
    <row r="5" spans="1:23" ht="15" customHeight="1" x14ac:dyDescent="0.3">
      <c r="A5" s="41" t="s">
        <v>144</v>
      </c>
      <c r="B5" s="36"/>
      <c r="C5" s="48" t="s">
        <v>277</v>
      </c>
      <c r="D5" s="48" t="s">
        <v>408</v>
      </c>
      <c r="E5" s="212" t="s">
        <v>409</v>
      </c>
      <c r="F5" s="48" t="s">
        <v>410</v>
      </c>
      <c r="G5" s="37"/>
      <c r="H5" s="14"/>
      <c r="S5" s="13"/>
      <c r="T5" s="13"/>
      <c r="U5" s="13"/>
      <c r="V5" s="14"/>
      <c r="W5" s="13"/>
    </row>
    <row r="6" spans="1:23" x14ac:dyDescent="0.3">
      <c r="A6" s="45"/>
      <c r="B6" s="36"/>
      <c r="C6" s="20">
        <v>1</v>
      </c>
      <c r="D6" s="144">
        <v>187000</v>
      </c>
      <c r="E6" s="213">
        <v>190000</v>
      </c>
      <c r="F6" s="144">
        <v>182000</v>
      </c>
      <c r="G6" s="37"/>
      <c r="H6" s="14"/>
      <c r="I6" s="203"/>
      <c r="J6" s="204"/>
      <c r="K6" s="204"/>
      <c r="L6" s="18"/>
      <c r="S6" s="13"/>
      <c r="T6" s="13"/>
      <c r="U6" s="13"/>
      <c r="V6" s="14"/>
      <c r="W6" s="13"/>
    </row>
    <row r="7" spans="1:23" ht="15" customHeight="1" x14ac:dyDescent="0.3">
      <c r="A7" s="45"/>
      <c r="B7" s="36"/>
      <c r="C7" s="20">
        <v>2</v>
      </c>
      <c r="D7" s="144">
        <v>195000</v>
      </c>
      <c r="E7" s="213">
        <v>195000</v>
      </c>
      <c r="F7" s="144">
        <v>187000</v>
      </c>
      <c r="G7" s="37"/>
      <c r="H7" s="14"/>
      <c r="I7" s="205"/>
      <c r="J7" s="206"/>
      <c r="K7" s="206"/>
      <c r="L7" s="23"/>
      <c r="S7" s="13"/>
      <c r="T7" s="13"/>
      <c r="U7" s="13"/>
      <c r="V7" s="14"/>
      <c r="W7" s="13"/>
    </row>
    <row r="8" spans="1:23" ht="15" customHeight="1" x14ac:dyDescent="0.3">
      <c r="A8" s="41"/>
      <c r="B8" s="39"/>
      <c r="C8" s="20">
        <v>3</v>
      </c>
      <c r="D8" s="144">
        <v>201000</v>
      </c>
      <c r="E8" s="213">
        <v>200000</v>
      </c>
      <c r="F8" s="144">
        <v>195000</v>
      </c>
      <c r="G8" s="37"/>
      <c r="H8" s="14"/>
      <c r="S8" s="13"/>
      <c r="T8" s="13"/>
      <c r="U8" s="13"/>
      <c r="V8" s="14"/>
      <c r="W8" s="13"/>
    </row>
    <row r="9" spans="1:23" x14ac:dyDescent="0.3">
      <c r="A9" s="41"/>
      <c r="B9" s="39"/>
      <c r="C9" s="20">
        <v>4</v>
      </c>
      <c r="D9" s="144">
        <v>227000</v>
      </c>
      <c r="E9" s="213">
        <v>205000</v>
      </c>
      <c r="F9" s="144">
        <v>210000</v>
      </c>
      <c r="G9" s="37"/>
      <c r="H9" s="14"/>
      <c r="I9" s="203"/>
      <c r="J9" s="204"/>
      <c r="K9" s="204"/>
      <c r="L9" s="18"/>
      <c r="S9" s="13"/>
      <c r="T9" s="13"/>
      <c r="U9" s="13"/>
      <c r="V9" s="14"/>
      <c r="W9" s="13"/>
    </row>
    <row r="10" spans="1:23" x14ac:dyDescent="0.3">
      <c r="A10" s="38"/>
      <c r="B10" s="39"/>
      <c r="C10" s="22">
        <v>5</v>
      </c>
      <c r="D10" s="147">
        <v>238000</v>
      </c>
      <c r="E10" s="214">
        <v>210000</v>
      </c>
      <c r="F10" s="147">
        <v>255000</v>
      </c>
      <c r="G10" s="37"/>
      <c r="H10" s="14"/>
      <c r="I10" s="205"/>
      <c r="J10" s="206"/>
      <c r="K10" s="206"/>
      <c r="L10" s="23"/>
      <c r="S10" s="13"/>
      <c r="T10" s="13"/>
      <c r="U10" s="13"/>
      <c r="V10" s="14"/>
      <c r="W10" s="13"/>
    </row>
    <row r="11" spans="1:23" x14ac:dyDescent="0.3">
      <c r="A11" s="38"/>
      <c r="B11" s="39"/>
      <c r="C11" s="36"/>
      <c r="D11" s="213"/>
      <c r="E11" s="36"/>
      <c r="F11" s="36"/>
      <c r="G11" s="37"/>
      <c r="H11" s="14"/>
      <c r="S11" s="13"/>
      <c r="T11" s="13"/>
      <c r="U11" s="13"/>
      <c r="V11" s="14"/>
      <c r="W11" s="13"/>
    </row>
    <row r="12" spans="1:23" x14ac:dyDescent="0.3">
      <c r="A12" s="35" t="s">
        <v>173</v>
      </c>
      <c r="B12" s="39"/>
      <c r="C12" s="36" t="s">
        <v>412</v>
      </c>
      <c r="D12" s="36"/>
      <c r="E12" s="36"/>
      <c r="F12" s="36"/>
      <c r="G12" s="37"/>
      <c r="H12" s="14"/>
      <c r="I12" s="110" t="s">
        <v>277</v>
      </c>
      <c r="J12" s="110" t="s">
        <v>413</v>
      </c>
      <c r="K12" s="110" t="s">
        <v>414</v>
      </c>
      <c r="S12" s="13"/>
      <c r="T12" s="13"/>
      <c r="U12" s="13"/>
      <c r="V12" s="14"/>
      <c r="W12" s="13"/>
    </row>
    <row r="13" spans="1:23" ht="15" thickBot="1" x14ac:dyDescent="0.35">
      <c r="A13" s="188"/>
      <c r="B13" s="189"/>
      <c r="C13" s="54"/>
      <c r="D13" s="54"/>
      <c r="E13" s="54"/>
      <c r="F13" s="54"/>
      <c r="G13" s="55"/>
      <c r="H13" s="14"/>
      <c r="I13" s="10">
        <v>1</v>
      </c>
      <c r="J13" s="207">
        <f>D6/E6</f>
        <v>0.98421052631578942</v>
      </c>
      <c r="K13" s="207">
        <f>D6/F6</f>
        <v>1.0274725274725274</v>
      </c>
      <c r="S13" s="13"/>
      <c r="T13" s="13"/>
      <c r="U13" s="13"/>
      <c r="V13" s="14"/>
      <c r="W13" s="13"/>
    </row>
    <row r="14" spans="1:23" x14ac:dyDescent="0.3">
      <c r="A14" s="13"/>
      <c r="B14" s="13"/>
      <c r="H14" s="14"/>
      <c r="I14" s="10">
        <v>2</v>
      </c>
      <c r="J14" s="207">
        <f>D7/E7</f>
        <v>1</v>
      </c>
      <c r="K14" s="207">
        <f>D7/F7</f>
        <v>1.0427807486631016</v>
      </c>
      <c r="S14" s="13"/>
      <c r="T14" s="13"/>
      <c r="U14" s="13"/>
      <c r="V14" s="14"/>
      <c r="W14" s="13"/>
    </row>
    <row r="15" spans="1:23" x14ac:dyDescent="0.3">
      <c r="H15" s="14"/>
      <c r="I15" s="10">
        <v>3</v>
      </c>
      <c r="J15" s="207">
        <f>D8/E8</f>
        <v>1.0049999999999999</v>
      </c>
      <c r="K15" s="207">
        <f>D8/F8</f>
        <v>1.0307692307692307</v>
      </c>
      <c r="S15" s="13"/>
      <c r="T15" s="13"/>
      <c r="U15" s="13"/>
      <c r="V15" s="14"/>
      <c r="W15" s="13"/>
    </row>
    <row r="16" spans="1:23" x14ac:dyDescent="0.3">
      <c r="H16" s="14"/>
      <c r="I16" s="10">
        <v>4</v>
      </c>
      <c r="J16" s="207">
        <f>D9/E9</f>
        <v>1.1073170731707318</v>
      </c>
      <c r="K16" s="207">
        <f>D9/F9</f>
        <v>1.0809523809523809</v>
      </c>
      <c r="L16" s="208"/>
      <c r="S16" s="13"/>
      <c r="T16" s="13"/>
      <c r="U16" s="13"/>
      <c r="V16" s="14"/>
      <c r="W16" s="13"/>
    </row>
    <row r="17" spans="8:23" x14ac:dyDescent="0.3">
      <c r="H17" s="14"/>
      <c r="I17" s="10">
        <v>5</v>
      </c>
      <c r="J17" s="207">
        <f>D10/E10</f>
        <v>1.1333333333333333</v>
      </c>
      <c r="K17" s="207">
        <f>D10/F10</f>
        <v>0.93333333333333335</v>
      </c>
      <c r="S17" s="13"/>
      <c r="T17" s="13"/>
      <c r="U17" s="13"/>
      <c r="V17" s="14"/>
      <c r="W17" s="13"/>
    </row>
    <row r="18" spans="8:23" x14ac:dyDescent="0.3">
      <c r="H18" s="14"/>
      <c r="S18" s="13"/>
      <c r="T18" s="13"/>
      <c r="U18" s="13"/>
      <c r="V18" s="14"/>
      <c r="W18" s="13"/>
    </row>
    <row r="19" spans="8:23" ht="15" customHeight="1" x14ac:dyDescent="0.3">
      <c r="H19" s="14"/>
      <c r="I19" s="209" t="s">
        <v>415</v>
      </c>
      <c r="S19" s="13"/>
      <c r="T19" s="13"/>
      <c r="U19" s="13"/>
      <c r="V19" s="14"/>
      <c r="W19" s="13"/>
    </row>
    <row r="20" spans="8:23" x14ac:dyDescent="0.3">
      <c r="H20" s="14"/>
      <c r="I20" t="s">
        <v>416</v>
      </c>
      <c r="L20" s="210">
        <f>MAX(J13:J17)-MIN(J13:J17)</f>
        <v>0.14912280701754388</v>
      </c>
      <c r="M20" s="197" t="str">
        <f>"= "&amp; TEXT(J17,"0.0%") &amp; " - " &amp;TEXT(J13,"0.0%")</f>
        <v>= 113.3% - 98.4%</v>
      </c>
      <c r="S20" s="13"/>
      <c r="T20" s="13"/>
      <c r="U20" s="13"/>
      <c r="V20" s="14"/>
      <c r="W20" s="13"/>
    </row>
    <row r="21" spans="8:23" x14ac:dyDescent="0.3">
      <c r="H21" s="14"/>
      <c r="I21" t="s">
        <v>417</v>
      </c>
      <c r="L21" s="210">
        <f>MAX(K13:K17)-MIN(K13:K17)</f>
        <v>0.14761904761904754</v>
      </c>
      <c r="M21" t="str">
        <f>"= "&amp;TEXT(MAX(K13:K17),"0.0%")&amp;" - "&amp;TEXT(MIN(K13:K17),"0.0%")</f>
        <v>= 108.1% - 93.3%</v>
      </c>
      <c r="S21" s="13"/>
      <c r="T21" s="13"/>
      <c r="U21" s="13"/>
      <c r="V21" s="14"/>
      <c r="W21" s="13"/>
    </row>
    <row r="22" spans="8:23" x14ac:dyDescent="0.3">
      <c r="H22" s="14"/>
      <c r="P22" s="13"/>
      <c r="Q22" s="13"/>
      <c r="R22" s="13"/>
      <c r="S22" s="13"/>
      <c r="T22" s="13"/>
      <c r="U22" s="13"/>
      <c r="V22" s="14"/>
      <c r="W22" s="13"/>
    </row>
    <row r="23" spans="8:23" ht="15" customHeight="1" x14ac:dyDescent="0.3">
      <c r="H23" s="14"/>
      <c r="P23" s="13"/>
      <c r="Q23" s="13"/>
      <c r="R23" s="13"/>
      <c r="S23" s="13"/>
      <c r="T23" s="13"/>
      <c r="U23" s="13"/>
      <c r="V23" s="14"/>
      <c r="W23" s="13"/>
    </row>
    <row r="24" spans="8:23" ht="15" customHeight="1" x14ac:dyDescent="0.3">
      <c r="H24" s="14"/>
      <c r="I24" t="s">
        <v>418</v>
      </c>
      <c r="P24" s="13"/>
      <c r="Q24" s="13"/>
      <c r="R24" s="13"/>
      <c r="S24" s="13"/>
      <c r="T24" s="13"/>
      <c r="U24" s="13"/>
      <c r="V24" s="14"/>
      <c r="W24" s="13"/>
    </row>
    <row r="25" spans="8:23" ht="15" customHeight="1" x14ac:dyDescent="0.3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3">
      <c r="H26" s="14"/>
      <c r="I26" t="s">
        <v>419</v>
      </c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3">
      <c r="H27" s="14"/>
      <c r="I27" t="s">
        <v>420</v>
      </c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3">
      <c r="H28" s="14"/>
      <c r="V28" s="14"/>
      <c r="W28" s="13"/>
    </row>
    <row r="29" spans="8:23" x14ac:dyDescent="0.3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3">
      <c r="H49" s="14"/>
      <c r="P49" s="13"/>
      <c r="Q49" s="13"/>
      <c r="R49" s="13"/>
      <c r="S49" s="13"/>
      <c r="T49" s="13"/>
      <c r="U49" s="13"/>
      <c r="V49" s="14"/>
      <c r="W49" s="13"/>
    </row>
    <row r="249" spans="1:22" x14ac:dyDescent="0.3">
      <c r="H249" s="14"/>
      <c r="P249" s="13"/>
      <c r="Q249" s="13"/>
      <c r="R249" s="13"/>
      <c r="S249" s="13"/>
      <c r="T249" s="13"/>
      <c r="U249" s="13"/>
      <c r="V249" s="14"/>
    </row>
    <row r="250" spans="1:22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</sheetData>
  <mergeCells count="1">
    <mergeCell ref="F1:G1"/>
  </mergeCells>
  <hyperlinks>
    <hyperlink ref="F1" location="TOC!A1" display="Return to TOC" xr:uid="{F0711FA2-A607-48D1-9FEE-E7C38B5C981D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BCCB-D972-4751-B1B8-8BDA0315FD06}">
  <sheetPr codeName="Sheet50"/>
  <dimension ref="A1:Y200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5.44140625" customWidth="1"/>
    <col min="4" max="4" width="16.88671875" bestFit="1" customWidth="1"/>
    <col min="5" max="5" width="18.109375" bestFit="1" customWidth="1"/>
    <col min="6" max="9" width="5.6640625" customWidth="1"/>
    <col min="10" max="10" width="2.6640625" customWidth="1"/>
    <col min="11" max="11" width="15.44140625" bestFit="1" customWidth="1"/>
    <col min="12" max="12" width="16.88671875" bestFit="1" customWidth="1"/>
    <col min="13" max="13" width="18.109375" bestFit="1" customWidth="1"/>
    <col min="14" max="14" width="14" customWidth="1"/>
    <col min="15" max="22" width="5.6640625" customWidth="1"/>
    <col min="23" max="23" width="7.44140625" customWidth="1"/>
  </cols>
  <sheetData>
    <row r="1" spans="1:25" x14ac:dyDescent="0.3">
      <c r="A1" s="32" t="s">
        <v>137</v>
      </c>
      <c r="B1" s="33"/>
      <c r="C1" s="33" t="s">
        <v>116</v>
      </c>
      <c r="D1" s="34"/>
      <c r="E1" s="33"/>
      <c r="F1" s="33"/>
      <c r="G1" s="772" t="s">
        <v>199</v>
      </c>
      <c r="H1" s="772"/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380</v>
      </c>
      <c r="D2" s="36"/>
      <c r="E2" s="36"/>
      <c r="F2" s="36"/>
      <c r="G2" s="36"/>
      <c r="H2" s="36"/>
      <c r="I2" s="37"/>
      <c r="J2" s="10"/>
      <c r="K2" s="215"/>
      <c r="L2" s="216"/>
      <c r="M2" s="216"/>
      <c r="N2" s="217"/>
      <c r="X2" s="10"/>
    </row>
    <row r="3" spans="1:25" x14ac:dyDescent="0.3">
      <c r="A3" s="35" t="s">
        <v>141</v>
      </c>
      <c r="B3" s="36"/>
      <c r="C3" s="36" t="s">
        <v>421</v>
      </c>
      <c r="D3" s="36"/>
      <c r="E3" s="36"/>
      <c r="F3" s="36"/>
      <c r="G3" s="36"/>
      <c r="H3" s="36"/>
      <c r="I3" s="37"/>
      <c r="J3" s="10"/>
      <c r="K3" s="218"/>
      <c r="L3" s="219"/>
      <c r="M3" s="219"/>
      <c r="N3" s="220"/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U4" s="13"/>
      <c r="V4" s="13"/>
      <c r="W4" s="13"/>
      <c r="X4" s="14"/>
      <c r="Y4" s="13"/>
    </row>
    <row r="5" spans="1:25" ht="15" customHeight="1" x14ac:dyDescent="0.3">
      <c r="A5" s="41" t="s">
        <v>144</v>
      </c>
      <c r="B5" s="36"/>
      <c r="C5" s="226" t="s">
        <v>422</v>
      </c>
      <c r="D5" s="36"/>
      <c r="E5" s="36"/>
      <c r="F5" s="36"/>
      <c r="G5" s="36"/>
      <c r="H5" s="36"/>
      <c r="I5" s="37"/>
      <c r="J5" s="14"/>
      <c r="K5" s="209" t="s">
        <v>422</v>
      </c>
      <c r="U5" s="13"/>
      <c r="V5" s="13"/>
      <c r="W5" s="13"/>
      <c r="X5" s="14"/>
      <c r="Y5" s="13"/>
    </row>
    <row r="6" spans="1:25" x14ac:dyDescent="0.3">
      <c r="A6" s="45"/>
      <c r="B6" s="36"/>
      <c r="C6" s="48" t="s">
        <v>277</v>
      </c>
      <c r="D6" s="48" t="s">
        <v>423</v>
      </c>
      <c r="E6" s="48" t="s">
        <v>424</v>
      </c>
      <c r="F6" s="36"/>
      <c r="G6" s="36"/>
      <c r="H6" s="36"/>
      <c r="I6" s="37"/>
      <c r="J6" s="14"/>
      <c r="K6" s="24" t="s">
        <v>277</v>
      </c>
      <c r="L6" s="24" t="s">
        <v>423</v>
      </c>
      <c r="M6" s="24" t="s">
        <v>424</v>
      </c>
      <c r="O6" s="69" t="s">
        <v>425</v>
      </c>
      <c r="P6" s="19"/>
      <c r="U6" s="13"/>
      <c r="V6" s="13"/>
      <c r="W6" s="13"/>
      <c r="X6" s="14"/>
      <c r="Y6" s="13"/>
    </row>
    <row r="7" spans="1:25" ht="15" customHeight="1" x14ac:dyDescent="0.3">
      <c r="A7" s="45"/>
      <c r="B7" s="36"/>
      <c r="C7" s="17">
        <v>1</v>
      </c>
      <c r="D7" s="227">
        <v>0.58599999999999997</v>
      </c>
      <c r="E7" s="227">
        <v>0.83299999999999996</v>
      </c>
      <c r="F7" s="36"/>
      <c r="G7" s="36"/>
      <c r="H7" s="36"/>
      <c r="I7" s="37"/>
      <c r="J7" s="14"/>
      <c r="K7" s="58">
        <v>1</v>
      </c>
      <c r="L7" s="221">
        <f t="shared" ref="L7:M11" si="0">D7</f>
        <v>0.58599999999999997</v>
      </c>
      <c r="M7" s="221">
        <f t="shared" si="0"/>
        <v>0.83299999999999996</v>
      </c>
      <c r="O7" s="69" t="s">
        <v>426</v>
      </c>
      <c r="P7" s="19"/>
      <c r="U7" s="13"/>
      <c r="V7" s="13"/>
      <c r="W7" s="13"/>
      <c r="X7" s="14"/>
      <c r="Y7" s="13"/>
    </row>
    <row r="8" spans="1:25" ht="15" customHeight="1" x14ac:dyDescent="0.3">
      <c r="A8" s="41"/>
      <c r="B8" s="39"/>
      <c r="C8" s="20">
        <v>2</v>
      </c>
      <c r="D8" s="228">
        <v>0.65600000000000003</v>
      </c>
      <c r="E8" s="228">
        <v>0.85499999999999998</v>
      </c>
      <c r="F8" s="36"/>
      <c r="G8" s="36"/>
      <c r="H8" s="36"/>
      <c r="I8" s="37"/>
      <c r="J8" s="14"/>
      <c r="K8" s="100">
        <v>2</v>
      </c>
      <c r="L8" s="222">
        <f t="shared" si="0"/>
        <v>0.65600000000000003</v>
      </c>
      <c r="M8" s="222">
        <f t="shared" si="0"/>
        <v>0.85499999999999998</v>
      </c>
      <c r="O8" s="69" t="s">
        <v>427</v>
      </c>
      <c r="P8" s="19"/>
      <c r="U8" s="13"/>
      <c r="V8" s="13"/>
      <c r="W8" s="13"/>
      <c r="X8" s="14"/>
      <c r="Y8" s="13"/>
    </row>
    <row r="9" spans="1:25" x14ac:dyDescent="0.3">
      <c r="A9" s="41"/>
      <c r="B9" s="39"/>
      <c r="C9" s="20">
        <v>3</v>
      </c>
      <c r="D9" s="228">
        <v>0.80200000000000005</v>
      </c>
      <c r="E9" s="228">
        <v>0.9</v>
      </c>
      <c r="F9" s="36"/>
      <c r="G9" s="36"/>
      <c r="H9" s="36"/>
      <c r="I9" s="37"/>
      <c r="J9" s="14"/>
      <c r="K9" s="100">
        <v>3</v>
      </c>
      <c r="L9" s="222">
        <f t="shared" si="0"/>
        <v>0.80200000000000005</v>
      </c>
      <c r="M9" s="222">
        <f t="shared" si="0"/>
        <v>0.9</v>
      </c>
      <c r="O9" s="69" t="s">
        <v>428</v>
      </c>
      <c r="P9" s="19"/>
      <c r="U9" s="13"/>
      <c r="V9" s="13"/>
      <c r="W9" s="13"/>
      <c r="X9" s="14"/>
      <c r="Y9" s="13"/>
    </row>
    <row r="10" spans="1:25" x14ac:dyDescent="0.3">
      <c r="A10" s="38"/>
      <c r="B10" s="39"/>
      <c r="C10" s="20">
        <v>4</v>
      </c>
      <c r="D10" s="228">
        <v>0.91600000000000004</v>
      </c>
      <c r="E10" s="228">
        <v>0.95</v>
      </c>
      <c r="F10" s="36"/>
      <c r="G10" s="36"/>
      <c r="H10" s="36"/>
      <c r="I10" s="37"/>
      <c r="J10" s="14"/>
      <c r="K10" s="100">
        <v>4</v>
      </c>
      <c r="L10" s="222">
        <f t="shared" si="0"/>
        <v>0.91600000000000004</v>
      </c>
      <c r="M10" s="222">
        <f t="shared" si="0"/>
        <v>0.95</v>
      </c>
      <c r="O10" s="69" t="s">
        <v>429</v>
      </c>
      <c r="P10" s="19"/>
      <c r="U10" s="13"/>
      <c r="V10" s="13"/>
      <c r="W10" s="13"/>
      <c r="X10" s="14"/>
      <c r="Y10" s="13"/>
    </row>
    <row r="11" spans="1:25" x14ac:dyDescent="0.3">
      <c r="A11" s="38"/>
      <c r="B11" s="39"/>
      <c r="C11" s="22">
        <v>5</v>
      </c>
      <c r="D11" s="229">
        <v>1.0920000000000001</v>
      </c>
      <c r="E11" s="229">
        <v>1.0009999999999999</v>
      </c>
      <c r="F11" s="36"/>
      <c r="G11" s="36"/>
      <c r="H11" s="36"/>
      <c r="I11" s="37"/>
      <c r="J11" s="14"/>
      <c r="K11" s="67">
        <v>5</v>
      </c>
      <c r="L11" s="223">
        <f t="shared" si="0"/>
        <v>1.0920000000000001</v>
      </c>
      <c r="M11" s="223">
        <f t="shared" si="0"/>
        <v>1.0009999999999999</v>
      </c>
      <c r="U11" s="13"/>
      <c r="V11" s="13"/>
      <c r="W11" s="13"/>
      <c r="X11" s="14"/>
      <c r="Y11" s="13"/>
    </row>
    <row r="12" spans="1:25" x14ac:dyDescent="0.3">
      <c r="A12" s="45"/>
      <c r="B12" s="39"/>
      <c r="C12" s="36"/>
      <c r="D12" s="36"/>
      <c r="E12" s="36"/>
      <c r="F12" s="36"/>
      <c r="G12" s="36"/>
      <c r="H12" s="36"/>
      <c r="I12" s="37"/>
      <c r="J12" s="14"/>
      <c r="K12" s="10" t="s">
        <v>431</v>
      </c>
      <c r="L12" s="224">
        <f>_xlfn.VAR.S(L7:L11)</f>
        <v>4.1178800000000182E-2</v>
      </c>
      <c r="M12" s="224">
        <f>_xlfn.VAR.S(M7:M11)</f>
        <v>4.7276999999999961E-3</v>
      </c>
      <c r="N12" s="225">
        <f>ROUND(M12/L12,4)</f>
        <v>0.1148</v>
      </c>
      <c r="U12" s="13"/>
      <c r="V12" s="13"/>
      <c r="W12" s="13"/>
      <c r="X12" s="14"/>
      <c r="Y12" s="13"/>
    </row>
    <row r="13" spans="1:25" x14ac:dyDescent="0.3">
      <c r="A13" s="38"/>
      <c r="B13" s="39"/>
      <c r="C13" s="226" t="s">
        <v>430</v>
      </c>
      <c r="D13" s="36"/>
      <c r="E13" s="36"/>
      <c r="F13" s="36"/>
      <c r="G13" s="36"/>
      <c r="H13" s="36"/>
      <c r="I13" s="37"/>
      <c r="J13" s="14"/>
      <c r="U13" s="13"/>
      <c r="V13" s="13"/>
      <c r="W13" s="13"/>
      <c r="X13" s="14"/>
      <c r="Y13" s="13"/>
    </row>
    <row r="14" spans="1:25" x14ac:dyDescent="0.3">
      <c r="A14" s="38"/>
      <c r="B14" s="39"/>
      <c r="C14" s="48" t="s">
        <v>277</v>
      </c>
      <c r="D14" s="230" t="s">
        <v>423</v>
      </c>
      <c r="E14" s="230" t="s">
        <v>424</v>
      </c>
      <c r="F14" s="36"/>
      <c r="G14" s="36"/>
      <c r="H14" s="36"/>
      <c r="I14" s="37"/>
      <c r="J14" s="14"/>
      <c r="L14" s="26" t="s">
        <v>432</v>
      </c>
      <c r="M14" t="str">
        <f>"= "&amp;TEXT(M12,"0.00000")&amp;" / "&amp;TEXT(L12,"0.00000")</f>
        <v>= 0.00473 / 0.04118</v>
      </c>
      <c r="U14" s="13"/>
      <c r="V14" s="13"/>
      <c r="W14" s="13"/>
      <c r="X14" s="14"/>
      <c r="Y14" s="13"/>
    </row>
    <row r="15" spans="1:25" x14ac:dyDescent="0.3">
      <c r="A15" s="45"/>
      <c r="B15" s="36"/>
      <c r="C15" s="17">
        <v>1</v>
      </c>
      <c r="D15" s="231">
        <v>0.58599999999999997</v>
      </c>
      <c r="E15" s="231">
        <v>0.94499999999999995</v>
      </c>
      <c r="F15" s="36"/>
      <c r="G15" s="36"/>
      <c r="H15" s="36"/>
      <c r="I15" s="37"/>
      <c r="J15" s="14"/>
      <c r="M15" s="29" t="str">
        <f>"= "&amp;TEXT(N12,"0.0000")</f>
        <v>= 0.1148</v>
      </c>
      <c r="U15" s="13"/>
      <c r="V15" s="13"/>
      <c r="W15" s="13"/>
      <c r="X15" s="14"/>
      <c r="Y15" s="13"/>
    </row>
    <row r="16" spans="1:25" x14ac:dyDescent="0.3">
      <c r="A16" s="45"/>
      <c r="B16" s="36"/>
      <c r="C16" s="20">
        <v>2</v>
      </c>
      <c r="D16" s="232">
        <v>0.65700000000000003</v>
      </c>
      <c r="E16" s="232">
        <v>0.9</v>
      </c>
      <c r="F16" s="36"/>
      <c r="G16" s="36"/>
      <c r="H16" s="36"/>
      <c r="I16" s="37"/>
      <c r="J16" s="14"/>
      <c r="U16" s="13"/>
      <c r="V16" s="13"/>
      <c r="W16" s="13"/>
      <c r="X16" s="14"/>
      <c r="Y16" s="13"/>
    </row>
    <row r="17" spans="1:25" x14ac:dyDescent="0.3">
      <c r="A17" s="45"/>
      <c r="B17" s="36"/>
      <c r="C17" s="20">
        <v>3</v>
      </c>
      <c r="D17" s="232">
        <v>0.80200000000000005</v>
      </c>
      <c r="E17" s="232">
        <v>0.85299999999999998</v>
      </c>
      <c r="F17" s="36"/>
      <c r="G17" s="36"/>
      <c r="H17" s="36"/>
      <c r="I17" s="37"/>
      <c r="J17" s="14"/>
      <c r="K17" s="209" t="s">
        <v>430</v>
      </c>
      <c r="U17" s="13"/>
      <c r="V17" s="13"/>
      <c r="W17" s="13"/>
      <c r="X17" s="14"/>
      <c r="Y17" s="13"/>
    </row>
    <row r="18" spans="1:25" x14ac:dyDescent="0.3">
      <c r="A18" s="45"/>
      <c r="B18" s="36"/>
      <c r="C18" s="20">
        <v>4</v>
      </c>
      <c r="D18" s="232">
        <v>0.91600000000000004</v>
      </c>
      <c r="E18" s="232">
        <v>0.79700000000000004</v>
      </c>
      <c r="F18" s="36"/>
      <c r="G18" s="36"/>
      <c r="H18" s="36"/>
      <c r="I18" s="37"/>
      <c r="J18" s="14"/>
      <c r="L18" s="26" t="s">
        <v>432</v>
      </c>
      <c r="M18" t="str">
        <f>"= "&amp;TEXT(E21,"0.00000")&amp;" / "&amp;TEXT(D21,"0.00000")</f>
        <v>= 0.00590 / 0.04110</v>
      </c>
      <c r="N18" s="225">
        <f>ROUND(E21/D21,4)</f>
        <v>0.14360000000000001</v>
      </c>
      <c r="U18" s="13"/>
      <c r="V18" s="13"/>
      <c r="W18" s="13"/>
      <c r="X18" s="14"/>
      <c r="Y18" s="13"/>
    </row>
    <row r="19" spans="1:25" ht="15" customHeight="1" x14ac:dyDescent="0.3">
      <c r="A19" s="45"/>
      <c r="B19" s="36"/>
      <c r="C19" s="22">
        <v>5</v>
      </c>
      <c r="D19" s="233">
        <v>1.0920000000000001</v>
      </c>
      <c r="E19" s="233">
        <v>0.753</v>
      </c>
      <c r="F19" s="36"/>
      <c r="G19" s="36"/>
      <c r="H19" s="36"/>
      <c r="I19" s="37"/>
      <c r="J19" s="14"/>
      <c r="M19" s="29" t="str">
        <f>"= "&amp;TEXT(N18,"0.0000")</f>
        <v>= 0.1436</v>
      </c>
      <c r="U19" s="13"/>
      <c r="V19" s="13"/>
      <c r="W19" s="13"/>
      <c r="X19" s="14"/>
      <c r="Y19" s="13"/>
    </row>
    <row r="20" spans="1:25" x14ac:dyDescent="0.3">
      <c r="A20" s="45"/>
      <c r="B20" s="36"/>
      <c r="C20" s="36"/>
      <c r="D20" s="36"/>
      <c r="E20" s="36"/>
      <c r="F20" s="36"/>
      <c r="G20" s="36"/>
      <c r="H20" s="36"/>
      <c r="I20" s="37"/>
      <c r="J20" s="14"/>
      <c r="U20" s="13"/>
      <c r="V20" s="13"/>
      <c r="W20" s="13"/>
      <c r="X20" s="14"/>
      <c r="Y20" s="13"/>
    </row>
    <row r="21" spans="1:25" x14ac:dyDescent="0.3">
      <c r="A21" s="45"/>
      <c r="B21" s="36"/>
      <c r="C21" s="181" t="s">
        <v>431</v>
      </c>
      <c r="D21" s="234">
        <v>4.1099999999999998E-2</v>
      </c>
      <c r="E21" s="234">
        <v>5.8999999999999999E-3</v>
      </c>
      <c r="F21" s="36"/>
      <c r="G21" s="36"/>
      <c r="H21" s="36"/>
      <c r="I21" s="37"/>
      <c r="J21" s="14"/>
      <c r="K21" t="str">
        <f>"Since " &amp;IF(N12&lt;N18,N12 &amp;" &lt; "&amp;N18,N12 &amp;" &gt; "&amp;N18) &amp; " Insurer "&amp;IF(N12&lt;N18,1,2)&amp;"'s plan is better"</f>
        <v>Since 0.1148 &lt; 0.1436 Insurer 1's plan is better</v>
      </c>
      <c r="R21" s="13"/>
      <c r="S21" s="13"/>
      <c r="T21" s="13"/>
      <c r="U21" s="13"/>
      <c r="V21" s="13"/>
      <c r="W21" s="13"/>
      <c r="X21" s="14"/>
      <c r="Y21" s="13"/>
    </row>
    <row r="22" spans="1:25" x14ac:dyDescent="0.3">
      <c r="A22" s="45"/>
      <c r="B22" s="36"/>
      <c r="C22" s="36"/>
      <c r="D22" s="36"/>
      <c r="E22" s="36"/>
      <c r="F22" s="36"/>
      <c r="G22" s="36"/>
      <c r="H22" s="36"/>
      <c r="I22" s="37"/>
      <c r="J22" s="14"/>
      <c r="R22" s="13"/>
      <c r="S22" s="13"/>
      <c r="T22" s="13"/>
      <c r="U22" s="13"/>
      <c r="V22" s="13"/>
      <c r="W22" s="13"/>
      <c r="X22" s="14"/>
      <c r="Y22" s="13"/>
    </row>
    <row r="23" spans="1:25" ht="15" customHeight="1" x14ac:dyDescent="0.3">
      <c r="A23" s="35" t="s">
        <v>173</v>
      </c>
      <c r="B23" s="36"/>
      <c r="C23" s="36" t="s">
        <v>433</v>
      </c>
      <c r="D23" s="36"/>
      <c r="E23" s="36"/>
      <c r="F23" s="36"/>
      <c r="G23" s="36"/>
      <c r="H23" s="36"/>
      <c r="I23" s="37"/>
      <c r="J23" s="14"/>
      <c r="K23" t="s">
        <v>434</v>
      </c>
      <c r="R23" s="13"/>
      <c r="S23" s="13"/>
      <c r="T23" s="13"/>
      <c r="U23" s="13"/>
      <c r="V23" s="13"/>
      <c r="W23" s="13"/>
      <c r="X23" s="14"/>
      <c r="Y23" s="13"/>
    </row>
    <row r="24" spans="1:25" ht="15" customHeight="1" thickBot="1" x14ac:dyDescent="0.35">
      <c r="A24" s="53"/>
      <c r="B24" s="54"/>
      <c r="C24" s="54"/>
      <c r="D24" s="54"/>
      <c r="E24" s="54"/>
      <c r="F24" s="54"/>
      <c r="G24" s="54"/>
      <c r="H24" s="54"/>
      <c r="I24" s="55"/>
      <c r="J24" s="14"/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3">
      <c r="J25" s="14"/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3">
      <c r="J26" s="14"/>
      <c r="K26" s="69" t="s">
        <v>435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3">
      <c r="J27" s="14"/>
      <c r="K27" s="69" t="s">
        <v>436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3">
      <c r="J28" s="14"/>
      <c r="K28" s="69" t="s">
        <v>437</v>
      </c>
      <c r="R28" s="13"/>
      <c r="S28" s="13"/>
      <c r="T28" s="13"/>
      <c r="U28" s="13"/>
      <c r="V28" s="13"/>
      <c r="W28" s="13"/>
      <c r="X28" s="14"/>
      <c r="Y28" s="13"/>
    </row>
    <row r="29" spans="1:25" x14ac:dyDescent="0.3">
      <c r="J29" s="14"/>
      <c r="X29" s="14"/>
      <c r="Y29" s="13"/>
    </row>
    <row r="30" spans="1:25" x14ac:dyDescent="0.3">
      <c r="J30" s="14"/>
      <c r="R30" s="13"/>
      <c r="S30" s="13"/>
      <c r="T30" s="13"/>
      <c r="U30" s="13"/>
      <c r="V30" s="13"/>
      <c r="W30" s="13"/>
      <c r="X30" s="14"/>
      <c r="Y30" s="13"/>
    </row>
    <row r="31" spans="1:25" x14ac:dyDescent="0.3">
      <c r="J31" s="14"/>
      <c r="R31" s="13"/>
      <c r="S31" s="13"/>
      <c r="T31" s="13"/>
      <c r="U31" s="13"/>
      <c r="V31" s="13"/>
      <c r="W31" s="13"/>
      <c r="X31" s="14"/>
      <c r="Y31" s="13"/>
    </row>
    <row r="32" spans="1:25" x14ac:dyDescent="0.3">
      <c r="J32" s="14"/>
      <c r="R32" s="13"/>
      <c r="S32" s="13"/>
      <c r="T32" s="13"/>
      <c r="U32" s="13"/>
      <c r="V32" s="13"/>
      <c r="W32" s="13"/>
      <c r="X32" s="14"/>
      <c r="Y32" s="13"/>
    </row>
    <row r="33" spans="1:25" x14ac:dyDescent="0.3">
      <c r="J33" s="14"/>
      <c r="R33" s="13"/>
      <c r="S33" s="13"/>
      <c r="T33" s="13"/>
      <c r="U33" s="13"/>
      <c r="V33" s="13"/>
      <c r="W33" s="13"/>
      <c r="X33" s="14"/>
      <c r="Y33" s="13"/>
    </row>
    <row r="34" spans="1:25" x14ac:dyDescent="0.3">
      <c r="J34" s="14"/>
      <c r="R34" s="13"/>
      <c r="S34" s="13"/>
      <c r="T34" s="13"/>
      <c r="U34" s="13"/>
      <c r="V34" s="13"/>
      <c r="W34" s="13"/>
      <c r="X34" s="14"/>
      <c r="Y34" s="13"/>
    </row>
    <row r="35" spans="1:25" x14ac:dyDescent="0.3">
      <c r="J35" s="14"/>
      <c r="R35" s="13"/>
      <c r="S35" s="13"/>
      <c r="T35" s="13"/>
      <c r="U35" s="13"/>
      <c r="V35" s="13"/>
      <c r="W35" s="13"/>
      <c r="X35" s="14"/>
      <c r="Y35" s="13"/>
    </row>
    <row r="36" spans="1:25" x14ac:dyDescent="0.3">
      <c r="J36" s="14"/>
      <c r="R36" s="13"/>
      <c r="S36" s="13"/>
      <c r="T36" s="13"/>
      <c r="U36" s="13"/>
      <c r="V36" s="13"/>
      <c r="W36" s="13"/>
      <c r="X36" s="14"/>
      <c r="Y36" s="13"/>
    </row>
    <row r="37" spans="1:25" x14ac:dyDescent="0.3"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3"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3">
      <c r="A39" s="13"/>
      <c r="B39" s="13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3"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3">
      <c r="J45" s="14"/>
      <c r="R45" s="13"/>
      <c r="S45" s="13"/>
      <c r="T45" s="13"/>
      <c r="U45" s="13"/>
      <c r="V45" s="13"/>
      <c r="W45" s="13"/>
      <c r="X45" s="14"/>
      <c r="Y45" s="13"/>
    </row>
    <row r="46" spans="1:25" x14ac:dyDescent="0.3"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3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3">
      <c r="J49" s="14"/>
      <c r="R49" s="13"/>
      <c r="S49" s="13"/>
      <c r="T49" s="13"/>
      <c r="U49" s="13"/>
      <c r="V49" s="13"/>
      <c r="W49" s="13"/>
      <c r="X49" s="14"/>
      <c r="Y49" s="13"/>
    </row>
    <row r="197" spans="1:24" x14ac:dyDescent="0.3">
      <c r="J197" s="14"/>
      <c r="R197" s="13"/>
      <c r="S197" s="13"/>
      <c r="T197" s="13"/>
      <c r="U197" s="13"/>
      <c r="V197" s="13"/>
      <c r="W197" s="13"/>
      <c r="X197" s="14"/>
    </row>
    <row r="198" spans="1:24" x14ac:dyDescent="0.3">
      <c r="J198" s="14"/>
      <c r="R198" s="13"/>
      <c r="S198" s="13"/>
      <c r="T198" s="13"/>
      <c r="U198" s="13"/>
      <c r="V198" s="13"/>
      <c r="W198" s="13"/>
      <c r="X198" s="14"/>
    </row>
    <row r="199" spans="1:24" x14ac:dyDescent="0.3">
      <c r="J199" s="14"/>
      <c r="R199" s="13"/>
      <c r="S199" s="13"/>
      <c r="T199" s="13"/>
      <c r="U199" s="13"/>
      <c r="V199" s="13"/>
      <c r="W199" s="13"/>
      <c r="X199" s="14"/>
    </row>
    <row r="200" spans="1:24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</sheetData>
  <mergeCells count="1">
    <mergeCell ref="G1:I1"/>
  </mergeCells>
  <hyperlinks>
    <hyperlink ref="G1" location="TOC!A1" display="Return to TOC" xr:uid="{5DF4CF23-7563-4717-ACD9-42741D5086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EDF6-3DFC-4444-817C-3287B8E8C010}">
  <sheetPr codeName="Sheet65"/>
  <dimension ref="A1:AA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21.33203125" customWidth="1"/>
    <col min="4" max="4" width="31.5546875" customWidth="1"/>
    <col min="5" max="11" width="5.6640625" customWidth="1"/>
    <col min="12" max="12" width="2.6640625" customWidth="1"/>
    <col min="13" max="13" width="25.33203125" customWidth="1"/>
    <col min="14" max="14" width="15.6640625" customWidth="1"/>
    <col min="15" max="17" width="8.6640625" customWidth="1"/>
    <col min="18" max="25" width="5.6640625" customWidth="1"/>
  </cols>
  <sheetData>
    <row r="1" spans="1:27" x14ac:dyDescent="0.3">
      <c r="A1" s="32" t="s">
        <v>137</v>
      </c>
      <c r="B1" s="33"/>
      <c r="C1" s="33" t="s">
        <v>121</v>
      </c>
      <c r="D1" s="34"/>
      <c r="E1" s="33"/>
      <c r="F1" s="33"/>
      <c r="G1" s="33"/>
      <c r="H1" s="33"/>
      <c r="I1" s="772" t="s">
        <v>199</v>
      </c>
      <c r="J1" s="772"/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7"/>
      <c r="L2" s="10"/>
      <c r="M2" t="s">
        <v>439</v>
      </c>
      <c r="Z2" s="10"/>
    </row>
    <row r="3" spans="1:27" x14ac:dyDescent="0.3">
      <c r="A3" s="35" t="s">
        <v>141</v>
      </c>
      <c r="B3" s="36"/>
      <c r="C3" s="36" t="s">
        <v>438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t="s">
        <v>441</v>
      </c>
      <c r="W4" s="13"/>
      <c r="X4" s="13"/>
      <c r="Z4" s="14"/>
      <c r="AA4" s="13"/>
    </row>
    <row r="5" spans="1:27" ht="15" customHeight="1" x14ac:dyDescent="0.3">
      <c r="A5" s="41" t="s">
        <v>144</v>
      </c>
      <c r="B5" s="36"/>
      <c r="C5" s="36" t="s">
        <v>440</v>
      </c>
      <c r="D5" s="84">
        <v>1.1000000000000001</v>
      </c>
      <c r="E5" s="36"/>
      <c r="F5" s="36"/>
      <c r="G5" s="36"/>
      <c r="H5" s="36"/>
      <c r="I5" s="36"/>
      <c r="J5" s="36"/>
      <c r="K5" s="40"/>
      <c r="L5" s="14"/>
      <c r="M5" t="s">
        <v>443</v>
      </c>
      <c r="N5" s="236">
        <f>D5</f>
        <v>1.1000000000000001</v>
      </c>
      <c r="W5" s="13"/>
      <c r="X5" s="13"/>
      <c r="Y5" s="13"/>
      <c r="Z5" s="14"/>
      <c r="AA5" s="13"/>
    </row>
    <row r="6" spans="1:27" x14ac:dyDescent="0.3">
      <c r="A6" s="45"/>
      <c r="B6" s="36"/>
      <c r="C6" s="36" t="s">
        <v>442</v>
      </c>
      <c r="D6" s="84">
        <v>0.7</v>
      </c>
      <c r="E6" s="36"/>
      <c r="F6" s="36"/>
      <c r="G6" s="36"/>
      <c r="H6" s="36"/>
      <c r="I6" s="36"/>
      <c r="J6" s="36"/>
      <c r="K6" s="40"/>
      <c r="L6" s="14"/>
      <c r="M6" t="s">
        <v>445</v>
      </c>
      <c r="N6" s="236">
        <f>D6</f>
        <v>0.7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 t="s">
        <v>444</v>
      </c>
      <c r="D7" s="84">
        <v>0.2</v>
      </c>
      <c r="E7" s="36"/>
      <c r="F7" s="36"/>
      <c r="G7" s="36"/>
      <c r="H7" s="36"/>
      <c r="I7" s="36"/>
      <c r="J7" s="36"/>
      <c r="K7" s="40"/>
      <c r="L7" s="14"/>
      <c r="M7" t="s">
        <v>446</v>
      </c>
      <c r="N7" s="236">
        <f>D7</f>
        <v>0.2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36"/>
      <c r="D8" s="36"/>
      <c r="E8" s="36"/>
      <c r="F8" s="36"/>
      <c r="G8" s="36"/>
      <c r="H8" s="36"/>
      <c r="I8" s="36"/>
      <c r="J8" s="36"/>
      <c r="K8" s="40"/>
      <c r="L8" s="14"/>
      <c r="W8" s="13"/>
      <c r="X8" s="13"/>
      <c r="Y8" s="13"/>
      <c r="Z8" s="14"/>
      <c r="AA8" s="13"/>
    </row>
    <row r="9" spans="1:27" x14ac:dyDescent="0.3">
      <c r="A9" s="35" t="s">
        <v>173</v>
      </c>
      <c r="B9" s="39"/>
      <c r="C9" s="36" t="s">
        <v>447</v>
      </c>
      <c r="D9" s="36"/>
      <c r="E9" s="36"/>
      <c r="F9" s="36"/>
      <c r="G9" s="36"/>
      <c r="H9" s="36"/>
      <c r="I9" s="36"/>
      <c r="J9" s="36"/>
      <c r="K9" s="40"/>
      <c r="L9" s="14"/>
      <c r="M9" t="s">
        <v>448</v>
      </c>
      <c r="W9" s="13"/>
      <c r="X9" s="13"/>
      <c r="Y9" s="13"/>
      <c r="Z9" s="14"/>
      <c r="AA9" s="13"/>
    </row>
    <row r="10" spans="1:27" ht="15" thickBot="1" x14ac:dyDescent="0.35">
      <c r="A10" s="188"/>
      <c r="B10" s="189"/>
      <c r="C10" s="54"/>
      <c r="D10" s="54"/>
      <c r="E10" s="54"/>
      <c r="F10" s="54"/>
      <c r="G10" s="54"/>
      <c r="H10" s="54"/>
      <c r="I10" s="54"/>
      <c r="J10" s="54"/>
      <c r="K10" s="85"/>
      <c r="L10" s="14"/>
      <c r="M10" s="29" t="str">
        <f>TEXT(M12,"0.0%")&amp;" = "&amp; N7&amp; " - ("&amp;N5&amp;" - 1)*"&amp;N6</f>
        <v>13.0% = 0.2 - (1.1 - 1)*0.7</v>
      </c>
      <c r="W10" s="13"/>
      <c r="X10" s="13"/>
      <c r="Y10" s="13"/>
      <c r="Z10" s="14"/>
      <c r="AA10" s="13"/>
    </row>
    <row r="11" spans="1:27" x14ac:dyDescent="0.3">
      <c r="A11" s="13"/>
      <c r="B11" s="13"/>
      <c r="K11" s="13"/>
      <c r="L11" s="14"/>
      <c r="Y11" s="13"/>
      <c r="Z11" s="14"/>
      <c r="AA11" s="13"/>
    </row>
    <row r="12" spans="1:27" x14ac:dyDescent="0.3">
      <c r="A12" s="13"/>
      <c r="B12" s="13"/>
      <c r="K12" s="13"/>
      <c r="L12" s="14"/>
      <c r="M12" s="16">
        <f>N7-(N5-1)*N6</f>
        <v>0.12999999999999995</v>
      </c>
      <c r="W12" s="13"/>
      <c r="X12" s="13"/>
      <c r="Y12" s="13"/>
      <c r="Z12" s="14"/>
      <c r="AA12" s="13"/>
    </row>
    <row r="13" spans="1:27" x14ac:dyDescent="0.3">
      <c r="A13" s="13"/>
      <c r="B13" s="13"/>
      <c r="K13" s="13"/>
      <c r="L13" s="14"/>
      <c r="W13" s="13"/>
      <c r="X13" s="13"/>
      <c r="Y13" s="13"/>
      <c r="Z13" s="14"/>
      <c r="AA13" s="13"/>
    </row>
    <row r="14" spans="1:27" x14ac:dyDescent="0.3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3">
      <c r="K15" s="13"/>
      <c r="L15" s="14"/>
      <c r="W15" s="13"/>
      <c r="X15" s="13"/>
      <c r="Y15" s="13"/>
      <c r="Z15" s="14"/>
      <c r="AA15" s="13"/>
    </row>
    <row r="16" spans="1:27" x14ac:dyDescent="0.3">
      <c r="K16" s="13"/>
      <c r="L16" s="14"/>
      <c r="W16" s="13"/>
      <c r="X16" s="13"/>
      <c r="Y16" s="13"/>
      <c r="Z16" s="14"/>
      <c r="AA16" s="13"/>
    </row>
    <row r="17" spans="11:27" x14ac:dyDescent="0.3">
      <c r="K17" s="13"/>
      <c r="L17" s="14"/>
      <c r="W17" s="13"/>
      <c r="X17" s="13"/>
      <c r="Y17" s="13"/>
      <c r="Z17" s="14"/>
      <c r="AA17" s="13"/>
    </row>
    <row r="18" spans="11:27" x14ac:dyDescent="0.3">
      <c r="K18" s="13"/>
      <c r="L18" s="14"/>
      <c r="W18" s="13"/>
      <c r="X18" s="13"/>
      <c r="Y18" s="13"/>
      <c r="Z18" s="14"/>
      <c r="AA18" s="13"/>
    </row>
    <row r="19" spans="11:27" ht="15" customHeight="1" x14ac:dyDescent="0.3">
      <c r="K19" s="13"/>
      <c r="L19" s="14"/>
      <c r="W19" s="13"/>
      <c r="X19" s="13"/>
      <c r="Y19" s="13"/>
      <c r="Z19" s="14"/>
      <c r="AA19" s="13"/>
    </row>
    <row r="20" spans="11:27" x14ac:dyDescent="0.3">
      <c r="K20" s="13"/>
      <c r="L20" s="14"/>
      <c r="W20" s="13"/>
      <c r="X20" s="13"/>
      <c r="Y20" s="13"/>
      <c r="Z20" s="14"/>
      <c r="AA20" s="13"/>
    </row>
    <row r="21" spans="11:27" x14ac:dyDescent="0.3">
      <c r="K21" s="13"/>
      <c r="L21" s="14"/>
      <c r="W21" s="13"/>
      <c r="X21" s="13"/>
      <c r="Y21" s="13"/>
      <c r="Z21" s="14"/>
      <c r="AA21" s="13"/>
    </row>
    <row r="22" spans="11:27" x14ac:dyDescent="0.3">
      <c r="K22" s="13"/>
      <c r="L22" s="14"/>
      <c r="T22" s="13"/>
      <c r="U22" s="13"/>
      <c r="V22" s="13"/>
      <c r="W22" s="13"/>
      <c r="X22" s="13"/>
      <c r="Y22" s="13"/>
      <c r="Z22" s="14"/>
      <c r="AA22" s="13"/>
    </row>
    <row r="23" spans="11:27" ht="15" customHeight="1" x14ac:dyDescent="0.3">
      <c r="K23" s="13"/>
      <c r="L23" s="14"/>
      <c r="T23" s="13"/>
      <c r="U23" s="13"/>
      <c r="V23" s="13"/>
      <c r="W23" s="13"/>
      <c r="X23" s="13"/>
      <c r="Y23" s="13"/>
      <c r="Z23" s="14"/>
      <c r="AA23" s="13"/>
    </row>
    <row r="24" spans="11:27" ht="15" customHeight="1" x14ac:dyDescent="0.3"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1:27" ht="15" customHeight="1" x14ac:dyDescent="0.3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1:27" ht="15" customHeight="1" x14ac:dyDescent="0.3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1:27" ht="15" customHeight="1" x14ac:dyDescent="0.3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1:27" x14ac:dyDescent="0.3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1:27" x14ac:dyDescent="0.3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3">
      <c r="L49" s="14"/>
      <c r="T49" s="13"/>
      <c r="U49" s="13"/>
      <c r="V49" s="13"/>
      <c r="W49" s="13"/>
      <c r="X49" s="13"/>
      <c r="Y49" s="13"/>
      <c r="Z49" s="14"/>
      <c r="AA49" s="13"/>
    </row>
  </sheetData>
  <mergeCells count="1">
    <mergeCell ref="I1:K1"/>
  </mergeCells>
  <hyperlinks>
    <hyperlink ref="I1" location="TOC!A1" display="Return to TOC" xr:uid="{415AAAE4-F3CA-4627-952A-AB71491195D5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792F-1068-4541-A724-91889E9F1BEA}">
  <sheetPr codeName="Sheet66"/>
  <dimension ref="A1:Z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21.33203125" customWidth="1"/>
    <col min="4" max="4" width="31.5546875" customWidth="1"/>
    <col min="5" max="6" width="5.6640625" customWidth="1"/>
    <col min="7" max="7" width="11.6640625" bestFit="1" customWidth="1"/>
    <col min="8" max="10" width="5.6640625" customWidth="1"/>
    <col min="11" max="11" width="2.6640625" customWidth="1"/>
    <col min="12" max="12" width="25.33203125" customWidth="1"/>
    <col min="13" max="13" width="18.33203125" customWidth="1"/>
    <col min="14" max="14" width="4.33203125" customWidth="1"/>
    <col min="15" max="15" width="10.5546875" customWidth="1"/>
    <col min="16" max="16" width="8.6640625" customWidth="1"/>
    <col min="17" max="20" width="5.6640625" customWidth="1"/>
    <col min="21" max="21" width="9.5546875" customWidth="1"/>
    <col min="22" max="23" width="5.6640625" customWidth="1"/>
    <col min="24" max="24" width="10.33203125" customWidth="1"/>
  </cols>
  <sheetData>
    <row r="1" spans="1:26" x14ac:dyDescent="0.3">
      <c r="A1" s="32" t="s">
        <v>137</v>
      </c>
      <c r="B1" s="33"/>
      <c r="C1" s="33" t="s">
        <v>121</v>
      </c>
      <c r="D1" s="34"/>
      <c r="E1" s="33"/>
      <c r="F1" s="33"/>
      <c r="G1" s="33"/>
      <c r="H1" s="772" t="s">
        <v>199</v>
      </c>
      <c r="I1" s="772"/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7"/>
      <c r="K2" s="10"/>
      <c r="L2" s="238" t="s">
        <v>449</v>
      </c>
      <c r="M2" s="239"/>
      <c r="N2" s="25"/>
      <c r="Y2" s="10"/>
    </row>
    <row r="3" spans="1:26" x14ac:dyDescent="0.3">
      <c r="A3" s="35" t="s">
        <v>141</v>
      </c>
      <c r="B3" s="36"/>
      <c r="C3" s="36" t="s">
        <v>55</v>
      </c>
      <c r="D3" s="36"/>
      <c r="E3" s="36"/>
      <c r="F3" s="36"/>
      <c r="G3" s="36"/>
      <c r="H3" s="36"/>
      <c r="I3" s="36"/>
      <c r="J3" s="37"/>
      <c r="K3" s="10"/>
      <c r="Y3" s="10"/>
    </row>
    <row r="4" spans="1:26" x14ac:dyDescent="0.3">
      <c r="A4" s="38"/>
      <c r="B4" s="39"/>
      <c r="C4" s="39"/>
      <c r="D4" s="39"/>
      <c r="E4" s="39"/>
      <c r="F4" s="39"/>
      <c r="G4" s="214" t="s">
        <v>450</v>
      </c>
      <c r="H4" s="39"/>
      <c r="I4" s="39"/>
      <c r="J4" s="40"/>
      <c r="K4" s="14"/>
      <c r="L4" t="s">
        <v>441</v>
      </c>
      <c r="Y4" s="14"/>
      <c r="Z4" s="13"/>
    </row>
    <row r="5" spans="1:26" ht="15" customHeight="1" x14ac:dyDescent="0.3">
      <c r="A5" s="41" t="s">
        <v>144</v>
      </c>
      <c r="B5" s="246" t="s">
        <v>451</v>
      </c>
      <c r="C5" s="36" t="s">
        <v>452</v>
      </c>
      <c r="D5" s="247">
        <v>150000</v>
      </c>
      <c r="E5" s="250">
        <v>15</v>
      </c>
      <c r="F5" s="42"/>
      <c r="G5" s="247">
        <v>15000</v>
      </c>
      <c r="H5" s="36"/>
      <c r="I5" s="36"/>
      <c r="J5" s="37"/>
      <c r="K5" s="14"/>
      <c r="L5" t="s">
        <v>454</v>
      </c>
      <c r="M5" s="236" t="str">
        <f>TEXT(D5,"$0,000")</f>
        <v>$150,000</v>
      </c>
      <c r="V5" s="13"/>
      <c r="W5" s="13"/>
      <c r="X5" s="13"/>
      <c r="Y5" s="14"/>
      <c r="Z5" s="13"/>
    </row>
    <row r="6" spans="1:26" x14ac:dyDescent="0.3">
      <c r="A6" s="45"/>
      <c r="B6" s="246" t="s">
        <v>453</v>
      </c>
      <c r="C6" s="36" t="s">
        <v>440</v>
      </c>
      <c r="D6" s="249">
        <v>1.1000000000000001</v>
      </c>
      <c r="E6" s="250">
        <v>10</v>
      </c>
      <c r="F6" s="42"/>
      <c r="G6" s="247">
        <v>25000</v>
      </c>
      <c r="H6" s="36"/>
      <c r="I6" s="36"/>
      <c r="J6" s="37"/>
      <c r="K6" s="14"/>
      <c r="L6" t="s">
        <v>443</v>
      </c>
      <c r="M6" s="237">
        <f>D6</f>
        <v>1.1000000000000001</v>
      </c>
      <c r="V6" s="13"/>
      <c r="W6" s="13"/>
      <c r="X6" s="13"/>
      <c r="Y6" s="14"/>
      <c r="Z6" s="13"/>
    </row>
    <row r="7" spans="1:26" ht="15" customHeight="1" x14ac:dyDescent="0.3">
      <c r="A7" s="45"/>
      <c r="B7" s="246" t="s">
        <v>455</v>
      </c>
      <c r="C7" s="36" t="s">
        <v>456</v>
      </c>
      <c r="D7" s="84">
        <v>1.0309999999999999</v>
      </c>
      <c r="E7" s="250">
        <v>25000</v>
      </c>
      <c r="F7" s="42"/>
      <c r="G7" s="247">
        <v>50000</v>
      </c>
      <c r="H7" s="36"/>
      <c r="I7" s="36"/>
      <c r="J7" s="37"/>
      <c r="K7" s="14"/>
      <c r="L7" t="s">
        <v>457</v>
      </c>
      <c r="M7" s="236">
        <f>D7</f>
        <v>1.0309999999999999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/>
      <c r="D8" s="36"/>
      <c r="E8" s="36"/>
      <c r="F8" s="36"/>
      <c r="G8" s="247">
        <v>100000</v>
      </c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3">
      <c r="A9" s="45"/>
      <c r="B9" s="39"/>
      <c r="C9" s="36" t="s">
        <v>458</v>
      </c>
      <c r="D9" s="247">
        <v>100000</v>
      </c>
      <c r="E9" s="36"/>
      <c r="F9" s="36"/>
      <c r="G9" s="247">
        <v>1000000</v>
      </c>
      <c r="H9" s="36"/>
      <c r="I9" s="36"/>
      <c r="J9" s="37"/>
      <c r="K9" s="14"/>
      <c r="L9" t="s">
        <v>460</v>
      </c>
      <c r="V9" s="13"/>
      <c r="W9" s="13"/>
      <c r="X9" s="13"/>
      <c r="Y9" s="14"/>
      <c r="Z9" s="13"/>
    </row>
    <row r="10" spans="1:26" x14ac:dyDescent="0.3">
      <c r="A10" s="38"/>
      <c r="B10" s="39"/>
      <c r="C10" s="36" t="s">
        <v>459</v>
      </c>
      <c r="D10" s="247">
        <v>500000</v>
      </c>
      <c r="E10" s="36"/>
      <c r="F10" s="36"/>
      <c r="G10" s="36"/>
      <c r="H10" s="36"/>
      <c r="I10" s="36"/>
      <c r="J10" s="37"/>
      <c r="K10" s="14"/>
      <c r="V10" s="13"/>
      <c r="W10" s="13"/>
      <c r="X10" s="13"/>
      <c r="Y10" s="14"/>
      <c r="Z10" s="13"/>
    </row>
    <row r="11" spans="1:26" x14ac:dyDescent="0.3">
      <c r="A11" s="38"/>
      <c r="B11" s="39"/>
      <c r="C11" s="36"/>
      <c r="D11" s="36"/>
      <c r="E11" s="36"/>
      <c r="F11" s="36"/>
      <c r="G11" s="36"/>
      <c r="H11" s="36"/>
      <c r="I11" s="36"/>
      <c r="J11" s="37"/>
      <c r="K11" s="14"/>
      <c r="L11" t="s">
        <v>461</v>
      </c>
      <c r="V11" s="13"/>
      <c r="W11" s="13"/>
      <c r="X11" s="13"/>
      <c r="Y11" s="14"/>
      <c r="Z11" s="13"/>
    </row>
    <row r="12" spans="1:26" x14ac:dyDescent="0.3">
      <c r="A12" s="38"/>
      <c r="B12" s="36"/>
      <c r="C12" s="36" t="str">
        <f>"There are "&amp;E5&amp;" claims on the policy. " &amp;E6&amp;" of those claims are below the per-occurrence limit and total "&amp;TEXT(E7,"$0,000")&amp;"."</f>
        <v>There are 15 claims on the policy. 10 of those claims are below the per-occurrence limit and total $25,000.</v>
      </c>
      <c r="D12" s="36"/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3">
      <c r="A13" s="38"/>
      <c r="B13" s="36"/>
      <c r="C13" s="36" t="str">
        <f>"The other "&amp;E5-E6&amp; " claims have the following values:"</f>
        <v>The other 5 claims have the following values:</v>
      </c>
      <c r="D13" s="36"/>
      <c r="E13" s="36"/>
      <c r="F13" s="36"/>
      <c r="G13" s="36"/>
      <c r="H13" s="36"/>
      <c r="I13" s="36"/>
      <c r="J13" s="37"/>
      <c r="K13" s="14"/>
      <c r="L13" t="s">
        <v>462</v>
      </c>
      <c r="V13" s="13"/>
      <c r="W13" s="13"/>
      <c r="X13" s="13"/>
      <c r="Y13" s="14"/>
      <c r="Z13" s="13"/>
    </row>
    <row r="14" spans="1:26" x14ac:dyDescent="0.3">
      <c r="A14" s="38"/>
      <c r="B14" s="36"/>
      <c r="C14" s="36"/>
      <c r="D14" s="36"/>
      <c r="E14" s="36"/>
      <c r="F14" s="36"/>
      <c r="G14" s="36"/>
      <c r="H14" s="36"/>
      <c r="I14" s="36"/>
      <c r="J14" s="37"/>
      <c r="K14" s="14"/>
      <c r="M14" s="10" t="s">
        <v>464</v>
      </c>
      <c r="V14" s="13"/>
      <c r="W14" s="13"/>
      <c r="X14" s="13"/>
      <c r="Y14" s="14"/>
      <c r="Z14" s="13"/>
    </row>
    <row r="15" spans="1:26" x14ac:dyDescent="0.3">
      <c r="A15" s="35" t="s">
        <v>173</v>
      </c>
      <c r="B15" s="36"/>
      <c r="C15" s="36" t="s">
        <v>463</v>
      </c>
      <c r="D15" s="36"/>
      <c r="E15" s="36"/>
      <c r="F15" s="36"/>
      <c r="G15" s="36"/>
      <c r="H15" s="36"/>
      <c r="I15" s="36"/>
      <c r="J15" s="37"/>
      <c r="K15" s="14"/>
      <c r="L15" s="110" t="s">
        <v>337</v>
      </c>
      <c r="M15" s="110" t="s">
        <v>465</v>
      </c>
      <c r="O15" s="239" t="s">
        <v>466</v>
      </c>
      <c r="V15" s="13"/>
      <c r="W15" s="13"/>
      <c r="X15" s="13"/>
      <c r="Y15" s="14"/>
      <c r="Z15" s="13"/>
    </row>
    <row r="16" spans="1:26" ht="15" thickBot="1" x14ac:dyDescent="0.35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4"/>
      <c r="L16" s="10" t="str">
        <f>"First "&amp;E6&amp;" claims"</f>
        <v>First 10 claims</v>
      </c>
      <c r="M16" s="242">
        <f>E7</f>
        <v>25000</v>
      </c>
      <c r="O16" t="s">
        <v>467</v>
      </c>
      <c r="V16" s="13"/>
      <c r="W16" s="13"/>
      <c r="X16" s="13"/>
      <c r="Y16" s="14"/>
      <c r="Z16" s="13"/>
    </row>
    <row r="17" spans="11:26" x14ac:dyDescent="0.3">
      <c r="K17" s="14"/>
      <c r="L17" s="10" t="str">
        <f>TEXT(G5,"$0,000")</f>
        <v>$15,000</v>
      </c>
      <c r="M17" s="242">
        <f>MIN(G5,$D$9)</f>
        <v>15000</v>
      </c>
      <c r="O17" t="str">
        <f>IF(M17=$D$9,"Capped by per-occurrence limit","")</f>
        <v/>
      </c>
      <c r="V17" s="13"/>
      <c r="W17" s="13"/>
      <c r="X17" s="13"/>
      <c r="Y17" s="14"/>
      <c r="Z17" s="13"/>
    </row>
    <row r="18" spans="11:26" x14ac:dyDescent="0.3">
      <c r="K18" s="14"/>
      <c r="L18" s="10" t="str">
        <f>TEXT(G6,"$0,000")</f>
        <v>$25,000</v>
      </c>
      <c r="M18" s="242">
        <f>MIN(G6,$D$9)</f>
        <v>25000</v>
      </c>
      <c r="O18" t="str">
        <f t="shared" ref="O18:O21" si="0">IF(M18=$D$9,"Capped by per-occurrence limit","")</f>
        <v/>
      </c>
      <c r="V18" s="13"/>
      <c r="W18" s="13"/>
      <c r="X18" s="13"/>
      <c r="Y18" s="14"/>
      <c r="Z18" s="13"/>
    </row>
    <row r="19" spans="11:26" ht="15" customHeight="1" x14ac:dyDescent="0.3">
      <c r="K19" s="14"/>
      <c r="L19" s="10" t="str">
        <f>TEXT(G7,"$0,000")</f>
        <v>$50,000</v>
      </c>
      <c r="M19" s="242">
        <f>MIN(G7,$D$9)</f>
        <v>50000</v>
      </c>
      <c r="O19" t="str">
        <f t="shared" si="0"/>
        <v/>
      </c>
      <c r="V19" s="13"/>
      <c r="W19" s="13"/>
      <c r="X19" s="13"/>
      <c r="Y19" s="14"/>
      <c r="Z19" s="13"/>
    </row>
    <row r="20" spans="11:26" x14ac:dyDescent="0.3">
      <c r="K20" s="14"/>
      <c r="L20" s="10" t="str">
        <f>TEXT(G8,"$0,000")</f>
        <v>$100,000</v>
      </c>
      <c r="M20" s="242">
        <f>MIN(G8,$D$9)</f>
        <v>100000</v>
      </c>
      <c r="O20" t="str">
        <f t="shared" si="0"/>
        <v>Capped by per-occurrence limit</v>
      </c>
      <c r="V20" s="13"/>
      <c r="W20" s="13"/>
      <c r="X20" s="13"/>
      <c r="Y20" s="14"/>
      <c r="Z20" s="13"/>
    </row>
    <row r="21" spans="11:26" x14ac:dyDescent="0.3">
      <c r="K21" s="14"/>
      <c r="L21" s="10" t="str">
        <f>TEXT(G9,"$0,000")</f>
        <v>$1,000,000</v>
      </c>
      <c r="M21" s="242">
        <f>MIN(G9,$D$9)</f>
        <v>100000</v>
      </c>
      <c r="O21" t="str">
        <f t="shared" si="0"/>
        <v>Capped by per-occurrence limit</v>
      </c>
      <c r="S21" s="13"/>
      <c r="T21" s="13"/>
      <c r="U21" s="13"/>
      <c r="V21" s="13"/>
      <c r="W21" s="13"/>
      <c r="X21" s="13"/>
      <c r="Y21" s="14"/>
      <c r="Z21" s="13"/>
    </row>
    <row r="22" spans="11:26" ht="15" thickBot="1" x14ac:dyDescent="0.35">
      <c r="K22" s="14"/>
      <c r="L22" s="243" t="s">
        <v>468</v>
      </c>
      <c r="M22" s="244">
        <f>SUM(M16:M21)</f>
        <v>315000</v>
      </c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3">
      <c r="K23" s="14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3">
      <c r="K24" s="14"/>
      <c r="L24" t="s">
        <v>469</v>
      </c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3">
      <c r="K25" s="14"/>
      <c r="L25" s="26" t="s">
        <v>470</v>
      </c>
      <c r="M25" s="242">
        <f>MIN(M22,D10)</f>
        <v>315000</v>
      </c>
      <c r="O25" s="19" t="s">
        <v>471</v>
      </c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3">
      <c r="K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3">
      <c r="K27" s="14"/>
      <c r="L27" t="s">
        <v>472</v>
      </c>
      <c r="S27" s="13"/>
      <c r="T27" s="13"/>
      <c r="U27" s="13"/>
      <c r="V27" s="13"/>
      <c r="W27" s="13"/>
      <c r="X27" s="13"/>
      <c r="Y27" s="14"/>
      <c r="Z27" s="13"/>
    </row>
    <row r="28" spans="11:26" ht="15" customHeight="1" x14ac:dyDescent="0.3">
      <c r="K28" s="14"/>
      <c r="L28" s="26" t="s">
        <v>473</v>
      </c>
      <c r="M28" t="str">
        <f>"( "&amp;D5 &amp;" + " &amp;D6 &amp;" * "&amp;M25&amp;" ) * "&amp;D7</f>
        <v>( 150000 + 1.1 * 315000 ) * 1.031</v>
      </c>
      <c r="S28" s="13"/>
      <c r="T28" s="13"/>
      <c r="U28" s="13"/>
      <c r="V28" s="13"/>
      <c r="W28" s="13"/>
      <c r="X28" s="13"/>
      <c r="Y28" s="14"/>
      <c r="Z28" s="13"/>
    </row>
    <row r="29" spans="11:26" x14ac:dyDescent="0.3">
      <c r="K29" s="14"/>
      <c r="L29" s="27" t="s">
        <v>474</v>
      </c>
      <c r="M29" s="245">
        <f>ROUND((D5+D6*M25)*D7,0)</f>
        <v>511892</v>
      </c>
      <c r="S29" s="13"/>
      <c r="T29" s="13"/>
      <c r="U29" s="13"/>
      <c r="V29" s="13"/>
      <c r="W29" s="13"/>
      <c r="X29" s="13"/>
      <c r="Y29" s="14"/>
      <c r="Z29" s="13"/>
    </row>
    <row r="30" spans="11:26" x14ac:dyDescent="0.3">
      <c r="K30" s="14"/>
      <c r="V30" s="13"/>
      <c r="W30" s="13"/>
      <c r="X30" s="13"/>
      <c r="Y30" s="14"/>
      <c r="Z30" s="13"/>
    </row>
    <row r="31" spans="11:26" x14ac:dyDescent="0.3">
      <c r="K31" s="14"/>
      <c r="S31" s="13"/>
      <c r="T31" s="13"/>
      <c r="U31" s="13"/>
      <c r="V31" s="13"/>
      <c r="W31" s="13"/>
      <c r="X31" s="13"/>
      <c r="Y31" s="14"/>
      <c r="Z31" s="13"/>
    </row>
    <row r="32" spans="11:26" x14ac:dyDescent="0.3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3">
      <c r="K49" s="14"/>
      <c r="S49" s="13"/>
      <c r="T49" s="13"/>
      <c r="U49" s="13"/>
      <c r="V49" s="13"/>
      <c r="W49" s="13"/>
      <c r="X49" s="13"/>
      <c r="Y49" s="14"/>
      <c r="Z49" s="13"/>
    </row>
    <row r="151" spans="11:25" x14ac:dyDescent="0.3">
      <c r="K151" s="14"/>
      <c r="Y151" s="14"/>
    </row>
    <row r="152" spans="11:25" x14ac:dyDescent="0.3">
      <c r="K152" s="14"/>
      <c r="Y152" s="14"/>
    </row>
    <row r="153" spans="11:25" x14ac:dyDescent="0.3">
      <c r="K153" s="14"/>
      <c r="Y153" s="14"/>
    </row>
    <row r="154" spans="11:25" x14ac:dyDescent="0.3">
      <c r="K154" s="14"/>
      <c r="Y154" s="14"/>
    </row>
    <row r="155" spans="11:25" x14ac:dyDescent="0.3">
      <c r="K155" s="14"/>
      <c r="Y155" s="14"/>
    </row>
    <row r="156" spans="11:25" x14ac:dyDescent="0.3">
      <c r="K156" s="14"/>
      <c r="Y156" s="14"/>
    </row>
    <row r="157" spans="11:25" x14ac:dyDescent="0.3">
      <c r="K157" s="14"/>
      <c r="Y157" s="14"/>
    </row>
    <row r="158" spans="11:25" x14ac:dyDescent="0.3">
      <c r="K158" s="14"/>
      <c r="Y158" s="14"/>
    </row>
  </sheetData>
  <mergeCells count="1">
    <mergeCell ref="H1:J1"/>
  </mergeCells>
  <hyperlinks>
    <hyperlink ref="H1" location="TOC!A1" display="Return to TOC" xr:uid="{65762A55-4E54-4650-A217-48941FB227A9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E32B-43D1-4DBA-B715-E074DBB88FEA}">
  <sheetPr codeName="Sheet68"/>
  <dimension ref="A1:AA104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2.5546875" customWidth="1"/>
    <col min="4" max="4" width="17.109375" customWidth="1"/>
    <col min="5" max="5" width="15.33203125" customWidth="1"/>
    <col min="6" max="6" width="11.6640625" customWidth="1"/>
    <col min="7" max="7" width="11.6640625" bestFit="1" customWidth="1"/>
    <col min="8" max="8" width="11" bestFit="1" customWidth="1"/>
    <col min="9" max="9" width="12" customWidth="1"/>
    <col min="10" max="10" width="9.5546875" customWidth="1"/>
    <col min="11" max="11" width="9.109375" customWidth="1"/>
    <col min="12" max="12" width="4.88671875" customWidth="1"/>
    <col min="13" max="13" width="2.6640625" customWidth="1"/>
    <col min="14" max="14" width="14.6640625" customWidth="1"/>
    <col min="15" max="15" width="18.33203125" customWidth="1"/>
    <col min="16" max="16" width="15.33203125" customWidth="1"/>
    <col min="17" max="17" width="14.6640625" customWidth="1"/>
    <col min="18" max="18" width="13.109375" customWidth="1"/>
    <col min="19" max="19" width="14.109375" customWidth="1"/>
    <col min="20" max="20" width="10.5546875" customWidth="1"/>
    <col min="21" max="21" width="10.88671875" customWidth="1"/>
    <col min="22" max="22" width="8.5546875" customWidth="1"/>
    <col min="23" max="23" width="10.88671875" customWidth="1"/>
    <col min="24" max="24" width="13.109375" customWidth="1"/>
    <col min="25" max="25" width="11.44140625" customWidth="1"/>
    <col min="26" max="26" width="4.6640625" customWidth="1"/>
    <col min="29" max="29" width="11.33203125" bestFit="1" customWidth="1"/>
    <col min="30" max="30" width="14" bestFit="1" customWidth="1"/>
    <col min="31" max="31" width="12.88671875" customWidth="1"/>
    <col min="32" max="32" width="11.88671875" customWidth="1"/>
    <col min="33" max="33" width="13.44140625" customWidth="1"/>
    <col min="34" max="34" width="10.109375" bestFit="1" customWidth="1"/>
    <col min="35" max="35" width="9.33203125" customWidth="1"/>
    <col min="36" max="36" width="10.109375" bestFit="1" customWidth="1"/>
    <col min="37" max="37" width="11.33203125" bestFit="1" customWidth="1"/>
    <col min="38" max="38" width="11.6640625" customWidth="1"/>
    <col min="39" max="40" width="4.44140625" customWidth="1"/>
  </cols>
  <sheetData>
    <row r="1" spans="1:27" x14ac:dyDescent="0.3">
      <c r="A1" s="32" t="s">
        <v>137</v>
      </c>
      <c r="B1" s="33"/>
      <c r="C1" s="33" t="s">
        <v>121</v>
      </c>
      <c r="D1" s="34"/>
      <c r="E1" s="33"/>
      <c r="F1" s="33"/>
      <c r="G1" s="33"/>
      <c r="H1" s="33"/>
      <c r="I1" s="33"/>
      <c r="J1" s="33"/>
      <c r="K1" s="772" t="s">
        <v>199</v>
      </c>
      <c r="L1" s="773"/>
      <c r="M1" s="10"/>
      <c r="N1" s="12" t="s">
        <v>140</v>
      </c>
      <c r="AA1" s="10"/>
    </row>
    <row r="2" spans="1:27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476</v>
      </c>
      <c r="AA2" s="10"/>
    </row>
    <row r="3" spans="1:27" x14ac:dyDescent="0.3">
      <c r="A3" s="282" t="s">
        <v>141</v>
      </c>
      <c r="B3" s="283"/>
      <c r="C3" s="283" t="s">
        <v>478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s="251" t="s">
        <v>479</v>
      </c>
      <c r="O3" s="252">
        <f>1+C12</f>
        <v>1.1000000000000001</v>
      </c>
      <c r="AA3" s="10"/>
    </row>
    <row r="4" spans="1:27" x14ac:dyDescent="0.3">
      <c r="A4" s="282"/>
      <c r="B4" s="283"/>
      <c r="C4" s="283"/>
      <c r="D4" s="36"/>
      <c r="E4" s="36"/>
      <c r="F4" s="36"/>
      <c r="G4" s="36"/>
      <c r="H4" s="36"/>
      <c r="I4" s="36"/>
      <c r="J4" s="36"/>
      <c r="K4" s="36"/>
      <c r="L4" s="37"/>
      <c r="M4" s="10"/>
      <c r="N4" s="251"/>
      <c r="O4" s="252"/>
      <c r="AA4" s="10"/>
    </row>
    <row r="5" spans="1:27" x14ac:dyDescent="0.3">
      <c r="A5" s="41" t="s">
        <v>144</v>
      </c>
      <c r="B5" s="246"/>
      <c r="C5" s="284" t="s">
        <v>481</v>
      </c>
      <c r="D5" s="285"/>
      <c r="E5" s="75"/>
      <c r="F5" s="36"/>
      <c r="G5" s="36"/>
      <c r="H5" s="36"/>
      <c r="I5" s="36"/>
      <c r="J5" s="36"/>
      <c r="K5" s="36"/>
      <c r="L5" s="37"/>
      <c r="M5" s="10"/>
      <c r="N5" t="s">
        <v>480</v>
      </c>
      <c r="AA5" s="10"/>
    </row>
    <row r="6" spans="1:27" x14ac:dyDescent="0.3">
      <c r="A6" s="45"/>
      <c r="B6" s="246"/>
      <c r="C6" s="286">
        <v>1100000</v>
      </c>
      <c r="D6" s="287" t="s">
        <v>482</v>
      </c>
      <c r="E6" s="43"/>
      <c r="F6" s="36"/>
      <c r="G6" s="36"/>
      <c r="H6" s="36"/>
      <c r="I6" s="36"/>
      <c r="J6" s="36"/>
      <c r="K6" s="36"/>
      <c r="L6" s="40"/>
      <c r="M6" s="14"/>
      <c r="AA6" s="14"/>
    </row>
    <row r="7" spans="1:27" ht="15" customHeight="1" x14ac:dyDescent="0.3">
      <c r="A7" s="45"/>
      <c r="B7" s="246"/>
      <c r="C7" s="288">
        <v>600000</v>
      </c>
      <c r="D7" s="36" t="s">
        <v>484</v>
      </c>
      <c r="E7" s="46"/>
      <c r="F7" s="36"/>
      <c r="G7" s="36"/>
      <c r="H7" s="36"/>
      <c r="I7" s="36"/>
      <c r="J7" s="36"/>
      <c r="K7" s="36"/>
      <c r="L7" s="37"/>
      <c r="M7" s="14"/>
      <c r="N7" t="s">
        <v>483</v>
      </c>
      <c r="AA7" s="14"/>
    </row>
    <row r="8" spans="1:27" x14ac:dyDescent="0.3">
      <c r="A8" s="41"/>
      <c r="B8" s="39"/>
      <c r="C8" s="288">
        <v>300000</v>
      </c>
      <c r="D8" s="36" t="s">
        <v>486</v>
      </c>
      <c r="E8" s="46"/>
      <c r="F8" s="36"/>
      <c r="G8" s="36"/>
      <c r="H8" s="36"/>
      <c r="I8" s="36"/>
      <c r="J8" s="36"/>
      <c r="K8" s="36"/>
      <c r="L8" s="37"/>
      <c r="M8" s="14"/>
      <c r="N8" s="26" t="s">
        <v>485</v>
      </c>
      <c r="O8" t="str">
        <f>TEXT(C8,"$0,000") &amp;" * (1 + "&amp;TEXT(C12,"0.0%")&amp;") + "&amp;TEXT(C9,"$0,000")&amp; " + "&amp;TEXT(C10,"$0,000")&amp;" + "&amp;TEXT(C11,"$0,000")</f>
        <v>$300,000 * (1 + 10.0%) + $55,000 + $15,000 + $5,000</v>
      </c>
      <c r="AA8" s="14"/>
    </row>
    <row r="9" spans="1:27" ht="15" customHeight="1" x14ac:dyDescent="0.3">
      <c r="A9" s="45"/>
      <c r="B9" s="39"/>
      <c r="C9" s="288">
        <v>55000</v>
      </c>
      <c r="D9" s="36" t="s">
        <v>488</v>
      </c>
      <c r="E9" s="46"/>
      <c r="F9" s="36"/>
      <c r="G9" s="36"/>
      <c r="H9" s="36"/>
      <c r="I9" s="36"/>
      <c r="J9" s="36"/>
      <c r="K9" s="36"/>
      <c r="L9" s="37"/>
      <c r="M9" s="14"/>
      <c r="N9" s="27" t="s">
        <v>179</v>
      </c>
      <c r="O9" s="29" t="str">
        <f>TEXT(C8*(1+C12)+C9+C10+C11,"$0,000")</f>
        <v>$405,000</v>
      </c>
      <c r="P9" s="19" t="s">
        <v>487</v>
      </c>
      <c r="AA9" s="14"/>
    </row>
    <row r="10" spans="1:27" ht="15" customHeight="1" x14ac:dyDescent="0.3">
      <c r="A10" s="38"/>
      <c r="B10" s="39"/>
      <c r="C10" s="288">
        <v>15000</v>
      </c>
      <c r="D10" s="36" t="s">
        <v>489</v>
      </c>
      <c r="E10" s="46"/>
      <c r="F10" s="36"/>
      <c r="G10" s="36"/>
      <c r="H10" s="36"/>
      <c r="I10" s="36"/>
      <c r="J10" s="36"/>
      <c r="K10" s="36"/>
      <c r="L10" s="37"/>
      <c r="M10" s="14"/>
      <c r="AA10" s="14"/>
    </row>
    <row r="11" spans="1:27" x14ac:dyDescent="0.3">
      <c r="A11" s="38"/>
      <c r="B11" s="39"/>
      <c r="C11" s="288">
        <v>5000</v>
      </c>
      <c r="D11" s="36" t="s">
        <v>490</v>
      </c>
      <c r="E11" s="46"/>
      <c r="F11" s="36"/>
      <c r="G11" s="36"/>
      <c r="H11" s="36"/>
      <c r="I11" s="36"/>
      <c r="J11" s="36"/>
      <c r="K11" s="36"/>
      <c r="L11" s="37"/>
      <c r="M11" s="14"/>
      <c r="N11" t="str">
        <f>"The tax multiplier, T, is  1 / (1 - " &amp;TEXT(C13,"0.0%") &amp;")"</f>
        <v>The tax multiplier, T, is  1 / (1 - 3.0%)</v>
      </c>
      <c r="AA11" s="14"/>
    </row>
    <row r="12" spans="1:27" x14ac:dyDescent="0.3">
      <c r="A12" s="38"/>
      <c r="B12" s="36"/>
      <c r="C12" s="289">
        <v>0.1</v>
      </c>
      <c r="D12" s="36" t="s">
        <v>492</v>
      </c>
      <c r="E12" s="46"/>
      <c r="F12" s="36"/>
      <c r="G12" s="36"/>
      <c r="H12" s="36"/>
      <c r="I12" s="36"/>
      <c r="J12" s="36"/>
      <c r="K12" s="36"/>
      <c r="L12" s="37"/>
      <c r="M12" s="14"/>
      <c r="N12" s="26" t="s">
        <v>491</v>
      </c>
      <c r="O12" s="11">
        <f>ROUND(1/(1-C13),3)</f>
        <v>1.0309999999999999</v>
      </c>
      <c r="AA12" s="14"/>
    </row>
    <row r="13" spans="1:27" x14ac:dyDescent="0.3">
      <c r="A13" s="38"/>
      <c r="B13" s="36"/>
      <c r="C13" s="290">
        <v>0.03</v>
      </c>
      <c r="D13" s="291" t="s">
        <v>493</v>
      </c>
      <c r="E13" s="47"/>
      <c r="F13" s="36"/>
      <c r="G13" s="36"/>
      <c r="H13" s="36"/>
      <c r="I13" s="36"/>
      <c r="J13" s="36"/>
      <c r="K13" s="36"/>
      <c r="L13" s="37"/>
      <c r="M13" s="14"/>
      <c r="AA13" s="14"/>
    </row>
    <row r="14" spans="1:27" x14ac:dyDescent="0.3">
      <c r="A14" s="38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14"/>
      <c r="N14" t="s">
        <v>494</v>
      </c>
      <c r="AA14" s="14"/>
    </row>
    <row r="15" spans="1:27" x14ac:dyDescent="0.3">
      <c r="A15" s="45"/>
      <c r="B15" s="36"/>
      <c r="C15" s="36" t="s">
        <v>496</v>
      </c>
      <c r="D15" s="36"/>
      <c r="E15" s="36"/>
      <c r="F15" s="36"/>
      <c r="G15" s="36"/>
      <c r="H15" s="36"/>
      <c r="I15" s="36"/>
      <c r="J15" s="36"/>
      <c r="K15" s="36"/>
      <c r="L15" s="37"/>
      <c r="M15" s="14"/>
      <c r="N15" t="s">
        <v>495</v>
      </c>
      <c r="AA15" s="14"/>
    </row>
    <row r="16" spans="1:27" x14ac:dyDescent="0.3">
      <c r="A16" s="4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14"/>
      <c r="N16" t="s">
        <v>497</v>
      </c>
      <c r="AA16" s="14"/>
    </row>
    <row r="17" spans="1:27" x14ac:dyDescent="0.3">
      <c r="A17" s="45"/>
      <c r="B17" s="36"/>
      <c r="C17" s="284" t="s">
        <v>511</v>
      </c>
      <c r="D17" s="285"/>
      <c r="E17" s="285"/>
      <c r="F17" s="285"/>
      <c r="G17" s="285"/>
      <c r="H17" s="285"/>
      <c r="I17" s="285"/>
      <c r="J17" s="285"/>
      <c r="K17" s="75"/>
      <c r="L17" s="37"/>
      <c r="M17" s="14"/>
      <c r="N17" t="s">
        <v>498</v>
      </c>
      <c r="AA17" s="14"/>
    </row>
    <row r="18" spans="1:27" x14ac:dyDescent="0.3">
      <c r="A18" s="45"/>
      <c r="B18" s="36"/>
      <c r="C18" s="292"/>
      <c r="D18" s="293"/>
      <c r="E18" s="294" t="s">
        <v>566</v>
      </c>
      <c r="F18" s="294" t="s">
        <v>567</v>
      </c>
      <c r="G18" s="294" t="s">
        <v>568</v>
      </c>
      <c r="H18" s="294" t="s">
        <v>569</v>
      </c>
      <c r="I18" s="293"/>
      <c r="J18" s="294" t="s">
        <v>570</v>
      </c>
      <c r="K18" s="295" t="s">
        <v>571</v>
      </c>
      <c r="L18" s="37"/>
      <c r="M18" s="14"/>
      <c r="N18" t="s">
        <v>499</v>
      </c>
      <c r="AA18" s="14"/>
    </row>
    <row r="19" spans="1:27" x14ac:dyDescent="0.3">
      <c r="A19" s="45"/>
      <c r="B19" s="36"/>
      <c r="C19" s="296"/>
      <c r="D19" s="177"/>
      <c r="E19" s="177" t="s">
        <v>558</v>
      </c>
      <c r="F19" s="177" t="s">
        <v>558</v>
      </c>
      <c r="G19" s="177"/>
      <c r="H19" s="177" t="s">
        <v>564</v>
      </c>
      <c r="I19" s="177"/>
      <c r="J19" s="177"/>
      <c r="K19" s="297"/>
      <c r="L19" s="37"/>
      <c r="M19" s="14"/>
      <c r="N19" t="s">
        <v>501</v>
      </c>
      <c r="AA19" s="14"/>
    </row>
    <row r="20" spans="1:27" x14ac:dyDescent="0.3">
      <c r="A20" s="45"/>
      <c r="B20" s="36"/>
      <c r="C20" s="296" t="s">
        <v>536</v>
      </c>
      <c r="D20" s="177"/>
      <c r="E20" s="177" t="s">
        <v>559</v>
      </c>
      <c r="F20" s="177" t="s">
        <v>561</v>
      </c>
      <c r="G20" s="177" t="s">
        <v>562</v>
      </c>
      <c r="H20" s="177" t="s">
        <v>565</v>
      </c>
      <c r="I20" s="177"/>
      <c r="J20" s="177" t="s">
        <v>543</v>
      </c>
      <c r="K20" s="297"/>
      <c r="L20" s="37"/>
      <c r="M20" s="14"/>
      <c r="N20" s="268" t="s">
        <v>504</v>
      </c>
      <c r="AA20" s="14"/>
    </row>
    <row r="21" spans="1:27" x14ac:dyDescent="0.3">
      <c r="A21" s="45"/>
      <c r="B21" s="36"/>
      <c r="C21" s="178" t="s">
        <v>557</v>
      </c>
      <c r="D21" s="298" t="s">
        <v>482</v>
      </c>
      <c r="E21" s="298" t="s">
        <v>560</v>
      </c>
      <c r="F21" s="298" t="s">
        <v>560</v>
      </c>
      <c r="G21" s="298" t="s">
        <v>563</v>
      </c>
      <c r="H21" s="298" t="s">
        <v>560</v>
      </c>
      <c r="I21" s="298" t="s">
        <v>488</v>
      </c>
      <c r="J21" s="298" t="s">
        <v>544</v>
      </c>
      <c r="K21" s="180" t="s">
        <v>492</v>
      </c>
      <c r="L21" s="37"/>
      <c r="M21" s="14"/>
      <c r="AA21" s="14"/>
    </row>
    <row r="22" spans="1:27" x14ac:dyDescent="0.3">
      <c r="A22" s="45"/>
      <c r="B22" s="36"/>
      <c r="C22" s="299">
        <v>0</v>
      </c>
      <c r="D22" s="300">
        <v>1</v>
      </c>
      <c r="E22" s="287"/>
      <c r="F22" s="287"/>
      <c r="G22" s="287"/>
      <c r="H22" s="287"/>
      <c r="I22" s="300">
        <v>1</v>
      </c>
      <c r="J22" s="301">
        <v>0.25</v>
      </c>
      <c r="K22" s="43"/>
      <c r="L22" s="37"/>
      <c r="M22" s="14"/>
      <c r="N22" s="198" t="s">
        <v>512</v>
      </c>
      <c r="AA22" s="14"/>
    </row>
    <row r="23" spans="1:27" x14ac:dyDescent="0.3">
      <c r="A23" s="45"/>
      <c r="B23" s="36"/>
      <c r="C23" s="302">
        <f>C22+0.25</f>
        <v>0.25</v>
      </c>
      <c r="D23" s="36"/>
      <c r="E23" s="303">
        <v>0.107</v>
      </c>
      <c r="F23" s="303">
        <v>2.1000000000000001E-2</v>
      </c>
      <c r="G23" s="303">
        <v>1E-3</v>
      </c>
      <c r="H23" s="303">
        <v>1.4E-2</v>
      </c>
      <c r="I23" s="304"/>
      <c r="J23" s="303">
        <v>0.438</v>
      </c>
      <c r="K23" s="305">
        <v>7.2999999999999995E-2</v>
      </c>
      <c r="L23" s="37"/>
      <c r="M23" s="14"/>
      <c r="N23" s="276"/>
      <c r="O23" s="277" t="s">
        <v>577</v>
      </c>
      <c r="P23" s="277" t="s">
        <v>578</v>
      </c>
      <c r="Q23" s="277" t="s">
        <v>579</v>
      </c>
      <c r="R23" s="278" t="s">
        <v>580</v>
      </c>
      <c r="S23" s="276"/>
      <c r="T23" s="204"/>
      <c r="U23" s="204"/>
      <c r="V23" s="204"/>
      <c r="W23" s="204"/>
      <c r="X23" s="18"/>
      <c r="AA23" s="14"/>
    </row>
    <row r="24" spans="1:27" x14ac:dyDescent="0.3">
      <c r="A24" s="45"/>
      <c r="B24" s="36"/>
      <c r="C24" s="302">
        <f t="shared" ref="C24:C26" si="0">C23+0.25</f>
        <v>0.5</v>
      </c>
      <c r="D24" s="36"/>
      <c r="E24" s="303">
        <v>0.26300000000000001</v>
      </c>
      <c r="F24" s="303">
        <v>7.1999999999999995E-2</v>
      </c>
      <c r="G24" s="303">
        <v>5.0000000000000001E-3</v>
      </c>
      <c r="H24" s="303">
        <v>0.05</v>
      </c>
      <c r="I24" s="36"/>
      <c r="J24" s="303">
        <v>0.625</v>
      </c>
      <c r="K24" s="305">
        <v>0.16200000000000001</v>
      </c>
      <c r="L24" s="37"/>
      <c r="M24" s="14"/>
      <c r="N24" s="61"/>
      <c r="O24" s="10" t="s">
        <v>573</v>
      </c>
      <c r="P24" s="10"/>
      <c r="Q24" s="10"/>
      <c r="R24" s="99"/>
      <c r="S24" s="61"/>
      <c r="T24" s="10"/>
      <c r="U24" s="10"/>
      <c r="V24" s="10"/>
      <c r="W24" s="10"/>
      <c r="X24" s="99"/>
      <c r="AA24" s="14"/>
    </row>
    <row r="25" spans="1:27" x14ac:dyDescent="0.3">
      <c r="A25" s="45"/>
      <c r="B25" s="36"/>
      <c r="C25" s="302">
        <f t="shared" si="0"/>
        <v>0.75</v>
      </c>
      <c r="D25" s="36"/>
      <c r="E25" s="303">
        <v>0.45400000000000001</v>
      </c>
      <c r="F25" s="303">
        <v>0.14499999999999999</v>
      </c>
      <c r="G25" s="303">
        <v>0.02</v>
      </c>
      <c r="H25" s="303">
        <v>0.10299999999999999</v>
      </c>
      <c r="I25" s="36"/>
      <c r="J25" s="303">
        <v>0.81299999999999994</v>
      </c>
      <c r="K25" s="305">
        <v>0.26500000000000001</v>
      </c>
      <c r="L25" s="37"/>
      <c r="M25" s="14"/>
      <c r="N25" s="61"/>
      <c r="O25" s="10" t="s">
        <v>563</v>
      </c>
      <c r="P25" s="10" t="s">
        <v>574</v>
      </c>
      <c r="Q25" s="10" t="s">
        <v>576</v>
      </c>
      <c r="R25" s="99" t="s">
        <v>546</v>
      </c>
      <c r="S25" s="61"/>
      <c r="T25" s="10"/>
      <c r="U25" s="10"/>
      <c r="V25" s="10"/>
      <c r="W25" s="10"/>
      <c r="X25" s="99"/>
      <c r="AA25" s="14"/>
    </row>
    <row r="26" spans="1:27" x14ac:dyDescent="0.3">
      <c r="A26" s="45"/>
      <c r="B26" s="36"/>
      <c r="C26" s="306">
        <f t="shared" si="0"/>
        <v>1</v>
      </c>
      <c r="D26" s="307"/>
      <c r="E26" s="308">
        <v>0.65500000000000003</v>
      </c>
      <c r="F26" s="308">
        <v>0.23400000000000001</v>
      </c>
      <c r="G26" s="308">
        <v>0.05</v>
      </c>
      <c r="H26" s="308">
        <v>0.17299999999999999</v>
      </c>
      <c r="I26" s="307"/>
      <c r="J26" s="308">
        <v>1</v>
      </c>
      <c r="K26" s="309">
        <v>0.38</v>
      </c>
      <c r="L26" s="37"/>
      <c r="M26" s="14"/>
      <c r="N26" s="159" t="s">
        <v>513</v>
      </c>
      <c r="O26" s="110" t="s">
        <v>572</v>
      </c>
      <c r="P26" s="110" t="s">
        <v>575</v>
      </c>
      <c r="Q26" s="110" t="s">
        <v>545</v>
      </c>
      <c r="R26" s="102" t="s">
        <v>545</v>
      </c>
      <c r="S26" s="65" t="s">
        <v>466</v>
      </c>
      <c r="T26" s="110"/>
      <c r="U26" s="110"/>
      <c r="V26" s="110"/>
      <c r="W26" s="110"/>
      <c r="X26" s="102"/>
      <c r="AA26" s="14"/>
    </row>
    <row r="27" spans="1:27" x14ac:dyDescent="0.3">
      <c r="A27" s="45"/>
      <c r="B27" s="36"/>
      <c r="C27" s="302">
        <f>C26+0.5</f>
        <v>1.5</v>
      </c>
      <c r="D27" s="36"/>
      <c r="E27" s="303">
        <v>0.77300000000000002</v>
      </c>
      <c r="F27" s="303">
        <v>0.40899999999999997</v>
      </c>
      <c r="G27" s="303">
        <v>0.15</v>
      </c>
      <c r="H27" s="303">
        <v>0.32300000000000001</v>
      </c>
      <c r="I27" s="36"/>
      <c r="J27" s="36"/>
      <c r="K27" s="305">
        <v>0.49199999999999999</v>
      </c>
      <c r="L27" s="37"/>
      <c r="M27" s="14"/>
      <c r="N27" s="256">
        <v>0</v>
      </c>
      <c r="O27" s="269">
        <v>0</v>
      </c>
      <c r="P27" s="257">
        <f t="shared" ref="P27:P38" si="1">ROUND(IF(N27&lt;1.5,$C$6,($O$9+$O$3*O27)*$O$12),0)</f>
        <v>1100000</v>
      </c>
      <c r="Q27" s="258">
        <f>-P27</f>
        <v>-1100000</v>
      </c>
      <c r="R27" s="270">
        <f>Q27</f>
        <v>-1100000</v>
      </c>
      <c r="S27" s="203"/>
      <c r="T27" s="204"/>
      <c r="U27" s="204"/>
      <c r="V27" s="204"/>
      <c r="W27" s="204"/>
      <c r="X27" s="18"/>
      <c r="AA27" s="14"/>
    </row>
    <row r="28" spans="1:27" x14ac:dyDescent="0.3">
      <c r="A28" s="45"/>
      <c r="B28" s="36"/>
      <c r="C28" s="302">
        <f>C27+1</f>
        <v>2.5</v>
      </c>
      <c r="D28" s="36"/>
      <c r="E28" s="303">
        <v>0.879</v>
      </c>
      <c r="F28" s="303">
        <v>0.63500000000000001</v>
      </c>
      <c r="G28" s="303">
        <v>0.35</v>
      </c>
      <c r="H28" s="303">
        <v>0.54</v>
      </c>
      <c r="I28" s="36"/>
      <c r="J28" s="36"/>
      <c r="K28" s="305">
        <v>0.65500000000000003</v>
      </c>
      <c r="L28" s="37"/>
      <c r="M28" s="14"/>
      <c r="N28" s="260">
        <f>N27+0.25</f>
        <v>0.25</v>
      </c>
      <c r="O28" s="242">
        <f t="shared" ref="O28:O38" si="2">E23*$C$7</f>
        <v>64200</v>
      </c>
      <c r="P28" s="242">
        <f t="shared" si="1"/>
        <v>1100000</v>
      </c>
      <c r="Q28" s="261">
        <f t="shared" ref="Q28:Q38" si="3">-P28</f>
        <v>-1100000</v>
      </c>
      <c r="R28" s="262">
        <f>Q28-Q27</f>
        <v>0</v>
      </c>
      <c r="S28" s="271"/>
      <c r="X28" s="21"/>
      <c r="AA28" s="14"/>
    </row>
    <row r="29" spans="1:27" ht="15" customHeight="1" x14ac:dyDescent="0.3">
      <c r="A29" s="45"/>
      <c r="B29" s="36"/>
      <c r="C29" s="302">
        <f t="shared" ref="C29:C33" si="4">C28+1</f>
        <v>3.5</v>
      </c>
      <c r="D29" s="36"/>
      <c r="E29" s="303">
        <v>0.93899999999999995</v>
      </c>
      <c r="F29" s="303">
        <v>0.79800000000000004</v>
      </c>
      <c r="G29" s="303">
        <v>0.6</v>
      </c>
      <c r="H29" s="303">
        <v>0.73199999999999998</v>
      </c>
      <c r="I29" s="36"/>
      <c r="J29" s="36"/>
      <c r="K29" s="305">
        <v>0.79900000000000004</v>
      </c>
      <c r="L29" s="37"/>
      <c r="M29" s="14"/>
      <c r="N29" s="260">
        <f t="shared" ref="N29:N31" si="5">N28+0.25</f>
        <v>0.5</v>
      </c>
      <c r="O29" s="242">
        <f t="shared" si="2"/>
        <v>157800</v>
      </c>
      <c r="P29" s="242">
        <f t="shared" si="1"/>
        <v>1100000</v>
      </c>
      <c r="Q29" s="261">
        <f t="shared" si="3"/>
        <v>-1100000</v>
      </c>
      <c r="R29" s="262">
        <f t="shared" ref="R29:R38" si="6">Q29-Q28</f>
        <v>0</v>
      </c>
      <c r="S29" s="271"/>
      <c r="X29" s="21"/>
      <c r="AA29" s="14"/>
    </row>
    <row r="30" spans="1:27" ht="15" customHeight="1" x14ac:dyDescent="0.3">
      <c r="A30" s="45"/>
      <c r="B30" s="36"/>
      <c r="C30" s="302">
        <f t="shared" si="4"/>
        <v>4.5</v>
      </c>
      <c r="D30" s="36"/>
      <c r="E30" s="303">
        <v>0.97399999999999998</v>
      </c>
      <c r="F30" s="303">
        <v>0.90400000000000003</v>
      </c>
      <c r="G30" s="303">
        <v>0.8</v>
      </c>
      <c r="H30" s="303">
        <v>0.86899999999999999</v>
      </c>
      <c r="I30" s="36"/>
      <c r="J30" s="36"/>
      <c r="K30" s="305">
        <v>0.90200000000000002</v>
      </c>
      <c r="L30" s="37"/>
      <c r="M30" s="14"/>
      <c r="N30" s="260">
        <f t="shared" si="5"/>
        <v>0.75</v>
      </c>
      <c r="O30" s="242">
        <f t="shared" si="2"/>
        <v>272400</v>
      </c>
      <c r="P30" s="242">
        <f t="shared" si="1"/>
        <v>1100000</v>
      </c>
      <c r="Q30" s="261">
        <f t="shared" si="3"/>
        <v>-1100000</v>
      </c>
      <c r="R30" s="262">
        <f t="shared" si="6"/>
        <v>0</v>
      </c>
      <c r="S30" s="271"/>
      <c r="X30" s="21"/>
      <c r="AA30" s="14"/>
    </row>
    <row r="31" spans="1:27" ht="15" customHeight="1" x14ac:dyDescent="0.3">
      <c r="A31" s="45"/>
      <c r="B31" s="36"/>
      <c r="C31" s="302">
        <f t="shared" si="4"/>
        <v>5.5</v>
      </c>
      <c r="D31" s="36"/>
      <c r="E31" s="303">
        <v>0.98899999999999999</v>
      </c>
      <c r="F31" s="303">
        <v>0.95599999999999996</v>
      </c>
      <c r="G31" s="303">
        <v>0.9</v>
      </c>
      <c r="H31" s="303">
        <v>0.93700000000000006</v>
      </c>
      <c r="I31" s="36"/>
      <c r="J31" s="36"/>
      <c r="K31" s="305">
        <v>0.95299999999999996</v>
      </c>
      <c r="L31" s="37"/>
      <c r="M31" s="14"/>
      <c r="N31" s="272">
        <f t="shared" si="5"/>
        <v>1</v>
      </c>
      <c r="O31" s="273">
        <f t="shared" si="2"/>
        <v>393000</v>
      </c>
      <c r="P31" s="273">
        <f t="shared" si="1"/>
        <v>1100000</v>
      </c>
      <c r="Q31" s="274">
        <f t="shared" si="3"/>
        <v>-1100000</v>
      </c>
      <c r="R31" s="275">
        <f t="shared" si="6"/>
        <v>0</v>
      </c>
      <c r="S31" s="271"/>
      <c r="X31" s="21"/>
      <c r="AA31" s="14"/>
    </row>
    <row r="32" spans="1:27" ht="15" customHeight="1" x14ac:dyDescent="0.3">
      <c r="A32" s="45"/>
      <c r="B32" s="36"/>
      <c r="C32" s="302">
        <f t="shared" si="4"/>
        <v>6.5</v>
      </c>
      <c r="D32" s="36"/>
      <c r="E32" s="303">
        <v>0.997</v>
      </c>
      <c r="F32" s="303">
        <v>0.97699999999999998</v>
      </c>
      <c r="G32" s="303">
        <v>0.95</v>
      </c>
      <c r="H32" s="303">
        <v>0.96799999999999997</v>
      </c>
      <c r="I32" s="36"/>
      <c r="J32" s="36"/>
      <c r="K32" s="305">
        <v>0.97599999999999998</v>
      </c>
      <c r="L32" s="37"/>
      <c r="M32" s="14"/>
      <c r="N32" s="260">
        <f>N31+0.5</f>
        <v>1.5</v>
      </c>
      <c r="O32" s="242">
        <f t="shared" si="2"/>
        <v>463800</v>
      </c>
      <c r="P32" s="242">
        <f t="shared" si="1"/>
        <v>943551</v>
      </c>
      <c r="Q32" s="261">
        <f t="shared" si="3"/>
        <v>-943551</v>
      </c>
      <c r="R32" s="262">
        <f t="shared" si="6"/>
        <v>156449</v>
      </c>
      <c r="S32" s="271" t="s">
        <v>519</v>
      </c>
      <c r="X32" s="21"/>
      <c r="AA32" s="14"/>
    </row>
    <row r="33" spans="1:27" ht="15" customHeight="1" x14ac:dyDescent="0.3">
      <c r="A33" s="45"/>
      <c r="B33" s="36"/>
      <c r="C33" s="310">
        <f t="shared" si="4"/>
        <v>7.5</v>
      </c>
      <c r="D33" s="291"/>
      <c r="E33" s="311">
        <v>1</v>
      </c>
      <c r="F33" s="311">
        <v>1</v>
      </c>
      <c r="G33" s="311">
        <v>1</v>
      </c>
      <c r="H33" s="311">
        <v>1</v>
      </c>
      <c r="I33" s="291"/>
      <c r="J33" s="291"/>
      <c r="K33" s="312">
        <v>1</v>
      </c>
      <c r="L33" s="37"/>
      <c r="M33" s="14"/>
      <c r="N33" s="260">
        <f>N32+1</f>
        <v>2.5</v>
      </c>
      <c r="O33" s="242">
        <f t="shared" si="2"/>
        <v>527400</v>
      </c>
      <c r="P33" s="242">
        <f t="shared" si="1"/>
        <v>1015679</v>
      </c>
      <c r="Q33" s="261">
        <f t="shared" si="3"/>
        <v>-1015679</v>
      </c>
      <c r="R33" s="262">
        <f t="shared" si="6"/>
        <v>-72128</v>
      </c>
      <c r="S33" s="271" t="s">
        <v>520</v>
      </c>
      <c r="X33" s="21"/>
      <c r="AA33" s="14"/>
    </row>
    <row r="34" spans="1:27" x14ac:dyDescent="0.3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14"/>
      <c r="N34" s="260">
        <f t="shared" ref="N34:N38" si="7">N33+1</f>
        <v>3.5</v>
      </c>
      <c r="O34" s="242">
        <f t="shared" si="2"/>
        <v>563400</v>
      </c>
      <c r="P34" s="242">
        <f t="shared" si="1"/>
        <v>1056507</v>
      </c>
      <c r="Q34" s="261">
        <f t="shared" si="3"/>
        <v>-1056507</v>
      </c>
      <c r="R34" s="262">
        <f t="shared" si="6"/>
        <v>-40828</v>
      </c>
      <c r="S34" s="271"/>
      <c r="X34" s="21"/>
      <c r="AA34" s="14"/>
    </row>
    <row r="35" spans="1:27" x14ac:dyDescent="0.3">
      <c r="A35" s="4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7"/>
      <c r="M35" s="14"/>
      <c r="N35" s="260">
        <f t="shared" si="7"/>
        <v>4.5</v>
      </c>
      <c r="O35" s="242">
        <f t="shared" si="2"/>
        <v>584400</v>
      </c>
      <c r="P35" s="242">
        <f t="shared" si="1"/>
        <v>1080323</v>
      </c>
      <c r="Q35" s="261">
        <f t="shared" si="3"/>
        <v>-1080323</v>
      </c>
      <c r="R35" s="262">
        <f t="shared" si="6"/>
        <v>-23816</v>
      </c>
      <c r="S35" s="271" t="s">
        <v>521</v>
      </c>
      <c r="X35" s="21"/>
      <c r="AA35" s="14"/>
    </row>
    <row r="36" spans="1:27" x14ac:dyDescent="0.3">
      <c r="A36" s="35" t="s">
        <v>173</v>
      </c>
      <c r="B36" s="36"/>
      <c r="C36" s="36" t="s">
        <v>524</v>
      </c>
      <c r="D36" s="36"/>
      <c r="E36" s="36"/>
      <c r="F36" s="36"/>
      <c r="G36" s="36"/>
      <c r="H36" s="36"/>
      <c r="I36" s="36"/>
      <c r="J36" s="36"/>
      <c r="K36" s="36"/>
      <c r="L36" s="37"/>
      <c r="M36" s="14"/>
      <c r="N36" s="260">
        <f t="shared" si="7"/>
        <v>5.5</v>
      </c>
      <c r="O36" s="242">
        <f t="shared" si="2"/>
        <v>593400</v>
      </c>
      <c r="P36" s="242">
        <f t="shared" si="1"/>
        <v>1090530</v>
      </c>
      <c r="Q36" s="261">
        <f t="shared" si="3"/>
        <v>-1090530</v>
      </c>
      <c r="R36" s="262">
        <f t="shared" si="6"/>
        <v>-10207</v>
      </c>
      <c r="S36" s="271" t="s">
        <v>522</v>
      </c>
      <c r="X36" s="21"/>
      <c r="AA36" s="14"/>
    </row>
    <row r="37" spans="1:27" x14ac:dyDescent="0.3">
      <c r="A37" s="38"/>
      <c r="B37" s="39"/>
      <c r="C37" s="36" t="s">
        <v>526</v>
      </c>
      <c r="D37" s="36"/>
      <c r="E37" s="36"/>
      <c r="F37" s="36"/>
      <c r="G37" s="36"/>
      <c r="H37" s="36"/>
      <c r="I37" s="36"/>
      <c r="J37" s="36"/>
      <c r="K37" s="36"/>
      <c r="L37" s="37"/>
      <c r="M37" s="14"/>
      <c r="N37" s="260">
        <f t="shared" si="7"/>
        <v>6.5</v>
      </c>
      <c r="O37" s="242">
        <f t="shared" si="2"/>
        <v>598200</v>
      </c>
      <c r="P37" s="242">
        <f t="shared" si="1"/>
        <v>1095974</v>
      </c>
      <c r="Q37" s="261">
        <f t="shared" si="3"/>
        <v>-1095974</v>
      </c>
      <c r="R37" s="262">
        <f t="shared" si="6"/>
        <v>-5444</v>
      </c>
      <c r="S37" s="271"/>
      <c r="X37" s="21"/>
      <c r="AA37" s="14"/>
    </row>
    <row r="38" spans="1:27" x14ac:dyDescent="0.3">
      <c r="A38" s="4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7"/>
      <c r="M38" s="14"/>
      <c r="N38" s="263">
        <f t="shared" si="7"/>
        <v>7.5</v>
      </c>
      <c r="O38" s="264">
        <f t="shared" si="2"/>
        <v>600000</v>
      </c>
      <c r="P38" s="264">
        <f t="shared" si="1"/>
        <v>1098015</v>
      </c>
      <c r="Q38" s="265">
        <f t="shared" si="3"/>
        <v>-1098015</v>
      </c>
      <c r="R38" s="266">
        <f t="shared" si="6"/>
        <v>-2041</v>
      </c>
      <c r="S38" s="205"/>
      <c r="T38" s="206"/>
      <c r="U38" s="206"/>
      <c r="V38" s="206"/>
      <c r="W38" s="206"/>
      <c r="X38" s="23"/>
      <c r="Y38" s="13"/>
      <c r="Z38" s="13"/>
      <c r="AA38" s="14"/>
    </row>
    <row r="39" spans="1:27" x14ac:dyDescent="0.3">
      <c r="A39" s="4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7"/>
      <c r="M39" s="14"/>
      <c r="U39" s="13"/>
      <c r="V39" s="13"/>
      <c r="W39" s="13"/>
      <c r="X39" s="13"/>
      <c r="Y39" s="13"/>
      <c r="Z39" s="13"/>
      <c r="AA39" s="14"/>
    </row>
    <row r="40" spans="1:27" x14ac:dyDescent="0.3">
      <c r="A40" s="35" t="s">
        <v>529</v>
      </c>
      <c r="B40" s="36"/>
      <c r="C40" s="36" t="s">
        <v>530</v>
      </c>
      <c r="D40" s="36"/>
      <c r="E40" s="36"/>
      <c r="F40" s="36"/>
      <c r="G40" s="36"/>
      <c r="H40" s="36"/>
      <c r="I40" s="36"/>
      <c r="J40" s="36"/>
      <c r="K40" s="36"/>
      <c r="L40" s="37"/>
      <c r="M40" s="14"/>
      <c r="N40" t="s">
        <v>523</v>
      </c>
      <c r="U40" s="13"/>
      <c r="V40" s="13"/>
      <c r="W40" s="13"/>
      <c r="X40" s="13"/>
      <c r="Y40" s="13"/>
      <c r="Z40" s="13"/>
      <c r="AA40" s="14"/>
    </row>
    <row r="41" spans="1:27" ht="15" thickBot="1" x14ac:dyDescent="0.35">
      <c r="A41" s="53"/>
      <c r="B41" s="54"/>
      <c r="C41" s="54" t="s">
        <v>532</v>
      </c>
      <c r="D41" s="54"/>
      <c r="E41" s="54"/>
      <c r="F41" s="54"/>
      <c r="G41" s="54"/>
      <c r="H41" s="54"/>
      <c r="I41" s="54"/>
      <c r="J41" s="54"/>
      <c r="K41" s="54"/>
      <c r="L41" s="55"/>
      <c r="M41" s="14"/>
      <c r="N41" t="s">
        <v>525</v>
      </c>
      <c r="U41" s="13"/>
      <c r="V41" s="13"/>
      <c r="W41" s="13"/>
      <c r="X41" s="13"/>
      <c r="Y41" s="13"/>
      <c r="Z41" s="13"/>
      <c r="AA41" s="14"/>
    </row>
    <row r="42" spans="1:27" x14ac:dyDescent="0.3">
      <c r="M42" s="14"/>
      <c r="N42" t="s">
        <v>527</v>
      </c>
      <c r="U42" s="13"/>
      <c r="V42" s="13"/>
      <c r="W42" s="13"/>
      <c r="X42" s="13"/>
      <c r="Y42" s="13"/>
      <c r="Z42" s="13"/>
      <c r="AA42" s="14"/>
    </row>
    <row r="43" spans="1:27" x14ac:dyDescent="0.3">
      <c r="M43" s="14"/>
      <c r="N43" t="s">
        <v>528</v>
      </c>
      <c r="U43" s="13"/>
      <c r="V43" s="13"/>
      <c r="W43" s="13"/>
      <c r="X43" s="13"/>
      <c r="Y43" s="13"/>
      <c r="Z43" s="13"/>
      <c r="AA43" s="14"/>
    </row>
    <row r="44" spans="1:27" x14ac:dyDescent="0.3">
      <c r="M44" s="14"/>
      <c r="U44" s="13"/>
      <c r="V44" s="13"/>
      <c r="W44" s="13"/>
      <c r="X44" s="13"/>
      <c r="Y44" s="13"/>
      <c r="Z44" s="13"/>
      <c r="AA44" s="14"/>
    </row>
    <row r="45" spans="1:27" x14ac:dyDescent="0.3">
      <c r="M45" s="14"/>
      <c r="N45" t="s">
        <v>531</v>
      </c>
      <c r="U45" s="13"/>
      <c r="V45" s="13"/>
      <c r="W45" s="13"/>
      <c r="X45" s="13"/>
      <c r="Y45" s="13"/>
      <c r="Z45" s="13"/>
      <c r="AA45" s="14"/>
    </row>
    <row r="46" spans="1:27" x14ac:dyDescent="0.3">
      <c r="M46" s="14"/>
      <c r="U46" s="13"/>
      <c r="V46" s="13"/>
      <c r="W46" s="13"/>
      <c r="X46" s="13"/>
      <c r="Y46" s="13"/>
      <c r="Z46" s="13"/>
      <c r="AA46" s="14"/>
    </row>
    <row r="47" spans="1:27" x14ac:dyDescent="0.3">
      <c r="M47" s="14"/>
      <c r="N47" t="s">
        <v>533</v>
      </c>
      <c r="U47" s="13"/>
      <c r="V47" s="13"/>
      <c r="W47" s="13"/>
      <c r="X47" s="13"/>
      <c r="Y47" s="13"/>
      <c r="Z47" s="13"/>
      <c r="AA47" s="14"/>
    </row>
    <row r="48" spans="1:27" x14ac:dyDescent="0.3">
      <c r="M48" s="14"/>
      <c r="U48" s="13"/>
      <c r="V48" s="13"/>
      <c r="W48" s="13"/>
      <c r="X48" s="13"/>
      <c r="Y48" s="13"/>
      <c r="Z48" s="13"/>
      <c r="AA48" s="14"/>
    </row>
    <row r="49" spans="13:27" x14ac:dyDescent="0.3">
      <c r="M49" s="14"/>
      <c r="N49" s="198" t="s">
        <v>534</v>
      </c>
      <c r="U49" s="13"/>
      <c r="V49" s="13"/>
      <c r="W49" s="13"/>
      <c r="X49" s="13"/>
      <c r="Y49" s="13"/>
      <c r="Z49" s="13"/>
      <c r="AA49" s="14"/>
    </row>
    <row r="50" spans="13:27" x14ac:dyDescent="0.3">
      <c r="M50" s="14"/>
      <c r="N50" t="s">
        <v>535</v>
      </c>
      <c r="U50" s="13"/>
      <c r="V50" s="13"/>
      <c r="W50" s="13"/>
      <c r="X50" s="13"/>
      <c r="Y50" s="13"/>
      <c r="Z50" s="13"/>
      <c r="AA50" s="14"/>
    </row>
    <row r="51" spans="13:27" x14ac:dyDescent="0.3">
      <c r="M51" s="14"/>
      <c r="U51" s="13"/>
      <c r="V51" s="13"/>
      <c r="W51" s="13"/>
      <c r="X51" s="13"/>
      <c r="AA51" s="10"/>
    </row>
    <row r="52" spans="13:27" x14ac:dyDescent="0.3">
      <c r="M52" s="14"/>
      <c r="N52" s="198" t="s">
        <v>475</v>
      </c>
      <c r="AA52" s="10"/>
    </row>
    <row r="53" spans="13:27" x14ac:dyDescent="0.3">
      <c r="M53" s="14"/>
      <c r="O53" s="2" t="s">
        <v>477</v>
      </c>
      <c r="P53" s="2"/>
      <c r="Q53" s="2"/>
      <c r="R53" s="2"/>
      <c r="S53" s="2"/>
      <c r="T53" s="2"/>
      <c r="U53" s="2"/>
      <c r="AA53" s="10"/>
    </row>
    <row r="54" spans="13:27" x14ac:dyDescent="0.3">
      <c r="M54" s="14"/>
      <c r="N54" s="276"/>
      <c r="O54" s="277" t="s">
        <v>547</v>
      </c>
      <c r="P54" s="277" t="s">
        <v>548</v>
      </c>
      <c r="Q54" s="277" t="s">
        <v>549</v>
      </c>
      <c r="R54" s="277" t="s">
        <v>550</v>
      </c>
      <c r="S54" s="277" t="s">
        <v>551</v>
      </c>
      <c r="T54" s="277" t="s">
        <v>552</v>
      </c>
      <c r="U54" s="277" t="s">
        <v>553</v>
      </c>
      <c r="V54" s="277" t="s">
        <v>554</v>
      </c>
      <c r="W54" s="277" t="s">
        <v>555</v>
      </c>
      <c r="X54" s="278" t="s">
        <v>556</v>
      </c>
      <c r="AA54" s="10"/>
    </row>
    <row r="55" spans="13:27" x14ac:dyDescent="0.3">
      <c r="N55" s="279" t="s">
        <v>536</v>
      </c>
      <c r="O55" s="174"/>
      <c r="P55" s="174" t="s">
        <v>540</v>
      </c>
      <c r="Q55" s="174" t="s">
        <v>538</v>
      </c>
      <c r="R55" s="174" t="s">
        <v>541</v>
      </c>
      <c r="S55" s="174" t="s">
        <v>308</v>
      </c>
      <c r="T55" s="174" t="s">
        <v>335</v>
      </c>
      <c r="U55" s="174" t="s">
        <v>543</v>
      </c>
      <c r="V55" s="174"/>
      <c r="W55" s="174"/>
      <c r="X55" s="280" t="s">
        <v>546</v>
      </c>
      <c r="AA55" s="10"/>
    </row>
    <row r="56" spans="13:27" x14ac:dyDescent="0.3">
      <c r="N56" s="159" t="s">
        <v>537</v>
      </c>
      <c r="O56" s="281" t="s">
        <v>335</v>
      </c>
      <c r="P56" s="281" t="s">
        <v>539</v>
      </c>
      <c r="Q56" s="281" t="s">
        <v>539</v>
      </c>
      <c r="R56" s="281" t="s">
        <v>539</v>
      </c>
      <c r="S56" s="281" t="s">
        <v>488</v>
      </c>
      <c r="T56" s="281" t="s">
        <v>542</v>
      </c>
      <c r="U56" s="281" t="s">
        <v>544</v>
      </c>
      <c r="V56" s="281" t="s">
        <v>492</v>
      </c>
      <c r="W56" s="281" t="s">
        <v>545</v>
      </c>
      <c r="X56" s="160" t="s">
        <v>545</v>
      </c>
      <c r="AA56" s="14"/>
    </row>
    <row r="57" spans="13:27" x14ac:dyDescent="0.3">
      <c r="N57" s="256">
        <v>0</v>
      </c>
      <c r="O57" s="257">
        <f t="shared" ref="O57:O68" si="8">P27</f>
        <v>1100000</v>
      </c>
      <c r="P57" s="257">
        <v>0</v>
      </c>
      <c r="Q57" s="257">
        <v>0</v>
      </c>
      <c r="R57" s="257">
        <f>P57+Q57</f>
        <v>0</v>
      </c>
      <c r="S57" s="257">
        <f t="shared" ref="S57:S68" si="9">$C$9</f>
        <v>55000</v>
      </c>
      <c r="T57" s="257">
        <f t="shared" ref="T57:T68" si="10">$C$13*O57</f>
        <v>33000</v>
      </c>
      <c r="U57" s="257">
        <f>$C$10*J22</f>
        <v>3750</v>
      </c>
      <c r="V57" s="257">
        <v>0</v>
      </c>
      <c r="W57" s="258">
        <f>O57-R57-S57-T57-U57-V57</f>
        <v>1008250</v>
      </c>
      <c r="X57" s="259">
        <f>W57</f>
        <v>1008250</v>
      </c>
      <c r="AA57" s="14"/>
    </row>
    <row r="58" spans="13:27" x14ac:dyDescent="0.3">
      <c r="N58" s="260">
        <f>N57+0.25</f>
        <v>0.25</v>
      </c>
      <c r="O58" s="242">
        <f t="shared" si="8"/>
        <v>1100000</v>
      </c>
      <c r="P58" s="242">
        <f t="shared" ref="P58:P68" si="11">$C$7*F23</f>
        <v>12600</v>
      </c>
      <c r="Q58" s="242">
        <f t="shared" ref="Q58:Q68" si="12">$C$8*G23</f>
        <v>300</v>
      </c>
      <c r="R58" s="242">
        <f t="shared" ref="R58:R68" si="13">P58+Q58</f>
        <v>12900</v>
      </c>
      <c r="S58" s="242">
        <f t="shared" si="9"/>
        <v>55000</v>
      </c>
      <c r="T58" s="242">
        <f t="shared" si="10"/>
        <v>33000</v>
      </c>
      <c r="U58" s="242">
        <f>$C$10*J23</f>
        <v>6570</v>
      </c>
      <c r="V58" s="242">
        <f t="shared" ref="V58:V68" si="14">($C$7+$C$8)*$C$12*K23</f>
        <v>6570</v>
      </c>
      <c r="W58" s="261">
        <f>O58-R58-S58-T58-U58-V58</f>
        <v>985960</v>
      </c>
      <c r="X58" s="262">
        <f>W58-W57</f>
        <v>-22290</v>
      </c>
      <c r="AA58" s="14"/>
    </row>
    <row r="59" spans="13:27" x14ac:dyDescent="0.3">
      <c r="N59" s="260">
        <f t="shared" ref="N59:N61" si="15">N58+0.25</f>
        <v>0.5</v>
      </c>
      <c r="O59" s="242">
        <f t="shared" si="8"/>
        <v>1100000</v>
      </c>
      <c r="P59" s="242">
        <f t="shared" si="11"/>
        <v>43200</v>
      </c>
      <c r="Q59" s="242">
        <f t="shared" si="12"/>
        <v>1500</v>
      </c>
      <c r="R59" s="242">
        <f t="shared" si="13"/>
        <v>44700</v>
      </c>
      <c r="S59" s="242">
        <f t="shared" si="9"/>
        <v>55000</v>
      </c>
      <c r="T59" s="242">
        <f t="shared" si="10"/>
        <v>33000</v>
      </c>
      <c r="U59" s="242">
        <f>$C$10*J24</f>
        <v>9375</v>
      </c>
      <c r="V59" s="242">
        <f t="shared" si="14"/>
        <v>14580</v>
      </c>
      <c r="W59" s="261">
        <f t="shared" ref="W59:W68" si="16">O59-R59-S59-T59-U59-V59</f>
        <v>943345</v>
      </c>
      <c r="X59" s="262">
        <f t="shared" ref="X59:X68" si="17">W59-W58</f>
        <v>-42615</v>
      </c>
      <c r="AA59" s="14"/>
    </row>
    <row r="60" spans="13:27" x14ac:dyDescent="0.3">
      <c r="N60" s="260">
        <f t="shared" si="15"/>
        <v>0.75</v>
      </c>
      <c r="O60" s="242">
        <f t="shared" si="8"/>
        <v>1100000</v>
      </c>
      <c r="P60" s="242">
        <f t="shared" si="11"/>
        <v>87000</v>
      </c>
      <c r="Q60" s="242">
        <f t="shared" si="12"/>
        <v>6000</v>
      </c>
      <c r="R60" s="242">
        <f t="shared" si="13"/>
        <v>93000</v>
      </c>
      <c r="S60" s="242">
        <f t="shared" si="9"/>
        <v>55000</v>
      </c>
      <c r="T60" s="242">
        <f t="shared" si="10"/>
        <v>33000</v>
      </c>
      <c r="U60" s="242">
        <f>$C$10*J25</f>
        <v>12195</v>
      </c>
      <c r="V60" s="242">
        <f t="shared" si="14"/>
        <v>23850</v>
      </c>
      <c r="W60" s="261">
        <f t="shared" si="16"/>
        <v>882955</v>
      </c>
      <c r="X60" s="262">
        <f t="shared" si="17"/>
        <v>-60390</v>
      </c>
      <c r="AA60" s="14"/>
    </row>
    <row r="61" spans="13:27" x14ac:dyDescent="0.3">
      <c r="N61" s="260">
        <f t="shared" si="15"/>
        <v>1</v>
      </c>
      <c r="O61" s="242">
        <f t="shared" si="8"/>
        <v>1100000</v>
      </c>
      <c r="P61" s="242">
        <f t="shared" si="11"/>
        <v>140400</v>
      </c>
      <c r="Q61" s="242">
        <f t="shared" si="12"/>
        <v>15000</v>
      </c>
      <c r="R61" s="242">
        <f t="shared" si="13"/>
        <v>155400</v>
      </c>
      <c r="S61" s="242">
        <f t="shared" si="9"/>
        <v>55000</v>
      </c>
      <c r="T61" s="242">
        <f t="shared" si="10"/>
        <v>33000</v>
      </c>
      <c r="U61" s="242">
        <f t="shared" ref="U61:U68" si="18">$C$10*$J$26</f>
        <v>15000</v>
      </c>
      <c r="V61" s="242">
        <f t="shared" si="14"/>
        <v>34200</v>
      </c>
      <c r="W61" s="261">
        <f t="shared" si="16"/>
        <v>807400</v>
      </c>
      <c r="X61" s="262">
        <f t="shared" si="17"/>
        <v>-75555</v>
      </c>
      <c r="AA61" s="14"/>
    </row>
    <row r="62" spans="13:27" x14ac:dyDescent="0.3">
      <c r="N62" s="260">
        <f>N61+0.5</f>
        <v>1.5</v>
      </c>
      <c r="O62" s="242">
        <f t="shared" si="8"/>
        <v>943551</v>
      </c>
      <c r="P62" s="242">
        <f t="shared" si="11"/>
        <v>245399.99999999997</v>
      </c>
      <c r="Q62" s="242">
        <f t="shared" si="12"/>
        <v>45000</v>
      </c>
      <c r="R62" s="242">
        <f t="shared" si="13"/>
        <v>290400</v>
      </c>
      <c r="S62" s="242">
        <f t="shared" si="9"/>
        <v>55000</v>
      </c>
      <c r="T62" s="242">
        <f t="shared" si="10"/>
        <v>28306.53</v>
      </c>
      <c r="U62" s="242">
        <f t="shared" si="18"/>
        <v>15000</v>
      </c>
      <c r="V62" s="242">
        <f t="shared" si="14"/>
        <v>44280</v>
      </c>
      <c r="W62" s="261">
        <f t="shared" si="16"/>
        <v>510564.47</v>
      </c>
      <c r="X62" s="262">
        <f t="shared" si="17"/>
        <v>-296835.53000000003</v>
      </c>
      <c r="AA62" s="14"/>
    </row>
    <row r="63" spans="13:27" x14ac:dyDescent="0.3">
      <c r="N63" s="260">
        <f>N62+1</f>
        <v>2.5</v>
      </c>
      <c r="O63" s="242">
        <f t="shared" si="8"/>
        <v>1015679</v>
      </c>
      <c r="P63" s="242">
        <f t="shared" si="11"/>
        <v>381000</v>
      </c>
      <c r="Q63" s="242">
        <f t="shared" si="12"/>
        <v>105000</v>
      </c>
      <c r="R63" s="242">
        <f t="shared" si="13"/>
        <v>486000</v>
      </c>
      <c r="S63" s="242">
        <f t="shared" si="9"/>
        <v>55000</v>
      </c>
      <c r="T63" s="242">
        <f t="shared" si="10"/>
        <v>30470.37</v>
      </c>
      <c r="U63" s="242">
        <f t="shared" si="18"/>
        <v>15000</v>
      </c>
      <c r="V63" s="242">
        <f t="shared" si="14"/>
        <v>58950</v>
      </c>
      <c r="W63" s="261">
        <f t="shared" si="16"/>
        <v>370258.63</v>
      </c>
      <c r="X63" s="262">
        <f t="shared" si="17"/>
        <v>-140305.83999999997</v>
      </c>
      <c r="AA63" s="14"/>
    </row>
    <row r="64" spans="13:27" x14ac:dyDescent="0.3">
      <c r="N64" s="260">
        <f t="shared" ref="N64:N68" si="19">N63+1</f>
        <v>3.5</v>
      </c>
      <c r="O64" s="242">
        <f t="shared" si="8"/>
        <v>1056507</v>
      </c>
      <c r="P64" s="242">
        <f t="shared" si="11"/>
        <v>478800</v>
      </c>
      <c r="Q64" s="242">
        <f t="shared" si="12"/>
        <v>180000</v>
      </c>
      <c r="R64" s="242">
        <f t="shared" si="13"/>
        <v>658800</v>
      </c>
      <c r="S64" s="242">
        <f t="shared" si="9"/>
        <v>55000</v>
      </c>
      <c r="T64" s="242">
        <f t="shared" si="10"/>
        <v>31695.21</v>
      </c>
      <c r="U64" s="242">
        <f t="shared" si="18"/>
        <v>15000</v>
      </c>
      <c r="V64" s="242">
        <f t="shared" si="14"/>
        <v>71910</v>
      </c>
      <c r="W64" s="261">
        <f t="shared" si="16"/>
        <v>224101.78999999998</v>
      </c>
      <c r="X64" s="262">
        <f t="shared" si="17"/>
        <v>-146156.84000000003</v>
      </c>
      <c r="AA64" s="14"/>
    </row>
    <row r="65" spans="14:27" x14ac:dyDescent="0.3">
      <c r="N65" s="260">
        <f t="shared" si="19"/>
        <v>4.5</v>
      </c>
      <c r="O65" s="242">
        <f t="shared" si="8"/>
        <v>1080323</v>
      </c>
      <c r="P65" s="242">
        <f t="shared" si="11"/>
        <v>542400</v>
      </c>
      <c r="Q65" s="242">
        <f t="shared" si="12"/>
        <v>240000</v>
      </c>
      <c r="R65" s="242">
        <f t="shared" si="13"/>
        <v>782400</v>
      </c>
      <c r="S65" s="242">
        <f t="shared" si="9"/>
        <v>55000</v>
      </c>
      <c r="T65" s="242">
        <f t="shared" si="10"/>
        <v>32409.69</v>
      </c>
      <c r="U65" s="242">
        <f t="shared" si="18"/>
        <v>15000</v>
      </c>
      <c r="V65" s="242">
        <f t="shared" si="14"/>
        <v>81180</v>
      </c>
      <c r="W65" s="261">
        <f t="shared" si="16"/>
        <v>114333.31</v>
      </c>
      <c r="X65" s="262">
        <f t="shared" si="17"/>
        <v>-109768.47999999998</v>
      </c>
      <c r="AA65" s="14"/>
    </row>
    <row r="66" spans="14:27" x14ac:dyDescent="0.3">
      <c r="N66" s="260">
        <f t="shared" si="19"/>
        <v>5.5</v>
      </c>
      <c r="O66" s="242">
        <f t="shared" si="8"/>
        <v>1090530</v>
      </c>
      <c r="P66" s="242">
        <f t="shared" si="11"/>
        <v>573600</v>
      </c>
      <c r="Q66" s="242">
        <f t="shared" si="12"/>
        <v>270000</v>
      </c>
      <c r="R66" s="242">
        <f t="shared" si="13"/>
        <v>843600</v>
      </c>
      <c r="S66" s="242">
        <f t="shared" si="9"/>
        <v>55000</v>
      </c>
      <c r="T66" s="242">
        <f t="shared" si="10"/>
        <v>32715.899999999998</v>
      </c>
      <c r="U66" s="242">
        <f t="shared" si="18"/>
        <v>15000</v>
      </c>
      <c r="V66" s="242">
        <f t="shared" si="14"/>
        <v>85770</v>
      </c>
      <c r="W66" s="261">
        <f t="shared" si="16"/>
        <v>58444.100000000006</v>
      </c>
      <c r="X66" s="262">
        <f t="shared" si="17"/>
        <v>-55889.209999999992</v>
      </c>
      <c r="AA66" s="14"/>
    </row>
    <row r="67" spans="14:27" x14ac:dyDescent="0.3">
      <c r="N67" s="260">
        <f t="shared" si="19"/>
        <v>6.5</v>
      </c>
      <c r="O67" s="242">
        <f t="shared" si="8"/>
        <v>1095974</v>
      </c>
      <c r="P67" s="242">
        <f t="shared" si="11"/>
        <v>586200</v>
      </c>
      <c r="Q67" s="242">
        <f t="shared" si="12"/>
        <v>285000</v>
      </c>
      <c r="R67" s="242">
        <f t="shared" si="13"/>
        <v>871200</v>
      </c>
      <c r="S67" s="242">
        <f t="shared" si="9"/>
        <v>55000</v>
      </c>
      <c r="T67" s="242">
        <f t="shared" si="10"/>
        <v>32879.22</v>
      </c>
      <c r="U67" s="242">
        <f t="shared" si="18"/>
        <v>15000</v>
      </c>
      <c r="V67" s="242">
        <f t="shared" si="14"/>
        <v>87840</v>
      </c>
      <c r="W67" s="261">
        <f t="shared" si="16"/>
        <v>34054.78</v>
      </c>
      <c r="X67" s="262">
        <f t="shared" si="17"/>
        <v>-24389.320000000007</v>
      </c>
      <c r="AA67" s="14"/>
    </row>
    <row r="68" spans="14:27" x14ac:dyDescent="0.3">
      <c r="N68" s="263">
        <f t="shared" si="19"/>
        <v>7.5</v>
      </c>
      <c r="O68" s="264">
        <f t="shared" si="8"/>
        <v>1098015</v>
      </c>
      <c r="P68" s="264">
        <f t="shared" si="11"/>
        <v>600000</v>
      </c>
      <c r="Q68" s="264">
        <f t="shared" si="12"/>
        <v>300000</v>
      </c>
      <c r="R68" s="264">
        <f t="shared" si="13"/>
        <v>900000</v>
      </c>
      <c r="S68" s="264">
        <f t="shared" si="9"/>
        <v>55000</v>
      </c>
      <c r="T68" s="264">
        <f t="shared" si="10"/>
        <v>32940.449999999997</v>
      </c>
      <c r="U68" s="264">
        <f t="shared" si="18"/>
        <v>15000</v>
      </c>
      <c r="V68" s="264">
        <f t="shared" si="14"/>
        <v>90000</v>
      </c>
      <c r="W68" s="265">
        <f t="shared" si="16"/>
        <v>5074.5500000000029</v>
      </c>
      <c r="X68" s="266">
        <f t="shared" si="17"/>
        <v>-28980.229999999996</v>
      </c>
      <c r="AA68" s="14"/>
    </row>
    <row r="69" spans="14:27" x14ac:dyDescent="0.3">
      <c r="N69" s="13"/>
      <c r="P69" s="242"/>
      <c r="AA69" s="14"/>
    </row>
    <row r="70" spans="14:27" x14ac:dyDescent="0.3">
      <c r="N70" s="13"/>
      <c r="P70" s="242"/>
      <c r="AA70" s="14"/>
    </row>
    <row r="71" spans="14:27" x14ac:dyDescent="0.3">
      <c r="N71" s="13"/>
      <c r="P71" s="242"/>
      <c r="AA71" s="14"/>
    </row>
    <row r="72" spans="14:27" x14ac:dyDescent="0.3">
      <c r="N72" s="13"/>
      <c r="P72" s="242"/>
      <c r="AA72" s="14"/>
    </row>
    <row r="73" spans="14:27" x14ac:dyDescent="0.3">
      <c r="N73" s="13" t="s">
        <v>500</v>
      </c>
      <c r="S73" s="267" t="str">
        <f>"(16) = (11) * "&amp;TEXT(C13,"0.0%")&amp; " (Premium tax rate)"</f>
        <v>(16) = (11) * 3.0% (Premium tax rate)</v>
      </c>
      <c r="AA73" s="14"/>
    </row>
    <row r="74" spans="14:27" x14ac:dyDescent="0.3">
      <c r="N74" s="13" t="s">
        <v>502</v>
      </c>
      <c r="S74" t="s">
        <v>503</v>
      </c>
      <c r="AA74" s="14"/>
    </row>
    <row r="75" spans="14:27" x14ac:dyDescent="0.3">
      <c r="N75" s="13" t="s">
        <v>505</v>
      </c>
      <c r="S75" t="s">
        <v>506</v>
      </c>
      <c r="AA75" s="14"/>
    </row>
    <row r="76" spans="14:27" x14ac:dyDescent="0.3">
      <c r="N76" s="13" t="s">
        <v>507</v>
      </c>
      <c r="S76" t="s">
        <v>508</v>
      </c>
      <c r="AA76" s="14"/>
    </row>
    <row r="77" spans="14:27" x14ac:dyDescent="0.3">
      <c r="N77" s="13" t="s">
        <v>509</v>
      </c>
      <c r="S77" t="s">
        <v>510</v>
      </c>
      <c r="AA77" s="14"/>
    </row>
    <row r="78" spans="14:27" x14ac:dyDescent="0.3">
      <c r="N78" s="13"/>
      <c r="AA78" s="14"/>
    </row>
    <row r="79" spans="14:27" x14ac:dyDescent="0.3">
      <c r="N79" s="13" t="s">
        <v>514</v>
      </c>
      <c r="O79" t="s">
        <v>515</v>
      </c>
      <c r="AA79" s="14"/>
    </row>
    <row r="80" spans="14:27" x14ac:dyDescent="0.3">
      <c r="N80" s="13"/>
      <c r="O80" t="s">
        <v>516</v>
      </c>
      <c r="AA80" s="14"/>
    </row>
    <row r="81" spans="14:27" x14ac:dyDescent="0.3">
      <c r="N81" s="13"/>
      <c r="O81" t="s">
        <v>517</v>
      </c>
      <c r="AA81" s="14"/>
    </row>
    <row r="82" spans="14:27" x14ac:dyDescent="0.3">
      <c r="N82" s="13"/>
      <c r="O82" t="s">
        <v>518</v>
      </c>
      <c r="AA82" s="14"/>
    </row>
    <row r="83" spans="14:27" x14ac:dyDescent="0.3">
      <c r="N83" s="13"/>
      <c r="O83" t="str">
        <f>"• The final cash flow figure of "&amp;TEXT(W68,"$0,000") &amp;" is a result of rounding the premium tax, T, to 3 decimal places. If the full precision is used then we are left "</f>
        <v xml:space="preserve">• The final cash flow figure of $5,075 is a result of rounding the premium tax, T, to 3 decimal places. If the full precision is used then we are left </v>
      </c>
      <c r="AA83" s="14"/>
    </row>
    <row r="84" spans="14:27" x14ac:dyDescent="0.3">
      <c r="N84" s="13"/>
      <c r="O84" t="str">
        <f>"    with exactly the UW profit provision of " &amp;TEXT(C11,"$0,000")&amp;"."</f>
        <v xml:space="preserve">    with exactly the UW profit provision of $5,000.</v>
      </c>
      <c r="AA84" s="14"/>
    </row>
    <row r="85" spans="14:27" x14ac:dyDescent="0.3">
      <c r="N85" s="13"/>
      <c r="AA85" s="14"/>
    </row>
    <row r="86" spans="14:27" x14ac:dyDescent="0.3">
      <c r="N86" s="13"/>
      <c r="AA86" s="14"/>
    </row>
    <row r="87" spans="14:27" x14ac:dyDescent="0.3">
      <c r="N87" s="13"/>
      <c r="AA87" s="14"/>
    </row>
    <row r="88" spans="14:27" x14ac:dyDescent="0.3">
      <c r="N88" s="13"/>
      <c r="AA88" s="14"/>
    </row>
    <row r="89" spans="14:27" x14ac:dyDescent="0.3">
      <c r="N89" s="13"/>
      <c r="AA89" s="14"/>
    </row>
    <row r="90" spans="14:27" x14ac:dyDescent="0.3">
      <c r="N90" s="13"/>
      <c r="AA90" s="14"/>
    </row>
    <row r="91" spans="14:27" x14ac:dyDescent="0.3">
      <c r="N91" s="13"/>
      <c r="AA91" s="14"/>
    </row>
    <row r="92" spans="14:27" x14ac:dyDescent="0.3">
      <c r="N92" s="13"/>
      <c r="AA92" s="14"/>
    </row>
    <row r="93" spans="14:27" x14ac:dyDescent="0.3">
      <c r="N93" s="13"/>
      <c r="AA93" s="14"/>
    </row>
    <row r="94" spans="14:27" x14ac:dyDescent="0.3">
      <c r="AA94" s="14"/>
    </row>
    <row r="95" spans="14:27" x14ac:dyDescent="0.3">
      <c r="N95" s="13"/>
      <c r="AA95" s="14"/>
    </row>
    <row r="96" spans="14:27" x14ac:dyDescent="0.3">
      <c r="N96" s="13"/>
      <c r="AA96" s="14"/>
    </row>
    <row r="97" spans="14:27" x14ac:dyDescent="0.3">
      <c r="N97" s="13"/>
      <c r="AA97" s="14"/>
    </row>
    <row r="98" spans="14:27" x14ac:dyDescent="0.3">
      <c r="AA98" s="14"/>
    </row>
    <row r="99" spans="14:27" x14ac:dyDescent="0.3">
      <c r="N99" s="13"/>
      <c r="AA99" s="14"/>
    </row>
    <row r="100" spans="14:27" x14ac:dyDescent="0.3">
      <c r="N100" s="13"/>
      <c r="AA100" s="14"/>
    </row>
    <row r="101" spans="14:27" x14ac:dyDescent="0.3">
      <c r="N101" s="13"/>
      <c r="AA101" s="14"/>
    </row>
    <row r="102" spans="14:27" x14ac:dyDescent="0.3">
      <c r="N102" s="13"/>
      <c r="AA102" s="14"/>
    </row>
    <row r="103" spans="14:27" x14ac:dyDescent="0.3">
      <c r="N103" s="13"/>
      <c r="AA103" s="14"/>
    </row>
    <row r="104" spans="14:27" x14ac:dyDescent="0.3">
      <c r="N104" s="13"/>
      <c r="AA104" s="14"/>
    </row>
  </sheetData>
  <mergeCells count="1">
    <mergeCell ref="K1:L1"/>
  </mergeCells>
  <hyperlinks>
    <hyperlink ref="K1" location="TOC!A1" display="Return to TOC" xr:uid="{05CFE5D3-847C-4B90-81B8-DAAED4C9ABB4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A119-2B7F-400F-AE57-AE5056B194F3}">
  <sheetPr codeName="Sheet69"/>
  <dimension ref="A1:AM17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2.5546875" customWidth="1"/>
    <col min="4" max="4" width="17.109375" customWidth="1"/>
    <col min="5" max="5" width="15.33203125" customWidth="1"/>
    <col min="6" max="6" width="11.6640625" customWidth="1"/>
    <col min="7" max="7" width="11.6640625" bestFit="1" customWidth="1"/>
    <col min="8" max="8" width="11" bestFit="1" customWidth="1"/>
    <col min="9" max="9" width="12" customWidth="1"/>
    <col min="10" max="10" width="9.5546875" customWidth="1"/>
    <col min="11" max="11" width="9.109375" customWidth="1"/>
    <col min="12" max="12" width="4.88671875" customWidth="1"/>
    <col min="13" max="13" width="2.6640625" customWidth="1"/>
    <col min="14" max="14" width="14.6640625" customWidth="1"/>
    <col min="15" max="15" width="18.33203125" customWidth="1"/>
    <col min="16" max="16" width="17" customWidth="1"/>
    <col min="17" max="17" width="13.6640625" customWidth="1"/>
    <col min="18" max="18" width="11.88671875" customWidth="1"/>
    <col min="19" max="19" width="12.88671875" customWidth="1"/>
    <col min="20" max="20" width="9.109375" bestFit="1" customWidth="1"/>
    <col min="21" max="21" width="10.44140625" customWidth="1"/>
    <col min="22" max="22" width="8.33203125" bestFit="1" customWidth="1"/>
    <col min="23" max="23" width="10.88671875" customWidth="1"/>
    <col min="24" max="24" width="11.6640625" bestFit="1" customWidth="1"/>
    <col min="25" max="25" width="11.44140625" customWidth="1"/>
    <col min="26" max="26" width="4.33203125" customWidth="1"/>
    <col min="29" max="29" width="15.6640625" customWidth="1"/>
    <col min="30" max="30" width="16.44140625" customWidth="1"/>
    <col min="31" max="31" width="12.88671875" customWidth="1"/>
    <col min="32" max="32" width="11.88671875" customWidth="1"/>
    <col min="33" max="33" width="12.33203125" customWidth="1"/>
    <col min="34" max="34" width="10.109375" bestFit="1" customWidth="1"/>
    <col min="35" max="35" width="9.5546875" customWidth="1"/>
    <col min="36" max="36" width="10.109375" bestFit="1" customWidth="1"/>
    <col min="37" max="37" width="11.33203125" bestFit="1" customWidth="1"/>
    <col min="38" max="38" width="11.6640625" customWidth="1"/>
  </cols>
  <sheetData>
    <row r="1" spans="1:39" x14ac:dyDescent="0.3">
      <c r="A1" s="32" t="s">
        <v>137</v>
      </c>
      <c r="B1" s="33"/>
      <c r="C1" s="33" t="s">
        <v>122</v>
      </c>
      <c r="D1" s="34"/>
      <c r="E1" s="33"/>
      <c r="F1" s="33"/>
      <c r="G1" s="33"/>
      <c r="H1" s="33"/>
      <c r="I1" s="33"/>
      <c r="J1" s="33"/>
      <c r="K1" s="772" t="s">
        <v>199</v>
      </c>
      <c r="L1" s="773"/>
      <c r="M1" s="10"/>
      <c r="N1" s="12" t="s">
        <v>140</v>
      </c>
      <c r="AA1" s="10"/>
      <c r="AM1" s="10"/>
    </row>
    <row r="2" spans="1:39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581</v>
      </c>
      <c r="AA2" s="10"/>
      <c r="AM2" s="10"/>
    </row>
    <row r="3" spans="1:39" x14ac:dyDescent="0.3">
      <c r="A3" s="282" t="s">
        <v>141</v>
      </c>
      <c r="B3" s="283"/>
      <c r="C3" s="283" t="s">
        <v>582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s="268" t="s">
        <v>583</v>
      </c>
      <c r="O3" s="252"/>
      <c r="AA3" s="10"/>
      <c r="AM3" s="10"/>
    </row>
    <row r="4" spans="1:39" x14ac:dyDescent="0.3">
      <c r="A4" s="38"/>
      <c r="B4" s="39"/>
      <c r="C4" s="39"/>
      <c r="D4" s="39"/>
      <c r="E4" s="39"/>
      <c r="F4" s="39"/>
      <c r="G4" s="36"/>
      <c r="H4" s="39"/>
      <c r="I4" s="39"/>
      <c r="J4" s="39"/>
      <c r="K4" s="39"/>
      <c r="L4" s="40"/>
      <c r="M4" s="14"/>
      <c r="N4" t="s">
        <v>584</v>
      </c>
      <c r="AA4" s="14"/>
      <c r="AM4" s="14"/>
    </row>
    <row r="5" spans="1:39" ht="15" customHeight="1" x14ac:dyDescent="0.3">
      <c r="A5" s="41" t="s">
        <v>144</v>
      </c>
      <c r="B5" s="246"/>
      <c r="C5" s="284" t="s">
        <v>481</v>
      </c>
      <c r="D5" s="285"/>
      <c r="E5" s="75"/>
      <c r="F5" s="36"/>
      <c r="G5" s="36"/>
      <c r="H5" s="36"/>
      <c r="I5" s="36"/>
      <c r="J5" s="36"/>
      <c r="K5" s="36"/>
      <c r="L5" s="37"/>
      <c r="M5" s="14"/>
      <c r="N5" t="s">
        <v>585</v>
      </c>
      <c r="AA5" s="14"/>
      <c r="AM5" s="14"/>
    </row>
    <row r="6" spans="1:39" x14ac:dyDescent="0.3">
      <c r="A6" s="45"/>
      <c r="B6" s="246"/>
      <c r="C6" s="286">
        <v>600000</v>
      </c>
      <c r="D6" s="287" t="s">
        <v>484</v>
      </c>
      <c r="E6" s="43"/>
      <c r="F6" s="36"/>
      <c r="G6" s="36"/>
      <c r="H6" s="36"/>
      <c r="I6" s="36"/>
      <c r="J6" s="36"/>
      <c r="K6" s="36"/>
      <c r="L6" s="37"/>
      <c r="M6" s="14"/>
      <c r="AA6" s="14"/>
      <c r="AM6" s="14"/>
    </row>
    <row r="7" spans="1:39" ht="15" customHeight="1" x14ac:dyDescent="0.3">
      <c r="A7" s="45"/>
      <c r="B7" s="246"/>
      <c r="C7" s="288">
        <v>300000</v>
      </c>
      <c r="D7" s="36" t="s">
        <v>486</v>
      </c>
      <c r="E7" s="46"/>
      <c r="F7" s="36"/>
      <c r="G7" s="36"/>
      <c r="H7" s="36"/>
      <c r="I7" s="36"/>
      <c r="J7" s="36"/>
      <c r="K7" s="36"/>
      <c r="L7" s="37"/>
      <c r="M7" s="14"/>
      <c r="N7" t="str">
        <f>"The tax multiplier, T, is  1 / (1 - " &amp;TEXT(C12,"0.0%") &amp;")"</f>
        <v>The tax multiplier, T, is  1 / (1 - 3.0%)</v>
      </c>
      <c r="AA7" s="14"/>
      <c r="AM7" s="14"/>
    </row>
    <row r="8" spans="1:39" ht="15" customHeight="1" x14ac:dyDescent="0.3">
      <c r="A8" s="41"/>
      <c r="B8" s="39"/>
      <c r="C8" s="288">
        <v>55000</v>
      </c>
      <c r="D8" s="36" t="s">
        <v>488</v>
      </c>
      <c r="E8" s="46"/>
      <c r="F8" s="36"/>
      <c r="G8" s="36"/>
      <c r="H8" s="36"/>
      <c r="I8" s="36"/>
      <c r="J8" s="36"/>
      <c r="K8" s="36"/>
      <c r="L8" s="37"/>
      <c r="M8" s="14"/>
      <c r="N8" s="26" t="s">
        <v>491</v>
      </c>
      <c r="O8" s="11">
        <f>ROUND(1/(1-C12),3)</f>
        <v>1.0309999999999999</v>
      </c>
      <c r="P8" s="19"/>
      <c r="AA8" s="14"/>
      <c r="AM8" s="14"/>
    </row>
    <row r="9" spans="1:39" x14ac:dyDescent="0.3">
      <c r="A9" s="45"/>
      <c r="B9" s="39"/>
      <c r="C9" s="288">
        <v>15000</v>
      </c>
      <c r="D9" s="36" t="s">
        <v>489</v>
      </c>
      <c r="E9" s="46"/>
      <c r="F9" s="36"/>
      <c r="G9" s="36"/>
      <c r="H9" s="36"/>
      <c r="I9" s="36"/>
      <c r="J9" s="36"/>
      <c r="K9" s="36"/>
      <c r="L9" s="37"/>
      <c r="M9" s="14"/>
      <c r="AA9" s="14"/>
      <c r="AM9" s="14"/>
    </row>
    <row r="10" spans="1:39" x14ac:dyDescent="0.3">
      <c r="A10" s="38"/>
      <c r="B10" s="39"/>
      <c r="C10" s="288">
        <v>5000</v>
      </c>
      <c r="D10" s="36" t="s">
        <v>490</v>
      </c>
      <c r="E10" s="46"/>
      <c r="F10" s="36"/>
      <c r="G10" s="36"/>
      <c r="H10" s="36"/>
      <c r="I10" s="36"/>
      <c r="J10" s="36"/>
      <c r="K10" s="36"/>
      <c r="L10" s="37"/>
      <c r="M10" s="14"/>
      <c r="N10" s="11" t="s">
        <v>586</v>
      </c>
      <c r="AA10" s="14"/>
      <c r="AM10" s="14"/>
    </row>
    <row r="11" spans="1:39" x14ac:dyDescent="0.3">
      <c r="A11" s="38"/>
      <c r="B11" s="39"/>
      <c r="C11" s="289">
        <v>0.1</v>
      </c>
      <c r="D11" s="36" t="s">
        <v>492</v>
      </c>
      <c r="E11" s="46"/>
      <c r="F11" s="36"/>
      <c r="G11" s="36"/>
      <c r="H11" s="36"/>
      <c r="I11" s="36"/>
      <c r="J11" s="36"/>
      <c r="K11" s="36"/>
      <c r="L11" s="37"/>
      <c r="M11" s="14"/>
      <c r="N11" s="26" t="str">
        <f>"Premium = "</f>
        <v xml:space="preserve">Premium = </v>
      </c>
      <c r="O11" t="str">
        <f>"{ "&amp;TEXT(C7,"$0,000") &amp;" + " &amp;TEXT(C8,"$0,000") &amp;" + "&amp;TEXT(C9,"$0,000")&amp;" + "&amp;TEXT(C10,"$0,000") &amp;" + "&amp;TEXT(C11,"0.0%")&amp;" * ("&amp;TEXT(C6,"$0,000")&amp;" + "&amp;TEXT(C7,"$0,000")&amp;") } * "&amp;O8</f>
        <v>{ $300,000 + $55,000 + $15,000 + $5,000 + 10.0% * ($600,000 + $300,000) } * 1.031</v>
      </c>
      <c r="AA11" s="14"/>
      <c r="AM11" s="14"/>
    </row>
    <row r="12" spans="1:39" x14ac:dyDescent="0.3">
      <c r="A12" s="38"/>
      <c r="B12" s="36"/>
      <c r="C12" s="290">
        <v>0.03</v>
      </c>
      <c r="D12" s="291" t="s">
        <v>493</v>
      </c>
      <c r="E12" s="47"/>
      <c r="F12" s="36"/>
      <c r="G12" s="36"/>
      <c r="H12" s="36"/>
      <c r="I12" s="36"/>
      <c r="J12" s="36"/>
      <c r="K12" s="36"/>
      <c r="L12" s="37"/>
      <c r="M12" s="14"/>
      <c r="N12" s="27" t="s">
        <v>179</v>
      </c>
      <c r="O12" s="313">
        <f>ROUND((C7+C8+C9+C10+C11*(C6+C7))*(1/(1-C12)),0)</f>
        <v>479381</v>
      </c>
      <c r="AA12" s="14"/>
      <c r="AM12" s="14"/>
    </row>
    <row r="13" spans="1:39" x14ac:dyDescent="0.3">
      <c r="A13" s="38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14"/>
      <c r="AA13" s="14"/>
      <c r="AM13" s="14"/>
    </row>
    <row r="14" spans="1:39" x14ac:dyDescent="0.3">
      <c r="A14" s="38"/>
      <c r="B14" s="36"/>
      <c r="C14" s="36" t="s">
        <v>496</v>
      </c>
      <c r="D14" s="36"/>
      <c r="E14" s="36"/>
      <c r="F14" s="36"/>
      <c r="G14" s="36"/>
      <c r="H14" s="36"/>
      <c r="I14" s="36"/>
      <c r="J14" s="36"/>
      <c r="K14" s="36"/>
      <c r="L14" s="37"/>
      <c r="M14" s="14"/>
      <c r="N14" t="s">
        <v>497</v>
      </c>
      <c r="AA14" s="14"/>
      <c r="AM14" s="14"/>
    </row>
    <row r="15" spans="1:39" x14ac:dyDescent="0.3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14"/>
      <c r="AA15" s="14"/>
      <c r="AM15" s="14"/>
    </row>
    <row r="16" spans="1:39" x14ac:dyDescent="0.3">
      <c r="A16" s="45"/>
      <c r="B16" s="36"/>
      <c r="C16" s="284" t="s">
        <v>511</v>
      </c>
      <c r="D16" s="285"/>
      <c r="E16" s="285"/>
      <c r="F16" s="285"/>
      <c r="G16" s="285"/>
      <c r="H16" s="285"/>
      <c r="I16" s="285"/>
      <c r="J16" s="75"/>
      <c r="K16" s="75"/>
      <c r="L16" s="37"/>
      <c r="M16" s="14"/>
      <c r="N16" t="s">
        <v>587</v>
      </c>
      <c r="AA16" s="14"/>
      <c r="AM16" s="14"/>
    </row>
    <row r="17" spans="1:39" x14ac:dyDescent="0.3">
      <c r="A17" s="45"/>
      <c r="B17" s="36"/>
      <c r="C17" s="292"/>
      <c r="D17" s="293"/>
      <c r="E17" s="294" t="s">
        <v>566</v>
      </c>
      <c r="F17" s="294" t="s">
        <v>567</v>
      </c>
      <c r="G17" s="294" t="s">
        <v>568</v>
      </c>
      <c r="H17" s="294" t="s">
        <v>569</v>
      </c>
      <c r="I17" s="293"/>
      <c r="J17" s="294" t="s">
        <v>570</v>
      </c>
      <c r="K17" s="295" t="s">
        <v>571</v>
      </c>
      <c r="L17" s="37"/>
      <c r="M17" s="14"/>
      <c r="N17" t="s">
        <v>588</v>
      </c>
      <c r="AA17" s="14"/>
      <c r="AM17" s="14"/>
    </row>
    <row r="18" spans="1:39" x14ac:dyDescent="0.3">
      <c r="A18" s="45"/>
      <c r="B18" s="36"/>
      <c r="C18" s="296"/>
      <c r="D18" s="177"/>
      <c r="E18" s="177" t="s">
        <v>558</v>
      </c>
      <c r="F18" s="177" t="s">
        <v>558</v>
      </c>
      <c r="G18" s="177"/>
      <c r="H18" s="177" t="s">
        <v>564</v>
      </c>
      <c r="I18" s="177"/>
      <c r="J18" s="177"/>
      <c r="K18" s="297"/>
      <c r="L18" s="37"/>
      <c r="M18" s="14"/>
      <c r="N18" t="s">
        <v>590</v>
      </c>
      <c r="AA18" s="14"/>
      <c r="AM18" s="14"/>
    </row>
    <row r="19" spans="1:39" x14ac:dyDescent="0.3">
      <c r="A19" s="45"/>
      <c r="B19" s="36"/>
      <c r="C19" s="296" t="s">
        <v>536</v>
      </c>
      <c r="D19" s="177"/>
      <c r="E19" s="177" t="s">
        <v>559</v>
      </c>
      <c r="F19" s="177" t="s">
        <v>561</v>
      </c>
      <c r="G19" s="177" t="s">
        <v>562</v>
      </c>
      <c r="H19" s="177" t="s">
        <v>565</v>
      </c>
      <c r="I19" s="177"/>
      <c r="J19" s="177" t="s">
        <v>543</v>
      </c>
      <c r="K19" s="297"/>
      <c r="L19" s="37"/>
      <c r="M19" s="14"/>
      <c r="N19" s="268" t="s">
        <v>591</v>
      </c>
      <c r="AA19" s="14"/>
      <c r="AM19" s="14"/>
    </row>
    <row r="20" spans="1:39" x14ac:dyDescent="0.3">
      <c r="A20" s="45"/>
      <c r="B20" s="36"/>
      <c r="C20" s="178" t="s">
        <v>557</v>
      </c>
      <c r="D20" s="298" t="s">
        <v>482</v>
      </c>
      <c r="E20" s="298" t="s">
        <v>560</v>
      </c>
      <c r="F20" s="298" t="s">
        <v>560</v>
      </c>
      <c r="G20" s="298" t="s">
        <v>563</v>
      </c>
      <c r="H20" s="298" t="s">
        <v>560</v>
      </c>
      <c r="I20" s="298" t="s">
        <v>488</v>
      </c>
      <c r="J20" s="298" t="s">
        <v>544</v>
      </c>
      <c r="K20" s="180" t="s">
        <v>492</v>
      </c>
      <c r="L20" s="37"/>
      <c r="M20" s="14"/>
      <c r="AA20" s="14"/>
      <c r="AM20" s="14"/>
    </row>
    <row r="21" spans="1:39" x14ac:dyDescent="0.3">
      <c r="A21" s="45"/>
      <c r="B21" s="36"/>
      <c r="C21" s="299">
        <v>0</v>
      </c>
      <c r="D21" s="300">
        <v>1</v>
      </c>
      <c r="E21" s="287"/>
      <c r="F21" s="287"/>
      <c r="G21" s="287"/>
      <c r="H21" s="287"/>
      <c r="I21" s="300">
        <v>1</v>
      </c>
      <c r="J21" s="301">
        <v>0.25</v>
      </c>
      <c r="K21" s="43"/>
      <c r="L21" s="37"/>
      <c r="M21" s="14"/>
      <c r="N21" s="198" t="s">
        <v>512</v>
      </c>
      <c r="AA21" s="14"/>
      <c r="AM21" s="14"/>
    </row>
    <row r="22" spans="1:39" x14ac:dyDescent="0.3">
      <c r="A22" s="45"/>
      <c r="B22" s="36"/>
      <c r="C22" s="302">
        <f>C21+0.25</f>
        <v>0.25</v>
      </c>
      <c r="D22" s="36"/>
      <c r="E22" s="303">
        <v>0.107</v>
      </c>
      <c r="F22" s="303">
        <v>2.1000000000000001E-2</v>
      </c>
      <c r="G22" s="303">
        <v>1E-3</v>
      </c>
      <c r="H22" s="303">
        <v>1.4E-2</v>
      </c>
      <c r="I22" s="304"/>
      <c r="J22" s="303">
        <v>0.438</v>
      </c>
      <c r="K22" s="305">
        <v>7.2999999999999995E-2</v>
      </c>
      <c r="L22" s="37"/>
      <c r="M22" s="14"/>
      <c r="N22" s="276"/>
      <c r="O22" s="277" t="s">
        <v>577</v>
      </c>
      <c r="P22" s="277" t="s">
        <v>578</v>
      </c>
      <c r="Q22" s="277" t="s">
        <v>579</v>
      </c>
      <c r="R22" s="278" t="s">
        <v>580</v>
      </c>
      <c r="AA22" s="14"/>
      <c r="AM22" s="14"/>
    </row>
    <row r="23" spans="1:39" ht="15" customHeight="1" x14ac:dyDescent="0.3">
      <c r="A23" s="45"/>
      <c r="B23" s="36"/>
      <c r="C23" s="302">
        <f t="shared" ref="C23:C25" si="0">C22+0.25</f>
        <v>0.5</v>
      </c>
      <c r="D23" s="36"/>
      <c r="E23" s="303">
        <v>0.26300000000000001</v>
      </c>
      <c r="F23" s="303">
        <v>7.1999999999999995E-2</v>
      </c>
      <c r="G23" s="303">
        <v>5.0000000000000001E-3</v>
      </c>
      <c r="H23" s="303">
        <v>0.05</v>
      </c>
      <c r="I23" s="36"/>
      <c r="J23" s="303">
        <v>0.625</v>
      </c>
      <c r="K23" s="305">
        <v>0.16200000000000001</v>
      </c>
      <c r="L23" s="37"/>
      <c r="M23" s="14"/>
      <c r="N23" s="271"/>
      <c r="P23" t="s">
        <v>607</v>
      </c>
      <c r="Q23" t="s">
        <v>608</v>
      </c>
      <c r="R23" s="21" t="s">
        <v>609</v>
      </c>
      <c r="AA23" s="14"/>
      <c r="AM23" s="14"/>
    </row>
    <row r="24" spans="1:39" ht="15" customHeight="1" x14ac:dyDescent="0.3">
      <c r="A24" s="45"/>
      <c r="B24" s="36"/>
      <c r="C24" s="302">
        <f t="shared" si="0"/>
        <v>0.75</v>
      </c>
      <c r="D24" s="36"/>
      <c r="E24" s="303">
        <v>0.45400000000000001</v>
      </c>
      <c r="F24" s="303">
        <v>0.14499999999999999</v>
      </c>
      <c r="G24" s="303">
        <v>0.02</v>
      </c>
      <c r="H24" s="303">
        <v>0.10299999999999999</v>
      </c>
      <c r="I24" s="36"/>
      <c r="J24" s="303">
        <v>0.81299999999999994</v>
      </c>
      <c r="K24" s="305">
        <v>0.26500000000000001</v>
      </c>
      <c r="L24" s="37"/>
      <c r="M24" s="14"/>
      <c r="N24" s="159" t="s">
        <v>513</v>
      </c>
      <c r="O24" s="206" t="s">
        <v>605</v>
      </c>
      <c r="P24" s="206" t="s">
        <v>606</v>
      </c>
      <c r="Q24" s="206" t="s">
        <v>545</v>
      </c>
      <c r="R24" s="23" t="s">
        <v>545</v>
      </c>
      <c r="AA24" s="14"/>
      <c r="AM24" s="14"/>
    </row>
    <row r="25" spans="1:39" ht="15" customHeight="1" x14ac:dyDescent="0.3">
      <c r="A25" s="45"/>
      <c r="B25" s="36"/>
      <c r="C25" s="306">
        <f t="shared" si="0"/>
        <v>1</v>
      </c>
      <c r="D25" s="307"/>
      <c r="E25" s="308">
        <v>0.65500000000000003</v>
      </c>
      <c r="F25" s="308">
        <v>0.23400000000000001</v>
      </c>
      <c r="G25" s="308">
        <v>0.05</v>
      </c>
      <c r="H25" s="308">
        <v>0.17299999999999999</v>
      </c>
      <c r="I25" s="307"/>
      <c r="J25" s="308">
        <v>1</v>
      </c>
      <c r="K25" s="309">
        <v>0.38</v>
      </c>
      <c r="L25" s="37"/>
      <c r="M25" s="14"/>
      <c r="N25" s="256">
        <v>0</v>
      </c>
      <c r="O25" s="257">
        <f>$O$12</f>
        <v>479381</v>
      </c>
      <c r="P25" s="257">
        <v>0</v>
      </c>
      <c r="Q25" s="258">
        <f>-O25-P25</f>
        <v>-479381</v>
      </c>
      <c r="R25" s="270">
        <f>Q25</f>
        <v>-479381</v>
      </c>
      <c r="AA25" s="14"/>
      <c r="AM25" s="14"/>
    </row>
    <row r="26" spans="1:39" ht="15" customHeight="1" x14ac:dyDescent="0.3">
      <c r="A26" s="45"/>
      <c r="B26" s="36"/>
      <c r="C26" s="302">
        <f>C25+0.5</f>
        <v>1.5</v>
      </c>
      <c r="D26" s="36"/>
      <c r="E26" s="303">
        <v>0.77300000000000002</v>
      </c>
      <c r="F26" s="303">
        <v>0.40899999999999997</v>
      </c>
      <c r="G26" s="303">
        <v>0.15</v>
      </c>
      <c r="H26" s="303">
        <v>0.32300000000000001</v>
      </c>
      <c r="I26" s="36"/>
      <c r="J26" s="36"/>
      <c r="K26" s="305">
        <v>0.49199999999999999</v>
      </c>
      <c r="L26" s="37"/>
      <c r="M26" s="14"/>
      <c r="N26" s="260">
        <f>N25+0.25</f>
        <v>0.25</v>
      </c>
      <c r="O26" s="242">
        <f t="shared" ref="O26:O36" si="1">$O$12</f>
        <v>479381</v>
      </c>
      <c r="P26" s="242">
        <f t="shared" ref="P26:P36" si="2">F22*$C$6</f>
        <v>12600</v>
      </c>
      <c r="Q26" s="261">
        <f>-O26-P26</f>
        <v>-491981</v>
      </c>
      <c r="R26" s="262">
        <f>Q26-Q25</f>
        <v>-12600</v>
      </c>
      <c r="AA26" s="14"/>
      <c r="AM26" s="14"/>
    </row>
    <row r="27" spans="1:39" ht="15" customHeight="1" x14ac:dyDescent="0.3">
      <c r="A27" s="45"/>
      <c r="B27" s="36"/>
      <c r="C27" s="302">
        <f>C26+1</f>
        <v>2.5</v>
      </c>
      <c r="D27" s="36"/>
      <c r="E27" s="303">
        <v>0.879</v>
      </c>
      <c r="F27" s="303">
        <v>0.63500000000000001</v>
      </c>
      <c r="G27" s="303">
        <v>0.35</v>
      </c>
      <c r="H27" s="303">
        <v>0.54</v>
      </c>
      <c r="I27" s="36"/>
      <c r="J27" s="36"/>
      <c r="K27" s="305">
        <v>0.65500000000000003</v>
      </c>
      <c r="L27" s="37"/>
      <c r="M27" s="14"/>
      <c r="N27" s="260">
        <f t="shared" ref="N27:N29" si="3">N26+0.25</f>
        <v>0.5</v>
      </c>
      <c r="O27" s="242">
        <f t="shared" si="1"/>
        <v>479381</v>
      </c>
      <c r="P27" s="242">
        <f t="shared" si="2"/>
        <v>43200</v>
      </c>
      <c r="Q27" s="261">
        <f t="shared" ref="Q27:Q36" si="4">-O27-P27</f>
        <v>-522581</v>
      </c>
      <c r="R27" s="262">
        <f t="shared" ref="R27:R36" si="5">Q27-Q26</f>
        <v>-30600</v>
      </c>
      <c r="AA27" s="14"/>
      <c r="AM27" s="14"/>
    </row>
    <row r="28" spans="1:39" ht="15" customHeight="1" x14ac:dyDescent="0.3">
      <c r="A28" s="45"/>
      <c r="B28" s="36"/>
      <c r="C28" s="302">
        <f t="shared" ref="C28:C32" si="6">C27+1</f>
        <v>3.5</v>
      </c>
      <c r="D28" s="36"/>
      <c r="E28" s="303">
        <v>0.93899999999999995</v>
      </c>
      <c r="F28" s="303">
        <v>0.79800000000000004</v>
      </c>
      <c r="G28" s="303">
        <v>0.6</v>
      </c>
      <c r="H28" s="303">
        <v>0.73199999999999998</v>
      </c>
      <c r="I28" s="36"/>
      <c r="J28" s="36"/>
      <c r="K28" s="305">
        <v>0.79900000000000004</v>
      </c>
      <c r="L28" s="37"/>
      <c r="M28" s="14"/>
      <c r="N28" s="260">
        <f t="shared" si="3"/>
        <v>0.75</v>
      </c>
      <c r="O28" s="242">
        <f t="shared" si="1"/>
        <v>479381</v>
      </c>
      <c r="P28" s="242">
        <f t="shared" si="2"/>
        <v>87000</v>
      </c>
      <c r="Q28" s="261">
        <f t="shared" si="4"/>
        <v>-566381</v>
      </c>
      <c r="R28" s="262">
        <f t="shared" si="5"/>
        <v>-43800</v>
      </c>
      <c r="AA28" s="14"/>
      <c r="AM28" s="14"/>
    </row>
    <row r="29" spans="1:39" x14ac:dyDescent="0.3">
      <c r="A29" s="45"/>
      <c r="B29" s="36"/>
      <c r="C29" s="302">
        <f t="shared" si="6"/>
        <v>4.5</v>
      </c>
      <c r="D29" s="36"/>
      <c r="E29" s="303">
        <v>0.97399999999999998</v>
      </c>
      <c r="F29" s="303">
        <v>0.90400000000000003</v>
      </c>
      <c r="G29" s="303">
        <v>0.8</v>
      </c>
      <c r="H29" s="303">
        <v>0.86899999999999999</v>
      </c>
      <c r="I29" s="36"/>
      <c r="J29" s="36"/>
      <c r="K29" s="305">
        <v>0.90200000000000002</v>
      </c>
      <c r="L29" s="37"/>
      <c r="M29" s="14"/>
      <c r="N29" s="260">
        <f t="shared" si="3"/>
        <v>1</v>
      </c>
      <c r="O29" s="242">
        <f t="shared" si="1"/>
        <v>479381</v>
      </c>
      <c r="P29" s="242">
        <f t="shared" si="2"/>
        <v>140400</v>
      </c>
      <c r="Q29" s="261">
        <f t="shared" si="4"/>
        <v>-619781</v>
      </c>
      <c r="R29" s="262">
        <f t="shared" si="5"/>
        <v>-53400</v>
      </c>
      <c r="AA29" s="14"/>
      <c r="AM29" s="14"/>
    </row>
    <row r="30" spans="1:39" x14ac:dyDescent="0.3">
      <c r="A30" s="45"/>
      <c r="B30" s="36"/>
      <c r="C30" s="302">
        <f t="shared" si="6"/>
        <v>5.5</v>
      </c>
      <c r="D30" s="36"/>
      <c r="E30" s="303">
        <v>0.98899999999999999</v>
      </c>
      <c r="F30" s="303">
        <v>0.95599999999999996</v>
      </c>
      <c r="G30" s="303">
        <v>0.9</v>
      </c>
      <c r="H30" s="303">
        <v>0.93700000000000006</v>
      </c>
      <c r="I30" s="36"/>
      <c r="J30" s="36"/>
      <c r="K30" s="305">
        <v>0.95299999999999996</v>
      </c>
      <c r="L30" s="37"/>
      <c r="M30" s="14"/>
      <c r="N30" s="260">
        <f>N29+0.5</f>
        <v>1.5</v>
      </c>
      <c r="O30" s="242">
        <f t="shared" si="1"/>
        <v>479381</v>
      </c>
      <c r="P30" s="242">
        <f t="shared" si="2"/>
        <v>245399.99999999997</v>
      </c>
      <c r="Q30" s="261">
        <f t="shared" si="4"/>
        <v>-724781</v>
      </c>
      <c r="R30" s="262">
        <f t="shared" si="5"/>
        <v>-105000</v>
      </c>
      <c r="AA30" s="14"/>
      <c r="AM30" s="14"/>
    </row>
    <row r="31" spans="1:39" x14ac:dyDescent="0.3">
      <c r="A31" s="45"/>
      <c r="B31" s="36"/>
      <c r="C31" s="302">
        <f t="shared" si="6"/>
        <v>6.5</v>
      </c>
      <c r="D31" s="36"/>
      <c r="E31" s="303">
        <v>0.997</v>
      </c>
      <c r="F31" s="303">
        <v>0.97699999999999998</v>
      </c>
      <c r="G31" s="303">
        <v>0.95</v>
      </c>
      <c r="H31" s="303">
        <v>0.96799999999999997</v>
      </c>
      <c r="I31" s="36"/>
      <c r="J31" s="36"/>
      <c r="K31" s="305">
        <v>0.97599999999999998</v>
      </c>
      <c r="L31" s="37"/>
      <c r="M31" s="14"/>
      <c r="N31" s="260">
        <f>N30+1</f>
        <v>2.5</v>
      </c>
      <c r="O31" s="242">
        <f t="shared" si="1"/>
        <v>479381</v>
      </c>
      <c r="P31" s="242">
        <f t="shared" si="2"/>
        <v>381000</v>
      </c>
      <c r="Q31" s="261">
        <f t="shared" si="4"/>
        <v>-860381</v>
      </c>
      <c r="R31" s="262">
        <f t="shared" si="5"/>
        <v>-135600</v>
      </c>
      <c r="AA31" s="14"/>
      <c r="AB31" s="13"/>
      <c r="AM31" s="14"/>
    </row>
    <row r="32" spans="1:39" x14ac:dyDescent="0.3">
      <c r="A32" s="45"/>
      <c r="B32" s="36"/>
      <c r="C32" s="310">
        <f t="shared" si="6"/>
        <v>7.5</v>
      </c>
      <c r="D32" s="291"/>
      <c r="E32" s="311">
        <v>1</v>
      </c>
      <c r="F32" s="311">
        <v>1</v>
      </c>
      <c r="G32" s="311">
        <v>1</v>
      </c>
      <c r="H32" s="311">
        <v>1</v>
      </c>
      <c r="I32" s="291"/>
      <c r="J32" s="291"/>
      <c r="K32" s="312">
        <v>1</v>
      </c>
      <c r="L32" s="37"/>
      <c r="M32" s="14"/>
      <c r="N32" s="260">
        <f t="shared" ref="N32:N36" si="7">N31+1</f>
        <v>3.5</v>
      </c>
      <c r="O32" s="242">
        <f t="shared" si="1"/>
        <v>479381</v>
      </c>
      <c r="P32" s="242">
        <f t="shared" si="2"/>
        <v>478800</v>
      </c>
      <c r="Q32" s="261">
        <f t="shared" si="4"/>
        <v>-958181</v>
      </c>
      <c r="R32" s="262">
        <f t="shared" si="5"/>
        <v>-97800</v>
      </c>
      <c r="AA32" s="14"/>
      <c r="AM32" s="14"/>
    </row>
    <row r="33" spans="1:39" x14ac:dyDescent="0.3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  <c r="M33" s="14"/>
      <c r="N33" s="260">
        <f t="shared" si="7"/>
        <v>4.5</v>
      </c>
      <c r="O33" s="242">
        <f t="shared" si="1"/>
        <v>479381</v>
      </c>
      <c r="P33" s="242">
        <f t="shared" si="2"/>
        <v>542400</v>
      </c>
      <c r="Q33" s="261">
        <f t="shared" si="4"/>
        <v>-1021781</v>
      </c>
      <c r="R33" s="262">
        <f t="shared" si="5"/>
        <v>-63600</v>
      </c>
      <c r="AA33" s="14"/>
      <c r="AM33" s="14"/>
    </row>
    <row r="34" spans="1:39" x14ac:dyDescent="0.3">
      <c r="A34" s="35" t="s">
        <v>173</v>
      </c>
      <c r="B34" s="36"/>
      <c r="C34" s="36" t="s">
        <v>601</v>
      </c>
      <c r="D34" s="36"/>
      <c r="E34" s="36"/>
      <c r="F34" s="36"/>
      <c r="G34" s="36"/>
      <c r="H34" s="36"/>
      <c r="I34" s="36"/>
      <c r="J34" s="36"/>
      <c r="K34" s="36"/>
      <c r="L34" s="37"/>
      <c r="M34" s="14"/>
      <c r="N34" s="260">
        <f t="shared" si="7"/>
        <v>5.5</v>
      </c>
      <c r="O34" s="242">
        <f t="shared" si="1"/>
        <v>479381</v>
      </c>
      <c r="P34" s="242">
        <f t="shared" si="2"/>
        <v>573600</v>
      </c>
      <c r="Q34" s="261">
        <f t="shared" si="4"/>
        <v>-1052981</v>
      </c>
      <c r="R34" s="262">
        <f t="shared" si="5"/>
        <v>-31200</v>
      </c>
      <c r="AA34" s="14"/>
      <c r="AM34" s="14"/>
    </row>
    <row r="35" spans="1:39" x14ac:dyDescent="0.3">
      <c r="A35" s="38"/>
      <c r="B35" s="39"/>
      <c r="C35" s="36" t="s">
        <v>603</v>
      </c>
      <c r="D35" s="36"/>
      <c r="E35" s="36"/>
      <c r="F35" s="36"/>
      <c r="G35" s="36"/>
      <c r="H35" s="36"/>
      <c r="I35" s="36"/>
      <c r="J35" s="36"/>
      <c r="K35" s="36"/>
      <c r="L35" s="37"/>
      <c r="M35" s="14"/>
      <c r="N35" s="260">
        <f t="shared" si="7"/>
        <v>6.5</v>
      </c>
      <c r="O35" s="242">
        <f t="shared" si="1"/>
        <v>479381</v>
      </c>
      <c r="P35" s="242">
        <f t="shared" si="2"/>
        <v>586200</v>
      </c>
      <c r="Q35" s="261">
        <f t="shared" si="4"/>
        <v>-1065581</v>
      </c>
      <c r="R35" s="262">
        <f t="shared" si="5"/>
        <v>-12600</v>
      </c>
      <c r="AA35" s="14"/>
      <c r="AB35" s="13"/>
      <c r="AM35" s="14"/>
    </row>
    <row r="36" spans="1:39" x14ac:dyDescent="0.3">
      <c r="A36" s="4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14"/>
      <c r="N36" s="263">
        <f t="shared" si="7"/>
        <v>7.5</v>
      </c>
      <c r="O36" s="264">
        <f t="shared" si="1"/>
        <v>479381</v>
      </c>
      <c r="P36" s="264">
        <f t="shared" si="2"/>
        <v>600000</v>
      </c>
      <c r="Q36" s="265">
        <f t="shared" si="4"/>
        <v>-1079381</v>
      </c>
      <c r="R36" s="266">
        <f t="shared" si="5"/>
        <v>-13800</v>
      </c>
      <c r="W36" s="13"/>
      <c r="X36" s="13"/>
      <c r="Y36" s="13"/>
      <c r="Z36" s="13"/>
      <c r="AA36" s="14"/>
      <c r="AB36" s="13"/>
      <c r="AM36" s="14"/>
    </row>
    <row r="37" spans="1:39" x14ac:dyDescent="0.3">
      <c r="A37" s="4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14"/>
      <c r="W37" s="13"/>
      <c r="X37" s="13"/>
      <c r="Y37" s="13"/>
      <c r="Z37" s="13"/>
      <c r="AA37" s="14"/>
      <c r="AB37" s="13"/>
      <c r="AM37" s="14"/>
    </row>
    <row r="38" spans="1:39" x14ac:dyDescent="0.3">
      <c r="A38" s="35" t="s">
        <v>529</v>
      </c>
      <c r="B38" s="36"/>
      <c r="C38" s="36" t="s">
        <v>530</v>
      </c>
      <c r="D38" s="36"/>
      <c r="E38" s="36"/>
      <c r="F38" s="36"/>
      <c r="G38" s="36"/>
      <c r="H38" s="36"/>
      <c r="I38" s="36"/>
      <c r="J38" s="36"/>
      <c r="K38" s="36"/>
      <c r="L38" s="37"/>
      <c r="M38" s="14"/>
      <c r="N38" t="s">
        <v>599</v>
      </c>
      <c r="U38" s="13"/>
      <c r="V38" s="13"/>
      <c r="W38" s="13"/>
      <c r="X38" s="13"/>
      <c r="Y38" s="13"/>
      <c r="Z38" s="13"/>
      <c r="AA38" s="14"/>
      <c r="AB38" s="13"/>
      <c r="AM38" s="14"/>
    </row>
    <row r="39" spans="1:39" ht="15" thickBot="1" x14ac:dyDescent="0.35">
      <c r="A39" s="53"/>
      <c r="B39" s="54"/>
      <c r="C39" s="54" t="s">
        <v>532</v>
      </c>
      <c r="D39" s="54"/>
      <c r="E39" s="54"/>
      <c r="F39" s="54"/>
      <c r="G39" s="54"/>
      <c r="H39" s="54"/>
      <c r="I39" s="54"/>
      <c r="J39" s="54"/>
      <c r="K39" s="54"/>
      <c r="L39" s="55"/>
      <c r="M39" s="14"/>
      <c r="N39" t="s">
        <v>600</v>
      </c>
      <c r="U39" s="13"/>
      <c r="V39" s="13"/>
      <c r="W39" s="13"/>
      <c r="X39" s="13"/>
      <c r="Y39" s="13"/>
      <c r="Z39" s="13"/>
      <c r="AA39" s="14"/>
      <c r="AB39" s="13"/>
      <c r="AM39" s="14"/>
    </row>
    <row r="40" spans="1:39" x14ac:dyDescent="0.3">
      <c r="M40" s="14"/>
      <c r="N40" t="s">
        <v>602</v>
      </c>
      <c r="U40" s="13"/>
      <c r="V40" s="13"/>
      <c r="W40" s="13"/>
      <c r="X40" s="13"/>
      <c r="Y40" s="13"/>
      <c r="Z40" s="13"/>
      <c r="AA40" s="14"/>
      <c r="AB40" s="13"/>
      <c r="AM40" s="14"/>
    </row>
    <row r="41" spans="1:39" x14ac:dyDescent="0.3">
      <c r="M41" s="14"/>
      <c r="N41" t="s">
        <v>528</v>
      </c>
      <c r="U41" s="13"/>
      <c r="V41" s="13"/>
      <c r="W41" s="13"/>
      <c r="X41" s="13"/>
      <c r="Y41" s="13"/>
      <c r="Z41" s="13"/>
      <c r="AA41" s="14"/>
      <c r="AB41" s="13"/>
      <c r="AM41" s="14"/>
    </row>
    <row r="42" spans="1:39" x14ac:dyDescent="0.3">
      <c r="M42" s="14"/>
      <c r="U42" s="13"/>
      <c r="V42" s="13"/>
      <c r="W42" s="13"/>
      <c r="X42" s="13"/>
      <c r="Y42" s="13"/>
      <c r="Z42" s="13"/>
      <c r="AA42" s="14"/>
      <c r="AB42" s="13"/>
      <c r="AM42" s="14"/>
    </row>
    <row r="43" spans="1:39" x14ac:dyDescent="0.3">
      <c r="M43" s="14"/>
      <c r="N43" t="s">
        <v>604</v>
      </c>
      <c r="U43" s="13"/>
      <c r="V43" s="13"/>
      <c r="W43" s="13"/>
      <c r="X43" s="13"/>
      <c r="Y43" s="13"/>
      <c r="Z43" s="13"/>
      <c r="AA43" s="14"/>
      <c r="AB43" s="13"/>
      <c r="AM43" s="14"/>
    </row>
    <row r="44" spans="1:39" x14ac:dyDescent="0.3">
      <c r="M44" s="14"/>
      <c r="U44" s="13"/>
      <c r="V44" s="13"/>
      <c r="W44" s="13"/>
      <c r="X44" s="13"/>
      <c r="Y44" s="13"/>
      <c r="Z44" s="13"/>
      <c r="AA44" s="14"/>
      <c r="AB44" s="13"/>
      <c r="AM44" s="14"/>
    </row>
    <row r="45" spans="1:39" x14ac:dyDescent="0.3">
      <c r="M45" s="14"/>
      <c r="N45" s="198" t="s">
        <v>534</v>
      </c>
      <c r="U45" s="13"/>
      <c r="V45" s="13"/>
      <c r="W45" s="13"/>
      <c r="X45" s="13"/>
      <c r="Y45" s="13"/>
      <c r="Z45" s="13"/>
      <c r="AA45" s="14"/>
      <c r="AB45" s="13"/>
      <c r="AM45" s="14"/>
    </row>
    <row r="46" spans="1:39" x14ac:dyDescent="0.3">
      <c r="M46" s="14"/>
      <c r="N46" t="s">
        <v>535</v>
      </c>
      <c r="U46" s="13"/>
      <c r="V46" s="13"/>
      <c r="W46" s="13"/>
      <c r="X46" s="13"/>
      <c r="Y46" s="13"/>
      <c r="Z46" s="13"/>
      <c r="AA46" s="14"/>
      <c r="AB46" s="13"/>
      <c r="AM46" s="14"/>
    </row>
    <row r="47" spans="1:39" x14ac:dyDescent="0.3">
      <c r="M47" s="14"/>
      <c r="U47" s="13"/>
      <c r="V47" s="13"/>
      <c r="W47" s="13"/>
      <c r="X47" s="13"/>
      <c r="Y47" s="13"/>
      <c r="Z47" s="13"/>
      <c r="AA47" s="14"/>
      <c r="AB47" s="13"/>
      <c r="AM47" s="14"/>
    </row>
    <row r="48" spans="1:39" x14ac:dyDescent="0.3">
      <c r="M48" s="14"/>
      <c r="N48" s="198" t="s">
        <v>475</v>
      </c>
      <c r="Y48" s="13"/>
      <c r="Z48" s="13"/>
      <c r="AA48" s="14"/>
      <c r="AB48" s="13"/>
      <c r="AM48" s="14"/>
    </row>
    <row r="49" spans="13:39" x14ac:dyDescent="0.3">
      <c r="M49" s="14"/>
      <c r="O49" s="2" t="s">
        <v>477</v>
      </c>
      <c r="P49" s="2"/>
      <c r="Q49" s="2"/>
      <c r="R49" s="2"/>
      <c r="S49" s="2"/>
      <c r="T49" s="2"/>
      <c r="U49" s="2"/>
      <c r="Y49" s="13"/>
      <c r="Z49" s="13"/>
      <c r="AA49" s="14"/>
      <c r="AB49" s="13"/>
      <c r="AM49" s="14"/>
    </row>
    <row r="50" spans="13:39" x14ac:dyDescent="0.3">
      <c r="N50" s="276"/>
      <c r="O50" s="277" t="s">
        <v>547</v>
      </c>
      <c r="P50" s="277" t="s">
        <v>548</v>
      </c>
      <c r="Q50" s="277" t="s">
        <v>549</v>
      </c>
      <c r="R50" s="277" t="s">
        <v>550</v>
      </c>
      <c r="S50" s="277" t="s">
        <v>551</v>
      </c>
      <c r="T50" s="277" t="s">
        <v>552</v>
      </c>
      <c r="U50" s="277" t="s">
        <v>553</v>
      </c>
      <c r="V50" s="277" t="s">
        <v>554</v>
      </c>
      <c r="W50" s="277" t="s">
        <v>555</v>
      </c>
      <c r="X50" s="278" t="s">
        <v>556</v>
      </c>
    </row>
    <row r="51" spans="13:39" x14ac:dyDescent="0.3">
      <c r="N51" s="279" t="s">
        <v>536</v>
      </c>
      <c r="O51" s="174"/>
      <c r="P51" s="174" t="s">
        <v>607</v>
      </c>
      <c r="Q51" s="174" t="s">
        <v>538</v>
      </c>
      <c r="R51" s="174" t="s">
        <v>541</v>
      </c>
      <c r="S51" s="174" t="s">
        <v>308</v>
      </c>
      <c r="T51" s="174" t="s">
        <v>335</v>
      </c>
      <c r="U51" s="174" t="s">
        <v>543</v>
      </c>
      <c r="V51" s="174"/>
      <c r="W51" s="174"/>
      <c r="X51" s="280" t="s">
        <v>546</v>
      </c>
    </row>
    <row r="52" spans="13:39" x14ac:dyDescent="0.3">
      <c r="N52" s="159" t="s">
        <v>537</v>
      </c>
      <c r="O52" s="281" t="s">
        <v>335</v>
      </c>
      <c r="P52" s="281" t="s">
        <v>606</v>
      </c>
      <c r="Q52" s="281" t="s">
        <v>539</v>
      </c>
      <c r="R52" s="281" t="s">
        <v>539</v>
      </c>
      <c r="S52" s="281" t="s">
        <v>488</v>
      </c>
      <c r="T52" s="281" t="s">
        <v>542</v>
      </c>
      <c r="U52" s="281" t="s">
        <v>544</v>
      </c>
      <c r="V52" s="281" t="s">
        <v>492</v>
      </c>
      <c r="W52" s="281" t="s">
        <v>545</v>
      </c>
      <c r="X52" s="160" t="s">
        <v>545</v>
      </c>
    </row>
    <row r="53" spans="13:39" x14ac:dyDescent="0.3">
      <c r="N53" s="256">
        <v>0</v>
      </c>
      <c r="O53" s="257">
        <f>$O$12</f>
        <v>479381</v>
      </c>
      <c r="P53" s="257">
        <v>0</v>
      </c>
      <c r="Q53" s="257">
        <v>0</v>
      </c>
      <c r="R53" s="257">
        <f t="shared" ref="R53:R64" si="8">P53+Q53</f>
        <v>0</v>
      </c>
      <c r="S53" s="257">
        <f t="shared" ref="S53:S64" si="9">$C$8</f>
        <v>55000</v>
      </c>
      <c r="T53" s="257">
        <f t="shared" ref="T53:T64" si="10">$C$12*O53</f>
        <v>14381.43</v>
      </c>
      <c r="U53" s="257">
        <f>$C$9*J21</f>
        <v>3750</v>
      </c>
      <c r="V53" s="257">
        <v>0</v>
      </c>
      <c r="W53" s="258">
        <f>O53+P53-R53-S53-T53-U53-V53</f>
        <v>406249.57</v>
      </c>
      <c r="X53" s="270">
        <f>W53</f>
        <v>406249.57</v>
      </c>
    </row>
    <row r="54" spans="13:39" x14ac:dyDescent="0.3">
      <c r="N54" s="260">
        <f>N53+0.25</f>
        <v>0.25</v>
      </c>
      <c r="O54" s="242">
        <f t="shared" ref="O54:O64" si="11">$O$12</f>
        <v>479381</v>
      </c>
      <c r="P54" s="242">
        <f t="shared" ref="P54:P64" si="12">F22*$C$6</f>
        <v>12600</v>
      </c>
      <c r="Q54" s="242">
        <f t="shared" ref="Q54:Q64" si="13">$C$7*G22</f>
        <v>300</v>
      </c>
      <c r="R54" s="242">
        <f t="shared" si="8"/>
        <v>12900</v>
      </c>
      <c r="S54" s="242">
        <f t="shared" si="9"/>
        <v>55000</v>
      </c>
      <c r="T54" s="242">
        <f t="shared" si="10"/>
        <v>14381.43</v>
      </c>
      <c r="U54" s="242">
        <f>$C$9*J22</f>
        <v>6570</v>
      </c>
      <c r="V54" s="242">
        <f t="shared" ref="V54:V64" si="14">($C$6+$C$7)*$C$11*K22</f>
        <v>6570</v>
      </c>
      <c r="W54" s="261">
        <f t="shared" ref="W54:W64" si="15">O54+P54-R54-S54-T54-U54-V54</f>
        <v>396559.57</v>
      </c>
      <c r="X54" s="262">
        <f>W54-W53</f>
        <v>-9690</v>
      </c>
    </row>
    <row r="55" spans="13:39" x14ac:dyDescent="0.3">
      <c r="N55" s="260">
        <f t="shared" ref="N55:N57" si="16">N54+0.25</f>
        <v>0.5</v>
      </c>
      <c r="O55" s="242">
        <f t="shared" si="11"/>
        <v>479381</v>
      </c>
      <c r="P55" s="242">
        <f t="shared" si="12"/>
        <v>43200</v>
      </c>
      <c r="Q55" s="242">
        <f t="shared" si="13"/>
        <v>1500</v>
      </c>
      <c r="R55" s="242">
        <f t="shared" si="8"/>
        <v>44700</v>
      </c>
      <c r="S55" s="242">
        <f t="shared" si="9"/>
        <v>55000</v>
      </c>
      <c r="T55" s="242">
        <f t="shared" si="10"/>
        <v>14381.43</v>
      </c>
      <c r="U55" s="242">
        <f>$C$9*J23</f>
        <v>9375</v>
      </c>
      <c r="V55" s="242">
        <f t="shared" si="14"/>
        <v>14580</v>
      </c>
      <c r="W55" s="261">
        <f t="shared" si="15"/>
        <v>384544.57</v>
      </c>
      <c r="X55" s="262">
        <f t="shared" ref="X55:X64" si="17">W55-W54</f>
        <v>-12015</v>
      </c>
    </row>
    <row r="56" spans="13:39" x14ac:dyDescent="0.3">
      <c r="N56" s="260">
        <f t="shared" si="16"/>
        <v>0.75</v>
      </c>
      <c r="O56" s="242">
        <f t="shared" si="11"/>
        <v>479381</v>
      </c>
      <c r="P56" s="242">
        <f t="shared" si="12"/>
        <v>87000</v>
      </c>
      <c r="Q56" s="242">
        <f t="shared" si="13"/>
        <v>6000</v>
      </c>
      <c r="R56" s="242">
        <f t="shared" si="8"/>
        <v>93000</v>
      </c>
      <c r="S56" s="242">
        <f t="shared" si="9"/>
        <v>55000</v>
      </c>
      <c r="T56" s="242">
        <f t="shared" si="10"/>
        <v>14381.43</v>
      </c>
      <c r="U56" s="242">
        <f>$C$9*J24</f>
        <v>12195</v>
      </c>
      <c r="V56" s="242">
        <f t="shared" si="14"/>
        <v>23850</v>
      </c>
      <c r="W56" s="261">
        <f t="shared" si="15"/>
        <v>367954.57</v>
      </c>
      <c r="X56" s="262">
        <f t="shared" si="17"/>
        <v>-16590</v>
      </c>
    </row>
    <row r="57" spans="13:39" x14ac:dyDescent="0.3">
      <c r="N57" s="260">
        <f t="shared" si="16"/>
        <v>1</v>
      </c>
      <c r="O57" s="242">
        <f t="shared" si="11"/>
        <v>479381</v>
      </c>
      <c r="P57" s="242">
        <f t="shared" si="12"/>
        <v>140400</v>
      </c>
      <c r="Q57" s="242">
        <f t="shared" si="13"/>
        <v>15000</v>
      </c>
      <c r="R57" s="242">
        <f t="shared" si="8"/>
        <v>155400</v>
      </c>
      <c r="S57" s="242">
        <f t="shared" si="9"/>
        <v>55000</v>
      </c>
      <c r="T57" s="242">
        <f t="shared" si="10"/>
        <v>14381.43</v>
      </c>
      <c r="U57" s="242">
        <f t="shared" ref="U57:U64" si="18">$C$9*$J$25</f>
        <v>15000</v>
      </c>
      <c r="V57" s="242">
        <f t="shared" si="14"/>
        <v>34200</v>
      </c>
      <c r="W57" s="261">
        <f t="shared" si="15"/>
        <v>345799.57</v>
      </c>
      <c r="X57" s="262">
        <f t="shared" si="17"/>
        <v>-22155</v>
      </c>
    </row>
    <row r="58" spans="13:39" x14ac:dyDescent="0.3">
      <c r="N58" s="260">
        <f>N57+0.5</f>
        <v>1.5</v>
      </c>
      <c r="O58" s="242">
        <f t="shared" si="11"/>
        <v>479381</v>
      </c>
      <c r="P58" s="242">
        <f t="shared" si="12"/>
        <v>245399.99999999997</v>
      </c>
      <c r="Q58" s="242">
        <f t="shared" si="13"/>
        <v>45000</v>
      </c>
      <c r="R58" s="242">
        <f t="shared" si="8"/>
        <v>290400</v>
      </c>
      <c r="S58" s="242">
        <f t="shared" si="9"/>
        <v>55000</v>
      </c>
      <c r="T58" s="242">
        <f t="shared" si="10"/>
        <v>14381.43</v>
      </c>
      <c r="U58" s="242">
        <f t="shared" si="18"/>
        <v>15000</v>
      </c>
      <c r="V58" s="242">
        <f t="shared" si="14"/>
        <v>44280</v>
      </c>
      <c r="W58" s="261">
        <f t="shared" si="15"/>
        <v>305719.57</v>
      </c>
      <c r="X58" s="262">
        <f t="shared" si="17"/>
        <v>-40080</v>
      </c>
    </row>
    <row r="59" spans="13:39" x14ac:dyDescent="0.3">
      <c r="N59" s="260">
        <f>N58+1</f>
        <v>2.5</v>
      </c>
      <c r="O59" s="242">
        <f t="shared" si="11"/>
        <v>479381</v>
      </c>
      <c r="P59" s="242">
        <f t="shared" si="12"/>
        <v>381000</v>
      </c>
      <c r="Q59" s="242">
        <f t="shared" si="13"/>
        <v>105000</v>
      </c>
      <c r="R59" s="242">
        <f t="shared" si="8"/>
        <v>486000</v>
      </c>
      <c r="S59" s="242">
        <f t="shared" si="9"/>
        <v>55000</v>
      </c>
      <c r="T59" s="242">
        <f t="shared" si="10"/>
        <v>14381.43</v>
      </c>
      <c r="U59" s="242">
        <f t="shared" si="18"/>
        <v>15000</v>
      </c>
      <c r="V59" s="242">
        <f t="shared" si="14"/>
        <v>58950</v>
      </c>
      <c r="W59" s="261">
        <f t="shared" si="15"/>
        <v>231049.57</v>
      </c>
      <c r="X59" s="262">
        <f t="shared" si="17"/>
        <v>-74670</v>
      </c>
    </row>
    <row r="60" spans="13:39" x14ac:dyDescent="0.3">
      <c r="N60" s="260">
        <f t="shared" ref="N60:N64" si="19">N59+1</f>
        <v>3.5</v>
      </c>
      <c r="O60" s="242">
        <f t="shared" si="11"/>
        <v>479381</v>
      </c>
      <c r="P60" s="242">
        <f t="shared" si="12"/>
        <v>478800</v>
      </c>
      <c r="Q60" s="242">
        <f t="shared" si="13"/>
        <v>180000</v>
      </c>
      <c r="R60" s="242">
        <f t="shared" si="8"/>
        <v>658800</v>
      </c>
      <c r="S60" s="242">
        <f t="shared" si="9"/>
        <v>55000</v>
      </c>
      <c r="T60" s="242">
        <f t="shared" si="10"/>
        <v>14381.43</v>
      </c>
      <c r="U60" s="242">
        <f t="shared" si="18"/>
        <v>15000</v>
      </c>
      <c r="V60" s="242">
        <f t="shared" si="14"/>
        <v>71910</v>
      </c>
      <c r="W60" s="261">
        <f t="shared" si="15"/>
        <v>143089.57</v>
      </c>
      <c r="X60" s="262">
        <f t="shared" si="17"/>
        <v>-87960</v>
      </c>
    </row>
    <row r="61" spans="13:39" x14ac:dyDescent="0.3">
      <c r="N61" s="260">
        <f t="shared" si="19"/>
        <v>4.5</v>
      </c>
      <c r="O61" s="242">
        <f t="shared" si="11"/>
        <v>479381</v>
      </c>
      <c r="P61" s="242">
        <f t="shared" si="12"/>
        <v>542400</v>
      </c>
      <c r="Q61" s="242">
        <f t="shared" si="13"/>
        <v>240000</v>
      </c>
      <c r="R61" s="242">
        <f t="shared" si="8"/>
        <v>782400</v>
      </c>
      <c r="S61" s="242">
        <f t="shared" si="9"/>
        <v>55000</v>
      </c>
      <c r="T61" s="242">
        <f t="shared" si="10"/>
        <v>14381.43</v>
      </c>
      <c r="U61" s="242">
        <f t="shared" si="18"/>
        <v>15000</v>
      </c>
      <c r="V61" s="242">
        <f t="shared" si="14"/>
        <v>81180</v>
      </c>
      <c r="W61" s="261">
        <f t="shared" si="15"/>
        <v>73819.570000000007</v>
      </c>
      <c r="X61" s="262">
        <f t="shared" si="17"/>
        <v>-69270</v>
      </c>
    </row>
    <row r="62" spans="13:39" x14ac:dyDescent="0.3">
      <c r="N62" s="260">
        <f t="shared" si="19"/>
        <v>5.5</v>
      </c>
      <c r="O62" s="242">
        <f t="shared" si="11"/>
        <v>479381</v>
      </c>
      <c r="P62" s="242">
        <f t="shared" si="12"/>
        <v>573600</v>
      </c>
      <c r="Q62" s="242">
        <f t="shared" si="13"/>
        <v>270000</v>
      </c>
      <c r="R62" s="242">
        <f t="shared" si="8"/>
        <v>843600</v>
      </c>
      <c r="S62" s="242">
        <f t="shared" si="9"/>
        <v>55000</v>
      </c>
      <c r="T62" s="242">
        <f t="shared" si="10"/>
        <v>14381.43</v>
      </c>
      <c r="U62" s="242">
        <f t="shared" si="18"/>
        <v>15000</v>
      </c>
      <c r="V62" s="242">
        <f t="shared" si="14"/>
        <v>85770</v>
      </c>
      <c r="W62" s="261">
        <f t="shared" si="15"/>
        <v>39229.570000000007</v>
      </c>
      <c r="X62" s="262">
        <f t="shared" si="17"/>
        <v>-34590</v>
      </c>
    </row>
    <row r="63" spans="13:39" x14ac:dyDescent="0.3">
      <c r="N63" s="260">
        <f t="shared" si="19"/>
        <v>6.5</v>
      </c>
      <c r="O63" s="242">
        <f t="shared" si="11"/>
        <v>479381</v>
      </c>
      <c r="P63" s="242">
        <f t="shared" si="12"/>
        <v>586200</v>
      </c>
      <c r="Q63" s="242">
        <f t="shared" si="13"/>
        <v>285000</v>
      </c>
      <c r="R63" s="242">
        <f t="shared" si="8"/>
        <v>871200</v>
      </c>
      <c r="S63" s="242">
        <f t="shared" si="9"/>
        <v>55000</v>
      </c>
      <c r="T63" s="242">
        <f t="shared" si="10"/>
        <v>14381.43</v>
      </c>
      <c r="U63" s="242">
        <f t="shared" si="18"/>
        <v>15000</v>
      </c>
      <c r="V63" s="242">
        <f t="shared" si="14"/>
        <v>87840</v>
      </c>
      <c r="W63" s="261">
        <f t="shared" si="15"/>
        <v>22159.570000000007</v>
      </c>
      <c r="X63" s="262">
        <f t="shared" si="17"/>
        <v>-17070</v>
      </c>
    </row>
    <row r="64" spans="13:39" x14ac:dyDescent="0.3">
      <c r="N64" s="263">
        <f t="shared" si="19"/>
        <v>7.5</v>
      </c>
      <c r="O64" s="264">
        <f t="shared" si="11"/>
        <v>479381</v>
      </c>
      <c r="P64" s="264">
        <f t="shared" si="12"/>
        <v>600000</v>
      </c>
      <c r="Q64" s="264">
        <f t="shared" si="13"/>
        <v>300000</v>
      </c>
      <c r="R64" s="264">
        <f t="shared" si="8"/>
        <v>900000</v>
      </c>
      <c r="S64" s="264">
        <f t="shared" si="9"/>
        <v>55000</v>
      </c>
      <c r="T64" s="264">
        <f t="shared" si="10"/>
        <v>14381.43</v>
      </c>
      <c r="U64" s="264">
        <f t="shared" si="18"/>
        <v>15000</v>
      </c>
      <c r="V64" s="264">
        <f t="shared" si="14"/>
        <v>90000</v>
      </c>
      <c r="W64" s="265">
        <f t="shared" si="15"/>
        <v>4999.570000000007</v>
      </c>
      <c r="X64" s="266">
        <f t="shared" si="17"/>
        <v>-17160</v>
      </c>
    </row>
    <row r="65" spans="14:19" x14ac:dyDescent="0.3">
      <c r="N65" s="13"/>
      <c r="P65" s="242"/>
    </row>
    <row r="66" spans="14:19" x14ac:dyDescent="0.3">
      <c r="N66" s="13" t="s">
        <v>589</v>
      </c>
      <c r="S66" s="267" t="str">
        <f>"(16) = (11) * "&amp;TEXT(C12,"0.0%")&amp; " (Premium tax rate)"</f>
        <v>(16) = (11) * 3.0% (Premium tax rate)</v>
      </c>
    </row>
    <row r="67" spans="14:19" x14ac:dyDescent="0.3">
      <c r="N67" s="13" t="s">
        <v>502</v>
      </c>
      <c r="S67" t="s">
        <v>503</v>
      </c>
    </row>
    <row r="68" spans="14:19" x14ac:dyDescent="0.3">
      <c r="N68" s="13" t="s">
        <v>505</v>
      </c>
      <c r="S68" t="s">
        <v>506</v>
      </c>
    </row>
    <row r="69" spans="14:19" x14ac:dyDescent="0.3">
      <c r="N69" s="13" t="s">
        <v>507</v>
      </c>
      <c r="S69" t="s">
        <v>592</v>
      </c>
    </row>
    <row r="70" spans="14:19" x14ac:dyDescent="0.3">
      <c r="N70" s="13" t="s">
        <v>509</v>
      </c>
      <c r="S70" t="s">
        <v>510</v>
      </c>
    </row>
    <row r="71" spans="14:19" x14ac:dyDescent="0.3">
      <c r="N71" s="13"/>
    </row>
    <row r="72" spans="14:19" x14ac:dyDescent="0.3">
      <c r="N72" s="13" t="s">
        <v>514</v>
      </c>
      <c r="O72" t="s">
        <v>593</v>
      </c>
    </row>
    <row r="73" spans="14:19" x14ac:dyDescent="0.3">
      <c r="N73" s="13"/>
      <c r="O73" t="s">
        <v>594</v>
      </c>
    </row>
    <row r="74" spans="14:19" x14ac:dyDescent="0.3">
      <c r="N74" s="13"/>
      <c r="O74" t="s">
        <v>595</v>
      </c>
    </row>
    <row r="75" spans="14:19" x14ac:dyDescent="0.3">
      <c r="N75" s="13"/>
      <c r="O75" t="s">
        <v>596</v>
      </c>
    </row>
    <row r="76" spans="14:19" x14ac:dyDescent="0.3">
      <c r="N76" s="13"/>
      <c r="O76" t="s">
        <v>597</v>
      </c>
    </row>
    <row r="77" spans="14:19" x14ac:dyDescent="0.3">
      <c r="N77" s="13"/>
      <c r="O77" t="s">
        <v>598</v>
      </c>
    </row>
    <row r="126" spans="13:27" x14ac:dyDescent="0.3">
      <c r="M126" s="14"/>
      <c r="AA126" s="14"/>
    </row>
    <row r="127" spans="13:27" x14ac:dyDescent="0.3">
      <c r="M127" s="14"/>
      <c r="AA127" s="14"/>
    </row>
    <row r="128" spans="13:27" x14ac:dyDescent="0.3">
      <c r="M128" s="14"/>
      <c r="AA128" s="14"/>
    </row>
    <row r="129" spans="13:27" x14ac:dyDescent="0.3">
      <c r="M129" s="14"/>
      <c r="AA129" s="14"/>
    </row>
    <row r="130" spans="13:27" x14ac:dyDescent="0.3">
      <c r="M130" s="14"/>
      <c r="AA130" s="14"/>
    </row>
    <row r="131" spans="13:27" x14ac:dyDescent="0.3">
      <c r="M131" s="14"/>
      <c r="AA131" s="14"/>
    </row>
    <row r="132" spans="13:27" x14ac:dyDescent="0.3">
      <c r="M132" s="14"/>
      <c r="AA132" s="14"/>
    </row>
    <row r="133" spans="13:27" x14ac:dyDescent="0.3">
      <c r="M133" s="14"/>
      <c r="AA133" s="14"/>
    </row>
    <row r="134" spans="13:27" x14ac:dyDescent="0.3">
      <c r="M134" s="14"/>
      <c r="AA134" s="14"/>
    </row>
    <row r="135" spans="13:27" x14ac:dyDescent="0.3">
      <c r="M135" s="14"/>
      <c r="AA135" s="14"/>
    </row>
    <row r="136" spans="13:27" x14ac:dyDescent="0.3">
      <c r="M136" s="14"/>
      <c r="AA136" s="14"/>
    </row>
    <row r="137" spans="13:27" x14ac:dyDescent="0.3">
      <c r="M137" s="14"/>
      <c r="AA137" s="14"/>
    </row>
    <row r="138" spans="13:27" x14ac:dyDescent="0.3">
      <c r="M138" s="14"/>
      <c r="AA138" s="14"/>
    </row>
    <row r="139" spans="13:27" x14ac:dyDescent="0.3">
      <c r="M139" s="14"/>
      <c r="AA139" s="14"/>
    </row>
    <row r="140" spans="13:27" x14ac:dyDescent="0.3">
      <c r="M140" s="14"/>
      <c r="AA140" s="14"/>
    </row>
    <row r="141" spans="13:27" x14ac:dyDescent="0.3">
      <c r="M141" s="14"/>
      <c r="AA141" s="14"/>
    </row>
    <row r="142" spans="13:27" x14ac:dyDescent="0.3">
      <c r="M142" s="14"/>
      <c r="AA142" s="14"/>
    </row>
    <row r="143" spans="13:27" x14ac:dyDescent="0.3">
      <c r="M143" s="14"/>
      <c r="AA143" s="14"/>
    </row>
    <row r="144" spans="13:27" x14ac:dyDescent="0.3">
      <c r="M144" s="14"/>
      <c r="AA144" s="14"/>
    </row>
    <row r="145" spans="13:27" x14ac:dyDescent="0.3">
      <c r="M145" s="14"/>
      <c r="AA145" s="14"/>
    </row>
    <row r="146" spans="13:27" x14ac:dyDescent="0.3">
      <c r="M146" s="14"/>
      <c r="AA146" s="14"/>
    </row>
    <row r="147" spans="13:27" x14ac:dyDescent="0.3">
      <c r="M147" s="14"/>
      <c r="AA147" s="14"/>
    </row>
    <row r="148" spans="13:27" x14ac:dyDescent="0.3">
      <c r="M148" s="14"/>
      <c r="AA148" s="14"/>
    </row>
    <row r="149" spans="13:27" x14ac:dyDescent="0.3">
      <c r="M149" s="14"/>
      <c r="AA149" s="14"/>
    </row>
    <row r="150" spans="13:27" x14ac:dyDescent="0.3">
      <c r="M150" s="14"/>
      <c r="AA150" s="14"/>
    </row>
    <row r="151" spans="13:27" x14ac:dyDescent="0.3">
      <c r="M151" s="14"/>
      <c r="AA151" s="14"/>
    </row>
    <row r="152" spans="13:27" x14ac:dyDescent="0.3">
      <c r="M152" s="14"/>
      <c r="AA152" s="14"/>
    </row>
    <row r="153" spans="13:27" x14ac:dyDescent="0.3">
      <c r="M153" s="14"/>
      <c r="AA153" s="14"/>
    </row>
    <row r="154" spans="13:27" x14ac:dyDescent="0.3">
      <c r="M154" s="14"/>
      <c r="AA154" s="14"/>
    </row>
    <row r="155" spans="13:27" x14ac:dyDescent="0.3">
      <c r="M155" s="14"/>
      <c r="AA155" s="14"/>
    </row>
    <row r="156" spans="13:27" x14ac:dyDescent="0.3">
      <c r="M156" s="14"/>
      <c r="AA156" s="14"/>
    </row>
    <row r="157" spans="13:27" x14ac:dyDescent="0.3">
      <c r="M157" s="14"/>
      <c r="AA157" s="14"/>
    </row>
    <row r="158" spans="13:27" x14ac:dyDescent="0.3">
      <c r="M158" s="14"/>
      <c r="AA158" s="14"/>
    </row>
    <row r="159" spans="13:27" x14ac:dyDescent="0.3">
      <c r="M159" s="14"/>
      <c r="AA159" s="14"/>
    </row>
    <row r="160" spans="13:27" x14ac:dyDescent="0.3">
      <c r="M160" s="14"/>
      <c r="AA160" s="14"/>
    </row>
    <row r="161" spans="1:27" x14ac:dyDescent="0.3">
      <c r="M161" s="14"/>
      <c r="AA161" s="14"/>
    </row>
    <row r="162" spans="1:27" x14ac:dyDescent="0.3">
      <c r="M162" s="14"/>
      <c r="AA162" s="14"/>
    </row>
    <row r="163" spans="1:27" x14ac:dyDescent="0.3">
      <c r="M163" s="14"/>
      <c r="AA163" s="14"/>
    </row>
    <row r="164" spans="1:27" x14ac:dyDescent="0.3">
      <c r="M164" s="14"/>
      <c r="AA164" s="14"/>
    </row>
    <row r="165" spans="1:27" x14ac:dyDescent="0.3">
      <c r="M165" s="14"/>
      <c r="AA165" s="14"/>
    </row>
    <row r="166" spans="1:27" x14ac:dyDescent="0.3">
      <c r="M166" s="14"/>
      <c r="AA166" s="14"/>
    </row>
    <row r="167" spans="1:27" x14ac:dyDescent="0.3">
      <c r="M167" s="14"/>
      <c r="AA167" s="14"/>
    </row>
    <row r="168" spans="1:27" x14ac:dyDescent="0.3">
      <c r="M168" s="14"/>
      <c r="AA168" s="14"/>
    </row>
    <row r="169" spans="1:27" x14ac:dyDescent="0.3">
      <c r="M169" s="14"/>
      <c r="AA169" s="14"/>
    </row>
    <row r="170" spans="1:27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14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14"/>
    </row>
    <row r="171" spans="1:27" x14ac:dyDescent="0.3">
      <c r="M171" s="14"/>
      <c r="AA171" s="14"/>
    </row>
    <row r="172" spans="1:27" x14ac:dyDescent="0.3">
      <c r="M172" s="14"/>
      <c r="AA172" s="14"/>
    </row>
    <row r="173" spans="1:27" x14ac:dyDescent="0.3">
      <c r="M173" s="14"/>
      <c r="AA173" s="14"/>
    </row>
    <row r="174" spans="1:27" x14ac:dyDescent="0.3">
      <c r="M174" s="14"/>
      <c r="AA174" s="14"/>
    </row>
    <row r="175" spans="1:27" x14ac:dyDescent="0.3">
      <c r="M175" s="14"/>
      <c r="AA175" s="14"/>
    </row>
    <row r="176" spans="1:27" x14ac:dyDescent="0.3">
      <c r="M176" s="14"/>
      <c r="AA176" s="14"/>
    </row>
    <row r="177" spans="13:27" x14ac:dyDescent="0.3">
      <c r="M177" s="14"/>
      <c r="AA177" s="14"/>
    </row>
    <row r="178" spans="13:27" x14ac:dyDescent="0.3">
      <c r="M178" s="14"/>
      <c r="AA178" s="14"/>
    </row>
  </sheetData>
  <mergeCells count="1">
    <mergeCell ref="K1:L1"/>
  </mergeCells>
  <hyperlinks>
    <hyperlink ref="K1" location="TOC!A1" display="Return to TOC" xr:uid="{65D4750D-3776-4A6A-8002-819546701C29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DF29-461B-4092-8789-8EA39B49814E}">
  <sheetPr codeName="Sheet59"/>
  <dimension ref="A1:Z16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33203125" customWidth="1"/>
    <col min="4" max="4" width="21.5546875" customWidth="1"/>
    <col min="5" max="5" width="18.5546875" customWidth="1"/>
    <col min="6" max="6" width="18.109375" customWidth="1"/>
    <col min="7" max="7" width="12.5546875" bestFit="1" customWidth="1"/>
    <col min="8" max="8" width="10.109375" customWidth="1"/>
    <col min="9" max="9" width="11.109375" customWidth="1"/>
    <col min="10" max="11" width="3.6640625" customWidth="1"/>
    <col min="12" max="12" width="10.109375" customWidth="1"/>
    <col min="13" max="13" width="19.44140625" customWidth="1"/>
    <col min="14" max="14" width="15.6640625" customWidth="1"/>
    <col min="15" max="15" width="17.109375" customWidth="1"/>
    <col min="16" max="16" width="11.88671875" customWidth="1"/>
    <col min="17" max="17" width="15.6640625" customWidth="1"/>
    <col min="18" max="18" width="11.5546875" customWidth="1"/>
    <col min="19" max="22" width="5.6640625" customWidth="1"/>
    <col min="23" max="24" width="3.6640625" customWidth="1"/>
    <col min="27" max="30" width="10.6640625" customWidth="1"/>
    <col min="31" max="32" width="5.6640625" customWidth="1"/>
  </cols>
  <sheetData>
    <row r="1" spans="1:26" x14ac:dyDescent="0.3">
      <c r="A1" s="32" t="s">
        <v>137</v>
      </c>
      <c r="B1" s="33"/>
      <c r="C1" s="33" t="s">
        <v>123</v>
      </c>
      <c r="D1" s="34"/>
      <c r="E1" s="33"/>
      <c r="F1" s="33"/>
      <c r="G1" s="33"/>
      <c r="H1" s="33"/>
      <c r="I1" s="772" t="s">
        <v>199</v>
      </c>
      <c r="J1" s="773"/>
      <c r="L1" s="12" t="s">
        <v>140</v>
      </c>
      <c r="Y1" s="10"/>
    </row>
    <row r="2" spans="1:26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7"/>
      <c r="L2" t="s">
        <v>611</v>
      </c>
      <c r="Y2" s="10"/>
    </row>
    <row r="3" spans="1:26" x14ac:dyDescent="0.3">
      <c r="A3" s="35" t="s">
        <v>141</v>
      </c>
      <c r="B3" s="36"/>
      <c r="C3" s="36" t="s">
        <v>610</v>
      </c>
      <c r="D3" s="36"/>
      <c r="E3" s="36"/>
      <c r="F3" s="36"/>
      <c r="G3" s="36"/>
      <c r="H3" s="36"/>
      <c r="I3" s="36"/>
      <c r="J3" s="37"/>
      <c r="L3" t="s">
        <v>612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3"/>
      <c r="L4" t="s">
        <v>614</v>
      </c>
      <c r="Y4" s="14"/>
      <c r="Z4" s="13"/>
    </row>
    <row r="5" spans="1:26" ht="15" customHeight="1" x14ac:dyDescent="0.3">
      <c r="A5" s="41" t="s">
        <v>144</v>
      </c>
      <c r="B5" s="36"/>
      <c r="C5" s="36" t="s">
        <v>613</v>
      </c>
      <c r="D5" s="36"/>
      <c r="E5" s="36"/>
      <c r="F5" s="36"/>
      <c r="G5" s="36"/>
      <c r="H5" s="36"/>
      <c r="I5" s="36"/>
      <c r="J5" s="37"/>
      <c r="K5" s="13"/>
      <c r="V5" s="13"/>
      <c r="W5" s="13"/>
      <c r="X5" s="13"/>
      <c r="Y5" s="14"/>
      <c r="Z5" s="13"/>
    </row>
    <row r="6" spans="1:26" x14ac:dyDescent="0.3">
      <c r="A6" s="45"/>
      <c r="B6" s="36"/>
      <c r="C6" s="332">
        <v>115000</v>
      </c>
      <c r="D6" s="36" t="s">
        <v>615</v>
      </c>
      <c r="E6" s="36"/>
      <c r="F6" s="36"/>
      <c r="G6" s="36"/>
      <c r="H6" s="36"/>
      <c r="I6" s="36"/>
      <c r="J6" s="37"/>
      <c r="K6" s="13"/>
      <c r="L6" t="s">
        <v>617</v>
      </c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32">
        <v>450000</v>
      </c>
      <c r="D7" s="36" t="s">
        <v>616</v>
      </c>
      <c r="E7" s="36"/>
      <c r="F7" s="36"/>
      <c r="G7" s="36"/>
      <c r="H7" s="36"/>
      <c r="I7" s="36"/>
      <c r="J7" s="37"/>
      <c r="K7" s="13"/>
      <c r="L7" t="s">
        <v>618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/>
      <c r="D8" s="36"/>
      <c r="E8" s="36"/>
      <c r="F8" s="36"/>
      <c r="G8" s="36"/>
      <c r="H8" s="36"/>
      <c r="I8" s="36"/>
      <c r="J8" s="37"/>
      <c r="K8" s="13"/>
      <c r="V8" s="13"/>
      <c r="W8" s="13"/>
      <c r="X8" s="13"/>
      <c r="Y8" s="14"/>
      <c r="Z8" s="13"/>
    </row>
    <row r="9" spans="1:26" x14ac:dyDescent="0.3">
      <c r="A9" s="35" t="s">
        <v>173</v>
      </c>
      <c r="B9" s="39"/>
      <c r="C9" s="36" t="s">
        <v>619</v>
      </c>
      <c r="D9" s="36"/>
      <c r="E9" s="36"/>
      <c r="F9" s="36"/>
      <c r="G9" s="36"/>
      <c r="H9" s="36"/>
      <c r="I9" s="36"/>
      <c r="J9" s="37"/>
      <c r="K9" s="13"/>
      <c r="L9" t="s">
        <v>620</v>
      </c>
      <c r="V9" s="13"/>
      <c r="W9" s="13"/>
      <c r="X9" s="13"/>
      <c r="Y9" s="14"/>
      <c r="Z9" s="13"/>
    </row>
    <row r="10" spans="1:26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7"/>
      <c r="K10" s="13"/>
      <c r="R10" s="190">
        <v>0</v>
      </c>
      <c r="V10" s="13"/>
      <c r="W10" s="13"/>
      <c r="X10" s="13"/>
      <c r="Y10" s="14"/>
      <c r="Z10" s="13"/>
    </row>
    <row r="11" spans="1:26" ht="57.6" x14ac:dyDescent="0.3">
      <c r="A11" s="38"/>
      <c r="B11" s="39"/>
      <c r="C11" s="333" t="s">
        <v>621</v>
      </c>
      <c r="D11" s="334" t="s">
        <v>622</v>
      </c>
      <c r="E11" s="335" t="s">
        <v>623</v>
      </c>
      <c r="F11" s="334" t="s">
        <v>624</v>
      </c>
      <c r="G11" s="335" t="s">
        <v>625</v>
      </c>
      <c r="H11" s="334" t="s">
        <v>626</v>
      </c>
      <c r="I11" s="336" t="s">
        <v>627</v>
      </c>
      <c r="J11" s="37"/>
      <c r="K11" s="13"/>
      <c r="L11" s="86" t="str">
        <f t="shared" ref="L11:R11" si="0">C11</f>
        <v>Date</v>
      </c>
      <c r="M11" s="193" t="str">
        <f t="shared" si="0"/>
        <v>Dollars of loss on claims that are each less than $115,000
(1)</v>
      </c>
      <c r="N11" s="254" t="str">
        <f t="shared" si="0"/>
        <v>Number of claims over $115,000
(2)</v>
      </c>
      <c r="O11" s="193" t="str">
        <f t="shared" si="0"/>
        <v>Ground up loss dollars on claims over $115,000
(3)</v>
      </c>
      <c r="P11" s="254" t="str">
        <f t="shared" si="0"/>
        <v>Deductible
(4)</v>
      </c>
      <c r="Q11" s="193" t="str">
        <f t="shared" si="0"/>
        <v>Insurance payment
(5)</v>
      </c>
      <c r="R11" s="255" t="str">
        <f t="shared" si="0"/>
        <v>Cumulative Deductible
(6)</v>
      </c>
      <c r="V11" s="13"/>
      <c r="W11" s="13"/>
      <c r="X11" s="13"/>
      <c r="Y11" s="14"/>
      <c r="Z11" s="13"/>
    </row>
    <row r="12" spans="1:26" x14ac:dyDescent="0.3">
      <c r="A12" s="38"/>
      <c r="B12" s="39"/>
      <c r="C12" s="77" t="s">
        <v>628</v>
      </c>
      <c r="D12" s="97">
        <v>118500</v>
      </c>
      <c r="E12" s="181">
        <v>0</v>
      </c>
      <c r="F12" s="97">
        <v>0</v>
      </c>
      <c r="G12" s="181" t="s">
        <v>629</v>
      </c>
      <c r="H12" s="20" t="s">
        <v>629</v>
      </c>
      <c r="I12" s="337" t="s">
        <v>629</v>
      </c>
      <c r="J12" s="37"/>
      <c r="K12" s="13"/>
      <c r="L12" s="61" t="str">
        <f t="shared" ref="L12:O15" si="1">C12</f>
        <v>Q1</v>
      </c>
      <c r="M12" s="314">
        <f t="shared" si="1"/>
        <v>118500</v>
      </c>
      <c r="N12" s="315">
        <f t="shared" si="1"/>
        <v>0</v>
      </c>
      <c r="O12" s="314">
        <f t="shared" si="1"/>
        <v>0</v>
      </c>
      <c r="P12" s="316">
        <f>MIN(M12+N12*$C$6,$C$7-R10)</f>
        <v>118500</v>
      </c>
      <c r="Q12" s="317">
        <f>M12+O12-P12</f>
        <v>0</v>
      </c>
      <c r="R12" s="318">
        <f>P12+R10</f>
        <v>118500</v>
      </c>
      <c r="V12" s="13"/>
      <c r="W12" s="13"/>
      <c r="X12" s="13"/>
      <c r="Y12" s="14"/>
      <c r="Z12" s="13"/>
    </row>
    <row r="13" spans="1:26" x14ac:dyDescent="0.3">
      <c r="A13" s="38"/>
      <c r="B13" s="39"/>
      <c r="C13" s="77" t="s">
        <v>630</v>
      </c>
      <c r="D13" s="97">
        <v>125000</v>
      </c>
      <c r="E13" s="181">
        <v>2</v>
      </c>
      <c r="F13" s="97">
        <v>274000</v>
      </c>
      <c r="G13" s="181" t="s">
        <v>629</v>
      </c>
      <c r="H13" s="20" t="s">
        <v>629</v>
      </c>
      <c r="I13" s="337" t="s">
        <v>629</v>
      </c>
      <c r="J13" s="37"/>
      <c r="K13" s="13"/>
      <c r="L13" s="61" t="str">
        <f t="shared" si="1"/>
        <v>Q2</v>
      </c>
      <c r="M13" s="314">
        <f t="shared" si="1"/>
        <v>125000</v>
      </c>
      <c r="N13" s="315">
        <f t="shared" si="1"/>
        <v>2</v>
      </c>
      <c r="O13" s="314">
        <f t="shared" si="1"/>
        <v>274000</v>
      </c>
      <c r="P13" s="316">
        <f>MIN(M13+N13*$C$6,$C$7-R12)</f>
        <v>331500</v>
      </c>
      <c r="Q13" s="317">
        <f t="shared" ref="Q13:Q15" si="2">M13+O13-P13</f>
        <v>67500</v>
      </c>
      <c r="R13" s="318">
        <f>R12+P13</f>
        <v>450000</v>
      </c>
      <c r="V13" s="13"/>
      <c r="W13" s="13"/>
      <c r="X13" s="13"/>
      <c r="Y13" s="14"/>
      <c r="Z13" s="13"/>
    </row>
    <row r="14" spans="1:26" x14ac:dyDescent="0.3">
      <c r="A14" s="45"/>
      <c r="B14" s="36"/>
      <c r="C14" s="77" t="s">
        <v>631</v>
      </c>
      <c r="D14" s="97">
        <v>108000</v>
      </c>
      <c r="E14" s="181">
        <v>0</v>
      </c>
      <c r="F14" s="97">
        <v>0</v>
      </c>
      <c r="G14" s="181" t="s">
        <v>629</v>
      </c>
      <c r="H14" s="20" t="s">
        <v>629</v>
      </c>
      <c r="I14" s="337" t="s">
        <v>629</v>
      </c>
      <c r="J14" s="37"/>
      <c r="K14" s="13"/>
      <c r="L14" s="61" t="str">
        <f t="shared" si="1"/>
        <v>Q3</v>
      </c>
      <c r="M14" s="314">
        <f t="shared" si="1"/>
        <v>108000</v>
      </c>
      <c r="N14" s="315">
        <f t="shared" si="1"/>
        <v>0</v>
      </c>
      <c r="O14" s="314">
        <f t="shared" si="1"/>
        <v>0</v>
      </c>
      <c r="P14" s="316">
        <f t="shared" ref="P14:P15" si="3">MIN(M14+N14*$C$6,$C$7-R13)</f>
        <v>0</v>
      </c>
      <c r="Q14" s="317">
        <f t="shared" si="2"/>
        <v>108000</v>
      </c>
      <c r="R14" s="318">
        <f t="shared" ref="R14:R15" si="4">R13+P14</f>
        <v>450000</v>
      </c>
      <c r="V14" s="13"/>
      <c r="W14" s="13"/>
      <c r="X14" s="13"/>
      <c r="Y14" s="14"/>
      <c r="Z14" s="13"/>
    </row>
    <row r="15" spans="1:26" x14ac:dyDescent="0.3">
      <c r="A15" s="45"/>
      <c r="B15" s="36"/>
      <c r="C15" s="82" t="s">
        <v>632</v>
      </c>
      <c r="D15" s="98">
        <v>105500</v>
      </c>
      <c r="E15" s="319">
        <v>1</v>
      </c>
      <c r="F15" s="98">
        <v>247000</v>
      </c>
      <c r="G15" s="319" t="s">
        <v>629</v>
      </c>
      <c r="H15" s="22" t="s">
        <v>629</v>
      </c>
      <c r="I15" s="185" t="s">
        <v>629</v>
      </c>
      <c r="J15" s="37"/>
      <c r="K15" s="13"/>
      <c r="L15" s="65" t="str">
        <f t="shared" si="1"/>
        <v>Q4</v>
      </c>
      <c r="M15" s="320">
        <f t="shared" si="1"/>
        <v>105500</v>
      </c>
      <c r="N15" s="321">
        <f t="shared" si="1"/>
        <v>1</v>
      </c>
      <c r="O15" s="320">
        <f t="shared" si="1"/>
        <v>247000</v>
      </c>
      <c r="P15" s="322">
        <f t="shared" si="3"/>
        <v>0</v>
      </c>
      <c r="Q15" s="323">
        <f t="shared" si="2"/>
        <v>352500</v>
      </c>
      <c r="R15" s="324">
        <f t="shared" si="4"/>
        <v>450000</v>
      </c>
      <c r="V15" s="13"/>
      <c r="W15" s="13"/>
      <c r="X15" s="13"/>
      <c r="Y15" s="14"/>
      <c r="Z15" s="13"/>
    </row>
    <row r="16" spans="1:26" ht="15" thickBot="1" x14ac:dyDescent="0.35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3"/>
      <c r="V16" s="13"/>
      <c r="W16" s="13"/>
      <c r="X16" s="13"/>
      <c r="Y16" s="14"/>
      <c r="Z16" s="13"/>
    </row>
    <row r="17" spans="11:26" x14ac:dyDescent="0.3">
      <c r="K17" s="13"/>
      <c r="L17" t="s">
        <v>633</v>
      </c>
      <c r="V17" s="13"/>
      <c r="W17" s="13"/>
      <c r="X17" s="13"/>
      <c r="Y17" s="14"/>
      <c r="Z17" s="13"/>
    </row>
    <row r="18" spans="11:26" ht="15" customHeight="1" x14ac:dyDescent="0.3">
      <c r="K18" s="13"/>
      <c r="L18" t="s">
        <v>634</v>
      </c>
      <c r="V18" s="13"/>
      <c r="W18" s="13"/>
      <c r="X18" s="13"/>
      <c r="Y18" s="14"/>
      <c r="Z18" s="13"/>
    </row>
    <row r="19" spans="11:26" x14ac:dyDescent="0.3">
      <c r="K19" s="13"/>
      <c r="V19" s="13"/>
      <c r="W19" s="13"/>
      <c r="X19" s="13"/>
      <c r="Y19" s="14"/>
      <c r="Z19" s="13"/>
    </row>
    <row r="20" spans="11:26" x14ac:dyDescent="0.3">
      <c r="K20" s="13"/>
      <c r="V20" s="13"/>
      <c r="W20" s="13"/>
      <c r="X20" s="13"/>
      <c r="Y20" s="14"/>
      <c r="Z20" s="13"/>
    </row>
    <row r="21" spans="11:26" x14ac:dyDescent="0.3">
      <c r="K21" s="13"/>
      <c r="L21" s="198" t="s">
        <v>635</v>
      </c>
      <c r="S21" s="13"/>
      <c r="T21" s="13"/>
      <c r="U21" s="13"/>
      <c r="V21" s="13"/>
      <c r="W21" s="13"/>
      <c r="X21" s="13"/>
      <c r="Y21" s="14"/>
      <c r="Z21" s="13"/>
    </row>
    <row r="22" spans="11:26" ht="15" customHeight="1" x14ac:dyDescent="0.3">
      <c r="K22" s="13"/>
      <c r="L22" t="s">
        <v>636</v>
      </c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3">
      <c r="K23" s="13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3">
      <c r="K24" s="13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3">
      <c r="K25" s="13"/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3">
      <c r="K26" s="13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3">
      <c r="K27" s="13"/>
      <c r="S27" s="13"/>
      <c r="T27" s="13"/>
      <c r="U27" s="13"/>
      <c r="V27" s="13"/>
      <c r="W27" s="13"/>
      <c r="X27" s="13"/>
      <c r="Y27" s="14"/>
      <c r="Z27" s="13"/>
    </row>
    <row r="28" spans="11:26" x14ac:dyDescent="0.3">
      <c r="K28" s="13"/>
      <c r="S28" s="13"/>
      <c r="T28" s="13"/>
      <c r="U28" s="13"/>
      <c r="V28" s="13"/>
      <c r="W28" s="13"/>
      <c r="X28" s="13"/>
      <c r="Y28" s="14"/>
      <c r="Z28" s="13"/>
    </row>
    <row r="29" spans="11:26" x14ac:dyDescent="0.3">
      <c r="K29" s="13"/>
      <c r="S29" s="13"/>
      <c r="T29" s="13"/>
      <c r="U29" s="13"/>
      <c r="V29" s="13"/>
      <c r="W29" s="13"/>
      <c r="X29" s="13"/>
      <c r="Y29" s="14"/>
      <c r="Z29" s="13"/>
    </row>
    <row r="30" spans="11:26" x14ac:dyDescent="0.3">
      <c r="K30" s="13"/>
      <c r="S30" s="13"/>
      <c r="T30" s="13"/>
      <c r="U30" s="13"/>
      <c r="V30" s="13"/>
      <c r="W30" s="13"/>
      <c r="X30" s="13"/>
      <c r="Y30" s="14"/>
      <c r="Z30" s="13"/>
    </row>
    <row r="31" spans="11:26" x14ac:dyDescent="0.3">
      <c r="K31" s="13"/>
      <c r="S31" s="13"/>
      <c r="T31" s="13"/>
      <c r="U31" s="13"/>
      <c r="V31" s="13"/>
      <c r="W31" s="13"/>
      <c r="X31" s="13"/>
      <c r="Y31" s="14"/>
      <c r="Z31" s="13"/>
    </row>
    <row r="32" spans="11:26" x14ac:dyDescent="0.3">
      <c r="K32" s="13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3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3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3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3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3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A38" s="13"/>
      <c r="B38" s="13"/>
      <c r="K38" s="13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S48" s="13"/>
      <c r="T48" s="13"/>
      <c r="U48" s="13"/>
      <c r="V48" s="13"/>
      <c r="W48" s="13"/>
      <c r="X48" s="13"/>
      <c r="Y48" s="14"/>
      <c r="Z48" s="13"/>
    </row>
    <row r="49" spans="19:26" x14ac:dyDescent="0.3">
      <c r="S49" s="13"/>
      <c r="T49" s="13"/>
      <c r="U49" s="13"/>
      <c r="V49" s="13"/>
      <c r="W49" s="13"/>
      <c r="X49" s="13"/>
      <c r="Y49" s="14"/>
      <c r="Z49" s="13"/>
    </row>
    <row r="159" spans="1:25" x14ac:dyDescent="0.3">
      <c r="Y159" s="14"/>
    </row>
    <row r="160" spans="1:25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25:25" x14ac:dyDescent="0.3">
      <c r="Y161" s="14"/>
    </row>
    <row r="162" spans="25:25" x14ac:dyDescent="0.3">
      <c r="Y162" s="14"/>
    </row>
    <row r="163" spans="25:25" x14ac:dyDescent="0.3">
      <c r="Y163" s="14"/>
    </row>
    <row r="164" spans="25:25" x14ac:dyDescent="0.3">
      <c r="Y164" s="14"/>
    </row>
    <row r="165" spans="25:25" x14ac:dyDescent="0.3">
      <c r="Y165" s="14"/>
    </row>
    <row r="166" spans="25:25" x14ac:dyDescent="0.3">
      <c r="Y166" s="14"/>
    </row>
    <row r="167" spans="25:25" x14ac:dyDescent="0.3">
      <c r="Y167" s="14"/>
    </row>
    <row r="168" spans="25:25" x14ac:dyDescent="0.3">
      <c r="Y168" s="14"/>
    </row>
  </sheetData>
  <mergeCells count="1">
    <mergeCell ref="I1:J1"/>
  </mergeCells>
  <hyperlinks>
    <hyperlink ref="I1" location="TOC!A1" display="Return to TOC" xr:uid="{57359ED3-8978-477C-983E-FAA0485B8BFD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8EF6-6CC4-49D6-A5C2-6BAB1EA7E1A4}">
  <sheetPr codeName="Sheet78"/>
  <dimension ref="A1:Z16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33203125" customWidth="1"/>
    <col min="4" max="4" width="21.5546875" customWidth="1"/>
    <col min="5" max="5" width="17.6640625" customWidth="1"/>
    <col min="6" max="6" width="17.33203125" customWidth="1"/>
    <col min="7" max="7" width="12.5546875" bestFit="1" customWidth="1"/>
    <col min="8" max="8" width="10.88671875" customWidth="1"/>
    <col min="9" max="9" width="11.109375" customWidth="1"/>
    <col min="10" max="10" width="3.6640625" customWidth="1"/>
    <col min="11" max="11" width="2.6640625" customWidth="1"/>
    <col min="12" max="12" width="10.109375" customWidth="1"/>
    <col min="13" max="13" width="19.44140625" customWidth="1"/>
    <col min="14" max="14" width="15.6640625" customWidth="1"/>
    <col min="15" max="15" width="16.6640625" customWidth="1"/>
    <col min="16" max="16" width="11.33203125" customWidth="1"/>
    <col min="17" max="17" width="15.6640625" customWidth="1"/>
    <col min="18" max="18" width="11.5546875" customWidth="1"/>
    <col min="19" max="22" width="5.6640625" customWidth="1"/>
    <col min="23" max="23" width="3.6640625" customWidth="1"/>
    <col min="24" max="24" width="5.44140625" customWidth="1"/>
    <col min="27" max="30" width="10.6640625" customWidth="1"/>
    <col min="31" max="32" width="5.6640625" customWidth="1"/>
  </cols>
  <sheetData>
    <row r="1" spans="1:26" x14ac:dyDescent="0.3">
      <c r="A1" s="32" t="s">
        <v>137</v>
      </c>
      <c r="B1" s="33"/>
      <c r="C1" s="33" t="s">
        <v>123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7"/>
      <c r="K2" s="10"/>
      <c r="L2" t="s">
        <v>611</v>
      </c>
      <c r="Y2" s="10"/>
    </row>
    <row r="3" spans="1:26" x14ac:dyDescent="0.3">
      <c r="A3" s="35" t="s">
        <v>141</v>
      </c>
      <c r="B3" s="36"/>
      <c r="C3" s="36" t="s">
        <v>610</v>
      </c>
      <c r="D3" s="36"/>
      <c r="E3" s="36"/>
      <c r="F3" s="36"/>
      <c r="G3" s="36"/>
      <c r="H3" s="36"/>
      <c r="I3" s="36"/>
      <c r="J3" s="37"/>
      <c r="K3" s="10"/>
      <c r="L3" t="s">
        <v>637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638</v>
      </c>
      <c r="Y4" s="14"/>
      <c r="Z4" s="13"/>
    </row>
    <row r="5" spans="1:26" ht="15" customHeight="1" x14ac:dyDescent="0.3">
      <c r="A5" s="41" t="s">
        <v>144</v>
      </c>
      <c r="B5" s="36"/>
      <c r="C5" s="36" t="s">
        <v>613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3">
      <c r="A6" s="45"/>
      <c r="B6" s="36"/>
      <c r="C6" s="332">
        <v>100000</v>
      </c>
      <c r="D6" s="36" t="s">
        <v>615</v>
      </c>
      <c r="E6" s="36"/>
      <c r="F6" s="36"/>
      <c r="G6" s="36"/>
      <c r="H6" s="36"/>
      <c r="I6" s="36"/>
      <c r="J6" s="37"/>
      <c r="K6" s="14"/>
      <c r="L6" t="s">
        <v>639</v>
      </c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32">
        <v>500000</v>
      </c>
      <c r="D7" s="36" t="s">
        <v>616</v>
      </c>
      <c r="E7" s="36"/>
      <c r="F7" s="36"/>
      <c r="G7" s="36"/>
      <c r="H7" s="36"/>
      <c r="I7" s="36"/>
      <c r="J7" s="37"/>
      <c r="K7" s="14"/>
      <c r="L7" t="s">
        <v>640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/>
      <c r="D8" s="36"/>
      <c r="E8" s="36"/>
      <c r="F8" s="36"/>
      <c r="G8" s="36"/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3">
      <c r="A9" s="35" t="s">
        <v>173</v>
      </c>
      <c r="B9" s="39"/>
      <c r="C9" s="36" t="s">
        <v>619</v>
      </c>
      <c r="D9" s="36"/>
      <c r="E9" s="36"/>
      <c r="F9" s="36"/>
      <c r="G9" s="36"/>
      <c r="H9" s="36"/>
      <c r="I9" s="36"/>
      <c r="J9" s="37"/>
      <c r="K9" s="14"/>
      <c r="L9" t="s">
        <v>620</v>
      </c>
      <c r="V9" s="13"/>
      <c r="W9" s="13"/>
      <c r="X9" s="13"/>
      <c r="Y9" s="14"/>
      <c r="Z9" s="13"/>
    </row>
    <row r="10" spans="1:26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7"/>
      <c r="K10" s="14"/>
      <c r="R10" s="190">
        <v>0</v>
      </c>
      <c r="V10" s="13"/>
      <c r="W10" s="13"/>
      <c r="X10" s="13"/>
      <c r="Y10" s="14"/>
      <c r="Z10" s="13"/>
    </row>
    <row r="11" spans="1:26" ht="57.6" x14ac:dyDescent="0.3">
      <c r="A11" s="38"/>
      <c r="B11" s="39"/>
      <c r="C11" s="333" t="s">
        <v>621</v>
      </c>
      <c r="D11" s="334" t="s">
        <v>641</v>
      </c>
      <c r="E11" s="335" t="s">
        <v>642</v>
      </c>
      <c r="F11" s="334" t="s">
        <v>643</v>
      </c>
      <c r="G11" s="335" t="s">
        <v>625</v>
      </c>
      <c r="H11" s="334" t="s">
        <v>626</v>
      </c>
      <c r="I11" s="336" t="s">
        <v>627</v>
      </c>
      <c r="J11" s="37"/>
      <c r="K11" s="14"/>
      <c r="L11" s="86" t="str">
        <f t="shared" ref="L11:R11" si="0">C11</f>
        <v>Date</v>
      </c>
      <c r="M11" s="193" t="str">
        <f t="shared" si="0"/>
        <v>Dollars of loss on claims that are each less than $100,000
(1)</v>
      </c>
      <c r="N11" s="254" t="str">
        <f t="shared" si="0"/>
        <v>Number of claims over $100,000
(2)</v>
      </c>
      <c r="O11" s="193" t="str">
        <f t="shared" si="0"/>
        <v>Excess loss dollars on claims over $100,000
(3)</v>
      </c>
      <c r="P11" s="254" t="str">
        <f t="shared" si="0"/>
        <v>Deductible
(4)</v>
      </c>
      <c r="Q11" s="193" t="str">
        <f t="shared" si="0"/>
        <v>Insurance payment
(5)</v>
      </c>
      <c r="R11" s="255" t="str">
        <f t="shared" si="0"/>
        <v>Cumulative Deductible
(6)</v>
      </c>
      <c r="V11" s="13"/>
      <c r="W11" s="13"/>
      <c r="X11" s="13"/>
      <c r="Y11" s="14"/>
      <c r="Z11" s="13"/>
    </row>
    <row r="12" spans="1:26" x14ac:dyDescent="0.3">
      <c r="A12" s="38"/>
      <c r="B12" s="39"/>
      <c r="C12" s="80" t="s">
        <v>628</v>
      </c>
      <c r="D12" s="325">
        <v>132500</v>
      </c>
      <c r="E12" s="326">
        <v>0</v>
      </c>
      <c r="F12" s="325">
        <v>0</v>
      </c>
      <c r="G12" s="326" t="s">
        <v>629</v>
      </c>
      <c r="H12" s="17" t="s">
        <v>629</v>
      </c>
      <c r="I12" s="176" t="s">
        <v>629</v>
      </c>
      <c r="J12" s="37"/>
      <c r="K12" s="14"/>
      <c r="L12" s="63" t="str">
        <f t="shared" ref="L12:O15" si="1">C12</f>
        <v>Q1</v>
      </c>
      <c r="M12" s="327">
        <f t="shared" si="1"/>
        <v>132500</v>
      </c>
      <c r="N12" s="328">
        <f t="shared" si="1"/>
        <v>0</v>
      </c>
      <c r="O12" s="327">
        <f t="shared" si="1"/>
        <v>0</v>
      </c>
      <c r="P12" s="329">
        <f>MIN(M12+N12*$C$6,$C$7-R10)</f>
        <v>132500</v>
      </c>
      <c r="Q12" s="330">
        <f>M12+O12+N12*$C$6-P12</f>
        <v>0</v>
      </c>
      <c r="R12" s="331">
        <f>P12+R10</f>
        <v>132500</v>
      </c>
      <c r="V12" s="13"/>
      <c r="W12" s="13"/>
      <c r="X12" s="13"/>
      <c r="Y12" s="14"/>
      <c r="Z12" s="13"/>
    </row>
    <row r="13" spans="1:26" x14ac:dyDescent="0.3">
      <c r="A13" s="38"/>
      <c r="B13" s="39"/>
      <c r="C13" s="77" t="s">
        <v>630</v>
      </c>
      <c r="D13" s="97">
        <v>93000</v>
      </c>
      <c r="E13" s="181">
        <v>2</v>
      </c>
      <c r="F13" s="97">
        <v>350000</v>
      </c>
      <c r="G13" s="181" t="s">
        <v>629</v>
      </c>
      <c r="H13" s="20" t="s">
        <v>629</v>
      </c>
      <c r="I13" s="337" t="s">
        <v>629</v>
      </c>
      <c r="J13" s="37"/>
      <c r="K13" s="14"/>
      <c r="L13" s="61" t="str">
        <f t="shared" si="1"/>
        <v>Q2</v>
      </c>
      <c r="M13" s="314">
        <f t="shared" si="1"/>
        <v>93000</v>
      </c>
      <c r="N13" s="315">
        <f t="shared" si="1"/>
        <v>2</v>
      </c>
      <c r="O13" s="314">
        <f t="shared" si="1"/>
        <v>350000</v>
      </c>
      <c r="P13" s="316">
        <f>MIN(M13+N13*$C$6,$C$7-R12)</f>
        <v>293000</v>
      </c>
      <c r="Q13" s="317">
        <f t="shared" ref="Q13:Q15" si="2">M13+O13+N13*$C$6-P13</f>
        <v>350000</v>
      </c>
      <c r="R13" s="318">
        <f>R12+P13</f>
        <v>425500</v>
      </c>
      <c r="V13" s="13"/>
      <c r="W13" s="13"/>
      <c r="X13" s="13"/>
      <c r="Y13" s="14"/>
      <c r="Z13" s="13"/>
    </row>
    <row r="14" spans="1:26" x14ac:dyDescent="0.3">
      <c r="A14" s="45"/>
      <c r="B14" s="36"/>
      <c r="C14" s="77" t="s">
        <v>631</v>
      </c>
      <c r="D14" s="97">
        <v>105000</v>
      </c>
      <c r="E14" s="181">
        <v>0</v>
      </c>
      <c r="F14" s="97">
        <v>0</v>
      </c>
      <c r="G14" s="181" t="s">
        <v>629</v>
      </c>
      <c r="H14" s="20" t="s">
        <v>629</v>
      </c>
      <c r="I14" s="337" t="s">
        <v>629</v>
      </c>
      <c r="J14" s="37"/>
      <c r="K14" s="14"/>
      <c r="L14" s="61" t="str">
        <f t="shared" si="1"/>
        <v>Q3</v>
      </c>
      <c r="M14" s="314">
        <f t="shared" si="1"/>
        <v>105000</v>
      </c>
      <c r="N14" s="315">
        <f t="shared" si="1"/>
        <v>0</v>
      </c>
      <c r="O14" s="314">
        <f t="shared" si="1"/>
        <v>0</v>
      </c>
      <c r="P14" s="316">
        <f t="shared" ref="P14:P15" si="3">MIN(M14+N14*$C$6,$C$7-R13)</f>
        <v>74500</v>
      </c>
      <c r="Q14" s="317">
        <f t="shared" si="2"/>
        <v>30500</v>
      </c>
      <c r="R14" s="318">
        <f t="shared" ref="R14:R15" si="4">R13+P14</f>
        <v>500000</v>
      </c>
      <c r="V14" s="13"/>
      <c r="W14" s="13"/>
      <c r="X14" s="13"/>
      <c r="Y14" s="14"/>
      <c r="Z14" s="13"/>
    </row>
    <row r="15" spans="1:26" x14ac:dyDescent="0.3">
      <c r="A15" s="45"/>
      <c r="B15" s="36"/>
      <c r="C15" s="82" t="s">
        <v>632</v>
      </c>
      <c r="D15" s="98">
        <v>122500</v>
      </c>
      <c r="E15" s="319">
        <v>1</v>
      </c>
      <c r="F15" s="98">
        <v>150000</v>
      </c>
      <c r="G15" s="319" t="s">
        <v>629</v>
      </c>
      <c r="H15" s="22" t="s">
        <v>629</v>
      </c>
      <c r="I15" s="185" t="s">
        <v>629</v>
      </c>
      <c r="J15" s="37"/>
      <c r="K15" s="14"/>
      <c r="L15" s="65" t="str">
        <f t="shared" si="1"/>
        <v>Q4</v>
      </c>
      <c r="M15" s="320">
        <f t="shared" si="1"/>
        <v>122500</v>
      </c>
      <c r="N15" s="321">
        <f t="shared" si="1"/>
        <v>1</v>
      </c>
      <c r="O15" s="320">
        <f t="shared" si="1"/>
        <v>150000</v>
      </c>
      <c r="P15" s="322">
        <f t="shared" si="3"/>
        <v>0</v>
      </c>
      <c r="Q15" s="323">
        <f t="shared" si="2"/>
        <v>372500</v>
      </c>
      <c r="R15" s="324">
        <f t="shared" si="4"/>
        <v>500000</v>
      </c>
      <c r="V15" s="13"/>
      <c r="W15" s="13"/>
      <c r="X15" s="13"/>
      <c r="Y15" s="14"/>
      <c r="Z15" s="13"/>
    </row>
    <row r="16" spans="1:26" ht="15" thickBot="1" x14ac:dyDescent="0.35">
      <c r="A16" s="53"/>
      <c r="B16" s="54"/>
      <c r="C16" s="54"/>
      <c r="D16" s="54"/>
      <c r="E16" s="54"/>
      <c r="F16" s="54"/>
      <c r="G16" s="54"/>
      <c r="H16" s="54"/>
      <c r="I16" s="54"/>
      <c r="J16" s="55"/>
      <c r="K16" s="14"/>
      <c r="V16" s="13"/>
      <c r="W16" s="13"/>
      <c r="X16" s="13"/>
      <c r="Y16" s="14"/>
      <c r="Z16" s="13"/>
    </row>
    <row r="17" spans="11:26" x14ac:dyDescent="0.3">
      <c r="K17" s="14"/>
      <c r="L17" t="s">
        <v>644</v>
      </c>
      <c r="V17" s="13"/>
      <c r="W17" s="13"/>
      <c r="X17" s="13"/>
      <c r="Y17" s="14"/>
      <c r="Z17" s="13"/>
    </row>
    <row r="18" spans="11:26" ht="15" customHeight="1" x14ac:dyDescent="0.3">
      <c r="K18" s="14"/>
      <c r="L18" t="s">
        <v>645</v>
      </c>
      <c r="V18" s="13"/>
      <c r="W18" s="13"/>
      <c r="X18" s="13"/>
      <c r="Y18" s="14"/>
      <c r="Z18" s="13"/>
    </row>
    <row r="19" spans="11:26" x14ac:dyDescent="0.3">
      <c r="K19" s="14"/>
      <c r="V19" s="13"/>
      <c r="W19" s="13"/>
      <c r="X19" s="13"/>
      <c r="Y19" s="14"/>
      <c r="Z19" s="13"/>
    </row>
    <row r="20" spans="11:26" x14ac:dyDescent="0.3">
      <c r="K20" s="14"/>
      <c r="V20" s="13"/>
      <c r="W20" s="13"/>
      <c r="X20" s="13"/>
      <c r="Y20" s="14"/>
      <c r="Z20" s="13"/>
    </row>
    <row r="21" spans="11:26" x14ac:dyDescent="0.3">
      <c r="K21" s="14"/>
      <c r="L21" s="198"/>
      <c r="S21" s="13"/>
      <c r="T21" s="13"/>
      <c r="U21" s="13"/>
      <c r="V21" s="13"/>
      <c r="W21" s="13"/>
      <c r="X21" s="13"/>
      <c r="Y21" s="14"/>
      <c r="Z21" s="13"/>
    </row>
    <row r="22" spans="11:26" ht="15" customHeight="1" x14ac:dyDescent="0.3">
      <c r="K22" s="14"/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3">
      <c r="K23" s="14"/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3">
      <c r="K24" s="14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3">
      <c r="K25" s="14"/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3">
      <c r="K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3">
      <c r="K27" s="14"/>
      <c r="S27" s="13"/>
      <c r="T27" s="13"/>
      <c r="U27" s="13"/>
      <c r="V27" s="13"/>
      <c r="W27" s="13"/>
      <c r="X27" s="13"/>
      <c r="Y27" s="14"/>
      <c r="Z27" s="13"/>
    </row>
    <row r="28" spans="11:26" x14ac:dyDescent="0.3">
      <c r="K28" s="14"/>
      <c r="S28" s="13"/>
      <c r="T28" s="13"/>
      <c r="U28" s="13"/>
      <c r="V28" s="13"/>
      <c r="W28" s="13"/>
      <c r="X28" s="13"/>
      <c r="Y28" s="14"/>
      <c r="Z28" s="13"/>
    </row>
    <row r="29" spans="11:26" x14ac:dyDescent="0.3">
      <c r="K29" s="14"/>
      <c r="S29" s="13"/>
      <c r="T29" s="13"/>
      <c r="U29" s="13"/>
      <c r="V29" s="13"/>
      <c r="W29" s="13"/>
      <c r="X29" s="13"/>
      <c r="Y29" s="14"/>
      <c r="Z29" s="13"/>
    </row>
    <row r="30" spans="11:26" x14ac:dyDescent="0.3">
      <c r="K30" s="14"/>
      <c r="S30" s="13"/>
      <c r="T30" s="13"/>
      <c r="U30" s="13"/>
      <c r="V30" s="13"/>
      <c r="W30" s="13"/>
      <c r="X30" s="13"/>
      <c r="Y30" s="14"/>
      <c r="Z30" s="13"/>
    </row>
    <row r="31" spans="11:26" x14ac:dyDescent="0.3">
      <c r="K31" s="14"/>
      <c r="S31" s="13"/>
      <c r="T31" s="13"/>
      <c r="U31" s="13"/>
      <c r="V31" s="13"/>
      <c r="W31" s="13"/>
      <c r="X31" s="13"/>
      <c r="Y31" s="14"/>
      <c r="Z31" s="13"/>
    </row>
    <row r="32" spans="11:26" x14ac:dyDescent="0.3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A38" s="13"/>
      <c r="B38" s="13"/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3">
      <c r="K49" s="14"/>
      <c r="S49" s="13"/>
      <c r="T49" s="13"/>
      <c r="U49" s="13"/>
      <c r="V49" s="13"/>
      <c r="W49" s="13"/>
      <c r="X49" s="13"/>
      <c r="Y49" s="14"/>
      <c r="Z49" s="13"/>
    </row>
    <row r="158" spans="1:25" x14ac:dyDescent="0.3">
      <c r="K158" s="14"/>
      <c r="Y158" s="14"/>
    </row>
    <row r="159" spans="1:25" x14ac:dyDescent="0.3">
      <c r="K159" s="14"/>
      <c r="Y159" s="14"/>
    </row>
    <row r="160" spans="1:25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1:25" x14ac:dyDescent="0.3">
      <c r="K161" s="14"/>
      <c r="Y161" s="14"/>
    </row>
    <row r="162" spans="11:25" x14ac:dyDescent="0.3">
      <c r="K162" s="14"/>
      <c r="Y162" s="14"/>
    </row>
    <row r="163" spans="11:25" x14ac:dyDescent="0.3">
      <c r="K163" s="14"/>
      <c r="Y163" s="14"/>
    </row>
    <row r="164" spans="11:25" x14ac:dyDescent="0.3">
      <c r="K164" s="14"/>
      <c r="Y164" s="14"/>
    </row>
    <row r="165" spans="11:25" x14ac:dyDescent="0.3">
      <c r="K165" s="14"/>
      <c r="Y165" s="14"/>
    </row>
    <row r="166" spans="11:25" x14ac:dyDescent="0.3">
      <c r="K166" s="14"/>
      <c r="Y166" s="14"/>
    </row>
    <row r="167" spans="11:25" x14ac:dyDescent="0.3">
      <c r="K167" s="14"/>
      <c r="Y167" s="14"/>
    </row>
    <row r="168" spans="11:25" x14ac:dyDescent="0.3">
      <c r="K168" s="14"/>
      <c r="Y168" s="14"/>
    </row>
  </sheetData>
  <mergeCells count="1">
    <mergeCell ref="I1:J1"/>
  </mergeCells>
  <hyperlinks>
    <hyperlink ref="I1" location="TOC!A1" display="Return to TOC" xr:uid="{0860A3C7-654B-41F7-8946-A6346AE9D4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9E28-C057-49B5-A20D-A8E9CADA58CE}">
  <dimension ref="A5:G130"/>
  <sheetViews>
    <sheetView workbookViewId="0"/>
  </sheetViews>
  <sheetFormatPr defaultRowHeight="14.4" x14ac:dyDescent="0.3"/>
  <cols>
    <col min="2" max="2" width="25.5546875" style="11" bestFit="1" customWidth="1"/>
    <col min="3" max="3" width="31.109375" bestFit="1" customWidth="1"/>
    <col min="4" max="4" width="52.5546875" customWidth="1"/>
  </cols>
  <sheetData>
    <row r="5" spans="1:7" x14ac:dyDescent="0.3">
      <c r="A5" s="770" t="s">
        <v>13</v>
      </c>
      <c r="B5" s="770"/>
      <c r="C5" s="770"/>
      <c r="D5" s="770"/>
      <c r="E5" s="770"/>
      <c r="F5" s="770"/>
    </row>
    <row r="6" spans="1:7" x14ac:dyDescent="0.3">
      <c r="A6" s="770"/>
      <c r="B6" s="770"/>
      <c r="C6" s="770"/>
      <c r="D6" s="770"/>
      <c r="E6" s="770"/>
      <c r="F6" s="770"/>
    </row>
    <row r="8" spans="1:7" ht="18" x14ac:dyDescent="0.35">
      <c r="A8" s="771" t="s">
        <v>8</v>
      </c>
      <c r="B8" s="771"/>
      <c r="C8" s="771"/>
      <c r="D8" s="771"/>
      <c r="E8" s="771"/>
      <c r="F8" s="771"/>
    </row>
    <row r="9" spans="1:7" ht="21" x14ac:dyDescent="0.4">
      <c r="A9" s="5"/>
      <c r="B9" s="5"/>
      <c r="C9" s="5"/>
    </row>
    <row r="10" spans="1:7" x14ac:dyDescent="0.3">
      <c r="A10" s="6" t="s">
        <v>9</v>
      </c>
      <c r="B10" s="6" t="s">
        <v>10</v>
      </c>
      <c r="C10" s="6" t="s">
        <v>11</v>
      </c>
      <c r="D10" s="7" t="s">
        <v>12</v>
      </c>
      <c r="E10" s="8"/>
      <c r="F10" s="8"/>
      <c r="G10" s="8"/>
    </row>
    <row r="11" spans="1:7" x14ac:dyDescent="0.3">
      <c r="A11" s="9">
        <v>1</v>
      </c>
      <c r="B11" s="10" t="s">
        <v>29</v>
      </c>
      <c r="C11" t="s">
        <v>14</v>
      </c>
      <c r="D11" t="s">
        <v>21</v>
      </c>
    </row>
    <row r="12" spans="1:7" x14ac:dyDescent="0.3">
      <c r="A12" s="9">
        <f>A11+1</f>
        <v>2</v>
      </c>
      <c r="B12" s="10" t="s">
        <v>29</v>
      </c>
      <c r="C12" t="s">
        <v>15</v>
      </c>
      <c r="D12" t="s">
        <v>22</v>
      </c>
    </row>
    <row r="13" spans="1:7" x14ac:dyDescent="0.3">
      <c r="A13" s="9">
        <f t="shared" ref="A13:A63" si="0">A12+1</f>
        <v>3</v>
      </c>
      <c r="B13" s="10" t="s">
        <v>29</v>
      </c>
      <c r="C13" t="s">
        <v>16</v>
      </c>
      <c r="D13" t="s">
        <v>23</v>
      </c>
    </row>
    <row r="14" spans="1:7" x14ac:dyDescent="0.3">
      <c r="A14" s="9">
        <f t="shared" si="0"/>
        <v>4</v>
      </c>
      <c r="B14" s="10" t="s">
        <v>30</v>
      </c>
      <c r="C14" t="s">
        <v>17</v>
      </c>
      <c r="D14" t="s">
        <v>24</v>
      </c>
    </row>
    <row r="15" spans="1:7" x14ac:dyDescent="0.3">
      <c r="A15" s="9">
        <f t="shared" si="0"/>
        <v>5</v>
      </c>
      <c r="B15" s="10" t="s">
        <v>30</v>
      </c>
      <c r="C15" t="s">
        <v>18</v>
      </c>
      <c r="D15" t="s">
        <v>25</v>
      </c>
    </row>
    <row r="16" spans="1:7" x14ac:dyDescent="0.3">
      <c r="A16" s="9">
        <f t="shared" si="0"/>
        <v>6</v>
      </c>
      <c r="B16" s="10" t="s">
        <v>30</v>
      </c>
      <c r="C16" t="s">
        <v>19</v>
      </c>
      <c r="D16" t="s">
        <v>26</v>
      </c>
    </row>
    <row r="17" spans="1:4" x14ac:dyDescent="0.3">
      <c r="A17" s="9">
        <f t="shared" si="0"/>
        <v>7</v>
      </c>
      <c r="B17" s="10" t="s">
        <v>30</v>
      </c>
      <c r="C17" t="s">
        <v>20</v>
      </c>
      <c r="D17" t="s">
        <v>27</v>
      </c>
    </row>
    <row r="18" spans="1:4" x14ac:dyDescent="0.3">
      <c r="A18" s="9">
        <f t="shared" si="0"/>
        <v>8</v>
      </c>
      <c r="B18" s="10" t="s">
        <v>30</v>
      </c>
      <c r="C18" t="s">
        <v>1786</v>
      </c>
      <c r="D18" t="s">
        <v>28</v>
      </c>
    </row>
    <row r="19" spans="1:4" x14ac:dyDescent="0.3">
      <c r="A19" s="9">
        <f t="shared" si="0"/>
        <v>9</v>
      </c>
      <c r="B19" s="10" t="s">
        <v>116</v>
      </c>
      <c r="C19" t="s">
        <v>31</v>
      </c>
      <c r="D19" t="s">
        <v>51</v>
      </c>
    </row>
    <row r="20" spans="1:4" x14ac:dyDescent="0.3">
      <c r="A20" s="9">
        <f t="shared" si="0"/>
        <v>10</v>
      </c>
      <c r="B20" s="10" t="s">
        <v>116</v>
      </c>
      <c r="C20" t="s">
        <v>32</v>
      </c>
      <c r="D20" t="s">
        <v>52</v>
      </c>
    </row>
    <row r="21" spans="1:4" x14ac:dyDescent="0.3">
      <c r="A21" s="9">
        <f t="shared" si="0"/>
        <v>11</v>
      </c>
      <c r="B21" s="10" t="s">
        <v>116</v>
      </c>
      <c r="C21" t="s">
        <v>33</v>
      </c>
      <c r="D21" t="s">
        <v>53</v>
      </c>
    </row>
    <row r="22" spans="1:4" x14ac:dyDescent="0.3">
      <c r="A22" s="9">
        <f t="shared" si="0"/>
        <v>12</v>
      </c>
      <c r="B22" s="10" t="s">
        <v>121</v>
      </c>
      <c r="C22" t="s">
        <v>34</v>
      </c>
      <c r="D22" t="s">
        <v>54</v>
      </c>
    </row>
    <row r="23" spans="1:4" x14ac:dyDescent="0.3">
      <c r="A23" s="9">
        <f t="shared" si="0"/>
        <v>13</v>
      </c>
      <c r="B23" s="10" t="s">
        <v>121</v>
      </c>
      <c r="C23" t="s">
        <v>35</v>
      </c>
      <c r="D23" t="s">
        <v>55</v>
      </c>
    </row>
    <row r="24" spans="1:4" x14ac:dyDescent="0.3">
      <c r="A24" s="9">
        <f t="shared" si="0"/>
        <v>14</v>
      </c>
      <c r="B24" s="10" t="s">
        <v>121</v>
      </c>
      <c r="C24" t="s">
        <v>36</v>
      </c>
      <c r="D24" t="s">
        <v>56</v>
      </c>
    </row>
    <row r="25" spans="1:4" x14ac:dyDescent="0.3">
      <c r="A25" s="9">
        <f t="shared" si="0"/>
        <v>15</v>
      </c>
      <c r="B25" s="10" t="s">
        <v>122</v>
      </c>
      <c r="C25" t="s">
        <v>37</v>
      </c>
      <c r="D25" t="s">
        <v>57</v>
      </c>
    </row>
    <row r="26" spans="1:4" x14ac:dyDescent="0.3">
      <c r="A26" s="9">
        <f t="shared" si="0"/>
        <v>16</v>
      </c>
      <c r="B26" s="10" t="s">
        <v>123</v>
      </c>
      <c r="C26" t="s">
        <v>38</v>
      </c>
      <c r="D26" t="s">
        <v>58</v>
      </c>
    </row>
    <row r="27" spans="1:4" x14ac:dyDescent="0.3">
      <c r="A27" s="9">
        <f t="shared" si="0"/>
        <v>17</v>
      </c>
      <c r="B27" s="10" t="s">
        <v>123</v>
      </c>
      <c r="C27" t="s">
        <v>39</v>
      </c>
      <c r="D27" t="s">
        <v>59</v>
      </c>
    </row>
    <row r="28" spans="1:4" x14ac:dyDescent="0.3">
      <c r="A28" s="9">
        <f t="shared" si="0"/>
        <v>18</v>
      </c>
      <c r="B28" s="10" t="s">
        <v>123</v>
      </c>
      <c r="C28" t="s">
        <v>40</v>
      </c>
      <c r="D28" t="s">
        <v>117</v>
      </c>
    </row>
    <row r="29" spans="1:4" x14ac:dyDescent="0.3">
      <c r="A29" s="9">
        <f t="shared" si="0"/>
        <v>19</v>
      </c>
      <c r="B29" s="10" t="s">
        <v>123</v>
      </c>
      <c r="C29" t="s">
        <v>41</v>
      </c>
      <c r="D29" t="s">
        <v>118</v>
      </c>
    </row>
    <row r="30" spans="1:4" x14ac:dyDescent="0.3">
      <c r="A30" s="9">
        <f t="shared" si="0"/>
        <v>20</v>
      </c>
      <c r="B30" s="10" t="s">
        <v>123</v>
      </c>
      <c r="C30" t="s">
        <v>42</v>
      </c>
      <c r="D30" t="s">
        <v>60</v>
      </c>
    </row>
    <row r="31" spans="1:4" x14ac:dyDescent="0.3">
      <c r="A31" s="9">
        <f t="shared" si="0"/>
        <v>21</v>
      </c>
      <c r="B31" s="10" t="s">
        <v>124</v>
      </c>
      <c r="C31" t="s">
        <v>43</v>
      </c>
      <c r="D31" t="s">
        <v>61</v>
      </c>
    </row>
    <row r="32" spans="1:4" x14ac:dyDescent="0.3">
      <c r="A32" s="9">
        <f t="shared" si="0"/>
        <v>22</v>
      </c>
      <c r="B32" s="10" t="s">
        <v>124</v>
      </c>
      <c r="C32" t="s">
        <v>44</v>
      </c>
      <c r="D32" t="s">
        <v>62</v>
      </c>
    </row>
    <row r="33" spans="1:4" x14ac:dyDescent="0.3">
      <c r="A33" s="9">
        <f t="shared" si="0"/>
        <v>23</v>
      </c>
      <c r="B33" s="10" t="s">
        <v>124</v>
      </c>
      <c r="C33" t="s">
        <v>115</v>
      </c>
      <c r="D33" t="s">
        <v>63</v>
      </c>
    </row>
    <row r="34" spans="1:4" x14ac:dyDescent="0.3">
      <c r="A34" s="9">
        <f t="shared" si="0"/>
        <v>24</v>
      </c>
      <c r="B34" s="10" t="s">
        <v>125</v>
      </c>
      <c r="C34" t="s">
        <v>45</v>
      </c>
      <c r="D34" t="s">
        <v>64</v>
      </c>
    </row>
    <row r="35" spans="1:4" x14ac:dyDescent="0.3">
      <c r="A35" s="9">
        <f t="shared" si="0"/>
        <v>25</v>
      </c>
      <c r="B35" s="10" t="s">
        <v>125</v>
      </c>
      <c r="C35" t="s">
        <v>46</v>
      </c>
      <c r="D35" t="s">
        <v>65</v>
      </c>
    </row>
    <row r="36" spans="1:4" x14ac:dyDescent="0.3">
      <c r="A36" s="9">
        <f t="shared" si="0"/>
        <v>26</v>
      </c>
      <c r="B36" s="10" t="s">
        <v>126</v>
      </c>
      <c r="C36" t="s">
        <v>47</v>
      </c>
      <c r="D36" t="s">
        <v>66</v>
      </c>
    </row>
    <row r="37" spans="1:4" x14ac:dyDescent="0.3">
      <c r="A37" s="9">
        <f t="shared" si="0"/>
        <v>27</v>
      </c>
      <c r="B37" s="10" t="s">
        <v>127</v>
      </c>
      <c r="C37" t="s">
        <v>48</v>
      </c>
      <c r="D37" t="s">
        <v>67</v>
      </c>
    </row>
    <row r="38" spans="1:4" x14ac:dyDescent="0.3">
      <c r="A38" s="9">
        <f t="shared" si="0"/>
        <v>28</v>
      </c>
      <c r="B38" s="10" t="s">
        <v>127</v>
      </c>
      <c r="C38" t="s">
        <v>49</v>
      </c>
      <c r="D38" t="s">
        <v>68</v>
      </c>
    </row>
    <row r="39" spans="1:4" x14ac:dyDescent="0.3">
      <c r="A39" s="9">
        <f t="shared" si="0"/>
        <v>29</v>
      </c>
      <c r="B39" s="10" t="s">
        <v>127</v>
      </c>
      <c r="C39" t="s">
        <v>50</v>
      </c>
      <c r="D39" t="s">
        <v>69</v>
      </c>
    </row>
    <row r="40" spans="1:4" x14ac:dyDescent="0.3">
      <c r="A40" s="9">
        <f t="shared" si="0"/>
        <v>30</v>
      </c>
      <c r="B40" s="10" t="s">
        <v>128</v>
      </c>
      <c r="C40" t="s">
        <v>92</v>
      </c>
      <c r="D40" t="s">
        <v>70</v>
      </c>
    </row>
    <row r="41" spans="1:4" x14ac:dyDescent="0.3">
      <c r="A41" s="9">
        <f t="shared" si="0"/>
        <v>31</v>
      </c>
      <c r="B41" s="10" t="s">
        <v>129</v>
      </c>
      <c r="C41" t="s">
        <v>93</v>
      </c>
      <c r="D41" t="s">
        <v>71</v>
      </c>
    </row>
    <row r="42" spans="1:4" x14ac:dyDescent="0.3">
      <c r="A42" s="9">
        <f t="shared" si="0"/>
        <v>32</v>
      </c>
      <c r="B42" s="10" t="s">
        <v>129</v>
      </c>
      <c r="C42" t="s">
        <v>94</v>
      </c>
      <c r="D42" t="s">
        <v>72</v>
      </c>
    </row>
    <row r="43" spans="1:4" x14ac:dyDescent="0.3">
      <c r="A43" s="9">
        <f t="shared" si="0"/>
        <v>33</v>
      </c>
      <c r="B43" s="10" t="s">
        <v>129</v>
      </c>
      <c r="C43" t="s">
        <v>95</v>
      </c>
      <c r="D43" t="s">
        <v>119</v>
      </c>
    </row>
    <row r="44" spans="1:4" x14ac:dyDescent="0.3">
      <c r="A44" s="9">
        <f t="shared" si="0"/>
        <v>34</v>
      </c>
      <c r="B44" s="10" t="s">
        <v>129</v>
      </c>
      <c r="C44" t="s">
        <v>96</v>
      </c>
      <c r="D44" t="s">
        <v>120</v>
      </c>
    </row>
    <row r="45" spans="1:4" x14ac:dyDescent="0.3">
      <c r="A45" s="9">
        <f t="shared" si="0"/>
        <v>35</v>
      </c>
      <c r="B45" s="10" t="s">
        <v>130</v>
      </c>
      <c r="C45" t="s">
        <v>97</v>
      </c>
      <c r="D45" t="s">
        <v>73</v>
      </c>
    </row>
    <row r="46" spans="1:4" x14ac:dyDescent="0.3">
      <c r="A46" s="9">
        <f t="shared" si="0"/>
        <v>36</v>
      </c>
      <c r="B46" s="10" t="s">
        <v>130</v>
      </c>
      <c r="C46" t="s">
        <v>98</v>
      </c>
      <c r="D46" t="s">
        <v>74</v>
      </c>
    </row>
    <row r="47" spans="1:4" x14ac:dyDescent="0.3">
      <c r="A47" s="9">
        <f t="shared" si="0"/>
        <v>37</v>
      </c>
      <c r="B47" s="10" t="s">
        <v>130</v>
      </c>
      <c r="C47" t="s">
        <v>99</v>
      </c>
      <c r="D47" t="s">
        <v>75</v>
      </c>
    </row>
    <row r="48" spans="1:4" x14ac:dyDescent="0.3">
      <c r="A48" s="9">
        <f t="shared" si="0"/>
        <v>38</v>
      </c>
      <c r="B48" s="10" t="s">
        <v>131</v>
      </c>
      <c r="C48" t="s">
        <v>100</v>
      </c>
      <c r="D48" t="s">
        <v>76</v>
      </c>
    </row>
    <row r="49" spans="1:4" x14ac:dyDescent="0.3">
      <c r="A49" s="9">
        <f t="shared" si="0"/>
        <v>39</v>
      </c>
      <c r="B49" s="10" t="s">
        <v>131</v>
      </c>
      <c r="C49" t="s">
        <v>101</v>
      </c>
      <c r="D49" t="s">
        <v>77</v>
      </c>
    </row>
    <row r="50" spans="1:4" x14ac:dyDescent="0.3">
      <c r="A50" s="9">
        <f t="shared" si="0"/>
        <v>40</v>
      </c>
      <c r="B50" s="10" t="s">
        <v>131</v>
      </c>
      <c r="C50" t="s">
        <v>102</v>
      </c>
      <c r="D50" t="s">
        <v>78</v>
      </c>
    </row>
    <row r="51" spans="1:4" x14ac:dyDescent="0.3">
      <c r="A51" s="9">
        <f t="shared" si="0"/>
        <v>41</v>
      </c>
      <c r="B51" s="10" t="s">
        <v>131</v>
      </c>
      <c r="C51" t="s">
        <v>103</v>
      </c>
      <c r="D51" t="s">
        <v>79</v>
      </c>
    </row>
    <row r="52" spans="1:4" x14ac:dyDescent="0.3">
      <c r="A52" s="9">
        <f t="shared" si="0"/>
        <v>42</v>
      </c>
      <c r="B52" s="10" t="s">
        <v>131</v>
      </c>
      <c r="C52" t="s">
        <v>104</v>
      </c>
      <c r="D52" t="s">
        <v>80</v>
      </c>
    </row>
    <row r="53" spans="1:4" x14ac:dyDescent="0.3">
      <c r="A53" s="9">
        <f t="shared" si="0"/>
        <v>43</v>
      </c>
      <c r="B53" s="10" t="s">
        <v>132</v>
      </c>
      <c r="C53" t="s">
        <v>105</v>
      </c>
      <c r="D53" t="s">
        <v>81</v>
      </c>
    </row>
    <row r="54" spans="1:4" x14ac:dyDescent="0.3">
      <c r="A54" s="9">
        <f t="shared" si="0"/>
        <v>44</v>
      </c>
      <c r="B54" s="10" t="s">
        <v>132</v>
      </c>
      <c r="C54" t="s">
        <v>106</v>
      </c>
      <c r="D54" t="s">
        <v>82</v>
      </c>
    </row>
    <row r="55" spans="1:4" x14ac:dyDescent="0.3">
      <c r="A55" s="9">
        <f t="shared" si="0"/>
        <v>45</v>
      </c>
      <c r="B55" s="10" t="s">
        <v>132</v>
      </c>
      <c r="C55" t="s">
        <v>107</v>
      </c>
      <c r="D55" t="s">
        <v>83</v>
      </c>
    </row>
    <row r="56" spans="1:4" x14ac:dyDescent="0.3">
      <c r="A56" s="9">
        <f t="shared" si="0"/>
        <v>46</v>
      </c>
      <c r="B56" s="10" t="s">
        <v>133</v>
      </c>
      <c r="C56" t="s">
        <v>103</v>
      </c>
      <c r="D56" t="s">
        <v>84</v>
      </c>
    </row>
    <row r="57" spans="1:4" x14ac:dyDescent="0.3">
      <c r="A57" s="9">
        <f t="shared" si="0"/>
        <v>47</v>
      </c>
      <c r="B57" s="10" t="s">
        <v>134</v>
      </c>
      <c r="C57" t="s">
        <v>108</v>
      </c>
      <c r="D57" t="s">
        <v>85</v>
      </c>
    </row>
    <row r="58" spans="1:4" x14ac:dyDescent="0.3">
      <c r="A58" s="9">
        <f t="shared" si="0"/>
        <v>48</v>
      </c>
      <c r="B58" s="10" t="s">
        <v>134</v>
      </c>
      <c r="C58" t="s">
        <v>109</v>
      </c>
      <c r="D58" t="s">
        <v>86</v>
      </c>
    </row>
    <row r="59" spans="1:4" x14ac:dyDescent="0.3">
      <c r="A59" s="9">
        <f t="shared" si="0"/>
        <v>49</v>
      </c>
      <c r="B59" s="10" t="s">
        <v>134</v>
      </c>
      <c r="C59" t="s">
        <v>110</v>
      </c>
      <c r="D59" t="s">
        <v>87</v>
      </c>
    </row>
    <row r="60" spans="1:4" x14ac:dyDescent="0.3">
      <c r="A60" s="9">
        <f t="shared" si="0"/>
        <v>50</v>
      </c>
      <c r="B60" s="10" t="s">
        <v>135</v>
      </c>
      <c r="C60" t="s">
        <v>111</v>
      </c>
      <c r="D60" t="s">
        <v>88</v>
      </c>
    </row>
    <row r="61" spans="1:4" x14ac:dyDescent="0.3">
      <c r="A61" s="9">
        <f t="shared" si="0"/>
        <v>51</v>
      </c>
      <c r="B61" s="10" t="s">
        <v>135</v>
      </c>
      <c r="C61" t="s">
        <v>112</v>
      </c>
      <c r="D61" t="s">
        <v>89</v>
      </c>
    </row>
    <row r="62" spans="1:4" x14ac:dyDescent="0.3">
      <c r="A62" s="9">
        <f t="shared" si="0"/>
        <v>52</v>
      </c>
      <c r="B62" s="10" t="s">
        <v>136</v>
      </c>
      <c r="C62" t="s">
        <v>113</v>
      </c>
      <c r="D62" t="s">
        <v>90</v>
      </c>
    </row>
    <row r="63" spans="1:4" x14ac:dyDescent="0.3">
      <c r="A63" s="9">
        <f t="shared" si="0"/>
        <v>53</v>
      </c>
      <c r="B63" s="10" t="s">
        <v>136</v>
      </c>
      <c r="C63" t="s">
        <v>114</v>
      </c>
      <c r="D63" t="s">
        <v>91</v>
      </c>
    </row>
    <row r="64" spans="1:4" x14ac:dyDescent="0.3">
      <c r="A64" s="9"/>
      <c r="B64" s="10"/>
    </row>
    <row r="65" spans="1:2" x14ac:dyDescent="0.3">
      <c r="A65" s="9"/>
      <c r="B65" s="10"/>
    </row>
    <row r="66" spans="1:2" x14ac:dyDescent="0.3">
      <c r="A66" s="9"/>
      <c r="B66" s="10"/>
    </row>
    <row r="67" spans="1:2" x14ac:dyDescent="0.3">
      <c r="A67" s="9"/>
      <c r="B67" s="10"/>
    </row>
    <row r="68" spans="1:2" x14ac:dyDescent="0.3">
      <c r="A68" s="9"/>
      <c r="B68" s="10"/>
    </row>
    <row r="69" spans="1:2" x14ac:dyDescent="0.3">
      <c r="A69" s="9"/>
      <c r="B69" s="10"/>
    </row>
    <row r="70" spans="1:2" x14ac:dyDescent="0.3">
      <c r="A70" s="9"/>
      <c r="B70" s="10"/>
    </row>
    <row r="71" spans="1:2" x14ac:dyDescent="0.3">
      <c r="A71" s="9"/>
      <c r="B71" s="10"/>
    </row>
    <row r="72" spans="1:2" x14ac:dyDescent="0.3">
      <c r="A72" s="9"/>
      <c r="B72" s="10"/>
    </row>
    <row r="73" spans="1:2" x14ac:dyDescent="0.3">
      <c r="A73" s="10"/>
    </row>
    <row r="74" spans="1:2" x14ac:dyDescent="0.3">
      <c r="A74" s="10"/>
    </row>
    <row r="75" spans="1:2" x14ac:dyDescent="0.3">
      <c r="A75" s="10"/>
    </row>
    <row r="76" spans="1:2" x14ac:dyDescent="0.3">
      <c r="A76" s="10"/>
    </row>
    <row r="77" spans="1:2" x14ac:dyDescent="0.3">
      <c r="A77" s="10"/>
    </row>
    <row r="78" spans="1:2" x14ac:dyDescent="0.3">
      <c r="A78" s="10"/>
    </row>
    <row r="79" spans="1:2" x14ac:dyDescent="0.3">
      <c r="A79" s="10"/>
    </row>
    <row r="80" spans="1:2" x14ac:dyDescent="0.3">
      <c r="A80" s="10"/>
    </row>
    <row r="81" spans="1:1" x14ac:dyDescent="0.3">
      <c r="A81" s="10"/>
    </row>
    <row r="82" spans="1:1" x14ac:dyDescent="0.3">
      <c r="A82" s="10"/>
    </row>
    <row r="83" spans="1:1" x14ac:dyDescent="0.3">
      <c r="A83" s="10"/>
    </row>
    <row r="84" spans="1:1" x14ac:dyDescent="0.3">
      <c r="A84" s="10"/>
    </row>
    <row r="85" spans="1:1" x14ac:dyDescent="0.3">
      <c r="A85" s="10"/>
    </row>
    <row r="86" spans="1:1" x14ac:dyDescent="0.3">
      <c r="A86" s="10"/>
    </row>
    <row r="88" spans="1:1" x14ac:dyDescent="0.3">
      <c r="A88" s="10"/>
    </row>
    <row r="89" spans="1:1" x14ac:dyDescent="0.3">
      <c r="A89" s="10"/>
    </row>
    <row r="90" spans="1:1" x14ac:dyDescent="0.3">
      <c r="A90" s="10"/>
    </row>
    <row r="91" spans="1:1" x14ac:dyDescent="0.3">
      <c r="A91" s="10"/>
    </row>
    <row r="92" spans="1:1" x14ac:dyDescent="0.3">
      <c r="A92" s="10"/>
    </row>
    <row r="93" spans="1:1" x14ac:dyDescent="0.3">
      <c r="A93" s="10"/>
    </row>
    <row r="94" spans="1:1" x14ac:dyDescent="0.3">
      <c r="A94" s="10"/>
    </row>
    <row r="95" spans="1:1" x14ac:dyDescent="0.3">
      <c r="A95" s="10"/>
    </row>
    <row r="96" spans="1:1" x14ac:dyDescent="0.3">
      <c r="A96" s="10"/>
    </row>
    <row r="97" spans="1:1" x14ac:dyDescent="0.3">
      <c r="A97" s="10"/>
    </row>
    <row r="98" spans="1:1" x14ac:dyDescent="0.3">
      <c r="A98" s="10"/>
    </row>
    <row r="99" spans="1:1" x14ac:dyDescent="0.3">
      <c r="A99" s="10"/>
    </row>
    <row r="100" spans="1:1" x14ac:dyDescent="0.3">
      <c r="A100" s="10"/>
    </row>
    <row r="101" spans="1:1" x14ac:dyDescent="0.3">
      <c r="A101" s="10"/>
    </row>
    <row r="102" spans="1:1" x14ac:dyDescent="0.3">
      <c r="A102" s="10"/>
    </row>
    <row r="103" spans="1:1" x14ac:dyDescent="0.3">
      <c r="A103" s="10"/>
    </row>
    <row r="104" spans="1:1" x14ac:dyDescent="0.3">
      <c r="A104" s="10"/>
    </row>
    <row r="105" spans="1:1" x14ac:dyDescent="0.3">
      <c r="A105" s="10"/>
    </row>
    <row r="106" spans="1:1" x14ac:dyDescent="0.3">
      <c r="A106" s="10"/>
    </row>
    <row r="107" spans="1:1" x14ac:dyDescent="0.3">
      <c r="A107" s="10"/>
    </row>
    <row r="108" spans="1:1" x14ac:dyDescent="0.3">
      <c r="A108" s="10"/>
    </row>
    <row r="109" spans="1:1" x14ac:dyDescent="0.3">
      <c r="A109" s="10"/>
    </row>
    <row r="110" spans="1:1" x14ac:dyDescent="0.3">
      <c r="A110" s="10"/>
    </row>
    <row r="111" spans="1:1" x14ac:dyDescent="0.3">
      <c r="A111" s="10"/>
    </row>
    <row r="112" spans="1:1" x14ac:dyDescent="0.3">
      <c r="A112" s="10"/>
    </row>
    <row r="113" spans="1:1" x14ac:dyDescent="0.3">
      <c r="A113" s="10"/>
    </row>
    <row r="114" spans="1:1" x14ac:dyDescent="0.3">
      <c r="A114" s="10"/>
    </row>
    <row r="115" spans="1:1" x14ac:dyDescent="0.3">
      <c r="A115" s="10"/>
    </row>
    <row r="116" spans="1:1" x14ac:dyDescent="0.3">
      <c r="A116" s="10"/>
    </row>
    <row r="117" spans="1:1" x14ac:dyDescent="0.3">
      <c r="A117" s="10"/>
    </row>
    <row r="118" spans="1:1" x14ac:dyDescent="0.3">
      <c r="A118" s="10"/>
    </row>
    <row r="119" spans="1:1" x14ac:dyDescent="0.3">
      <c r="A119" s="10"/>
    </row>
    <row r="120" spans="1:1" x14ac:dyDescent="0.3">
      <c r="A120" s="10"/>
    </row>
    <row r="121" spans="1:1" x14ac:dyDescent="0.3">
      <c r="A121" s="10"/>
    </row>
    <row r="122" spans="1:1" x14ac:dyDescent="0.3">
      <c r="A122" s="10"/>
    </row>
    <row r="123" spans="1:1" x14ac:dyDescent="0.3">
      <c r="A123" s="10"/>
    </row>
    <row r="124" spans="1:1" x14ac:dyDescent="0.3">
      <c r="A124" s="10"/>
    </row>
    <row r="125" spans="1:1" x14ac:dyDescent="0.3">
      <c r="A125" s="10"/>
    </row>
    <row r="126" spans="1:1" x14ac:dyDescent="0.3">
      <c r="A126" s="10"/>
    </row>
    <row r="127" spans="1:1" x14ac:dyDescent="0.3">
      <c r="A127" s="10"/>
    </row>
    <row r="128" spans="1:1" x14ac:dyDescent="0.3">
      <c r="A128" s="10"/>
    </row>
    <row r="129" spans="1:1" x14ac:dyDescent="0.3">
      <c r="A129" s="10"/>
    </row>
    <row r="130" spans="1:1" x14ac:dyDescent="0.3">
      <c r="A130" s="10"/>
    </row>
  </sheetData>
  <mergeCells count="2">
    <mergeCell ref="A5:F6"/>
    <mergeCell ref="A8:F8"/>
  </mergeCells>
  <hyperlinks>
    <hyperlink ref="A11" location="'GLM_ExampleCalc'!A1" display="1" xr:uid="{38A96751-2721-47A5-B13C-4F2E083B94D3}"/>
    <hyperlink ref="A12" location="'GLM_DesignMatrix'!A1" display="2" xr:uid="{F971E7EC-D4F5-44BA-A2D8-8DA0BFADBFEC}"/>
    <hyperlink ref="A13" location="'GLM_Offsets'!A1" display="3" xr:uid="{89A18C4B-BCDE-44C4-ADE2-C3860CEFFDBB}"/>
    <hyperlink ref="A14" location="'GLM_Quantiles'!A1" display="4" xr:uid="{813F4468-5B88-4EC9-8734-FFC4A7B24749}"/>
    <hyperlink ref="A15" location="'GLM_DLC'!A1" display="5" xr:uid="{F42D9BAB-22F2-4D52-B1CE-155FFC41E639}"/>
    <hyperlink ref="A16" location="'GLM_LRChart'!A1" display="6" xr:uid="{5E6F6D7D-DE01-48E8-9F1C-C67C3B20A8A8}"/>
    <hyperlink ref="A17" location="'GLM_ConfMatrix'!A1" display="7" xr:uid="{0F78D8F8-F33F-4127-A80E-99C63F61FB55}"/>
    <hyperlink ref="A18" location="'GLM_Sensitivity'!A1" display="8" xr:uid="{91FB0610-2A9C-4235-8185-6445E8801154}"/>
    <hyperlink ref="A19" location="'Fisher_QuintilesTest'!A1" display="9" xr:uid="{FBC3B02E-2850-4B19-AF45-79963DD12E60}"/>
    <hyperlink ref="A20" location="'Fisher_QuintilesTest2'!A1" display="10" xr:uid="{5D0E6D6A-5C1E-4396-B1FE-5483FE21B8B8}"/>
    <hyperlink ref="A21" location="'Fisher_Efficiency'!A1" display="11" xr:uid="{DFD35F17-4E20-40A2-B0DE-C93FC2C4D742}"/>
    <hyperlink ref="A22" location="'Fisher_RS5'!A1" display="12" xr:uid="{BA3BE5D6-A82D-42F5-B77D-AD7020E202BA}"/>
    <hyperlink ref="A23" location="'Fisher_RS7'!A1" display="13" xr:uid="{452B39BC-02FD-4040-9931-13409C8474A5}"/>
    <hyperlink ref="A24" location="'Fisher_CashflowRetro'!A1" display="14" xr:uid="{CCEF73C6-D034-4497-ADC5-0D3F0719A213}"/>
    <hyperlink ref="A25" location="'Fisher_CashflowLDD'!A1" display="15" xr:uid="{A857A1ED-A320-4446-A40C-F3E50CDDA599}"/>
    <hyperlink ref="A26" location="'Fisher_AggDed1'!A1" display="16" xr:uid="{20704899-EC64-4D91-BF33-BF2F1A13D7AF}"/>
    <hyperlink ref="A27" location="'Fisher_AggDed2'!A1" display="17" xr:uid="{D94CD13F-0BBD-4689-AE05-A29E8D8F94E7}"/>
    <hyperlink ref="A28" location="'Fisher_UniTableM'!A1" display="18" xr:uid="{4F8D01E7-7164-4AB3-AAD9-1F11A1251A71}"/>
    <hyperlink ref="A29" location="'Fisher_ExpTableM'!A1" display="19" xr:uid="{D203C006-CE06-463C-8831-E3D456B38F51}"/>
    <hyperlink ref="A30" location="'Fisher_EstNetInsCharge'!A1" display="20" xr:uid="{92ECAC98-E0DA-4B48-B138-FDE6BC80E32D}"/>
    <hyperlink ref="A31" location="'Fisher_TblMBalEqDeriv'!A1" display="21" xr:uid="{48C7210E-3C2D-488B-A314-6B6A11B4D9F7}"/>
    <hyperlink ref="A32" location="'Fisher_LtdTblMBalEqDeriv'!A1" display="22" xr:uid="{F32B286D-7EB6-473F-A3E5-5D69F7DF58C5}"/>
    <hyperlink ref="A33" location="'Fisher_TblLBalEqDeriv'!A1" display="23" xr:uid="{2EC892D0-16BC-4D38-A671-8B6A313DE540}"/>
    <hyperlink ref="A34" location="'Fisher_Vert'!A1" display="24" xr:uid="{72070D72-17E2-4109-AAFA-9F75B252B345}"/>
    <hyperlink ref="A35" location="'Fisher_Horiz'!A1" display="25" xr:uid="{137A7A9B-6C1B-4A1E-B442-1C1522D96A74}"/>
    <hyperlink ref="A36" location="'Fisher_Ch3Q13'!A1" display="26" xr:uid="{542E09E1-DF76-44FC-B71D-AE828F1A4E9E}"/>
    <hyperlink ref="A37" location="'Fisher_Ch3Q14'!A1" display="27" xr:uid="{EC49DE7F-01EC-443B-B8A5-DE61EB505AD3}"/>
    <hyperlink ref="A38" location="'Fisher_TableLEx'!A1" display="28" xr:uid="{33BE7631-C17D-4D9B-9F30-17DD72656C1D}"/>
    <hyperlink ref="A39" location="'Fisher_ICRLLEx'!A1" display="29" xr:uid="{CDC24BCF-4F20-4B0E-8999-C1357634E2EA}"/>
    <hyperlink ref="A40" location="'Bahnemann_Ex5-4'!A1" display="30" xr:uid="{DB9CA706-F24F-415F-86FE-27BBBC00A800}"/>
    <hyperlink ref="A41" location="'Bahnemann_Ex6-3'!A1" display="31" xr:uid="{C9D1BD5E-64A5-4E09-8B6C-182F277305A6}"/>
    <hyperlink ref="A42" location="'Bahnemann_Consistency'!A1" display="32" xr:uid="{A26D0F6D-BDA8-4DFB-9221-B5BDAD1324BF}"/>
    <hyperlink ref="A43" location="'Bahnemann_StrDed'!A1" display="33" xr:uid="{41EEF797-F675-4106-9A52-CD037613D8D2}"/>
    <hyperlink ref="A44" location="'Bahnemann_FranchDed'!A1" display="34" xr:uid="{B15C844C-EF0E-49C3-99BE-24D8DE1C3DB0}"/>
    <hyperlink ref="A45" location="'2014_Q5'!A1" display="35" xr:uid="{AE5B3497-3AB8-4408-8BDC-1DF3B33D0AA7}"/>
    <hyperlink ref="A46" location="'2012_Q6'!A1" display="36" xr:uid="{B8A64B81-B45C-4EDD-B0C5-5011FE73CF19}"/>
    <hyperlink ref="A47" location="'2011_Q1'!A1" display="37" xr:uid="{58348963-8345-42A6-BCB7-EB96C0F335C3}"/>
    <hyperlink ref="A48" location="'ISO_StandardCSLC'!A1" display="38" xr:uid="{4B158CF4-3F20-4AC4-9162-72AAF57DD40C}"/>
    <hyperlink ref="A49" location="'ISO_PACR_CSLC'!A1" display="39" xr:uid="{11830A30-9821-42BA-8AB6-238DCC169DED}"/>
    <hyperlink ref="A50" location="'ISO_HistExp_CSLC'!A1" display="40" xr:uid="{79E01C7C-80EB-4EC1-967C-68F821016B4E}"/>
    <hyperlink ref="A51" location="'ISO_CalcExpMod'!A1" display="41" xr:uid="{83A72B2E-D8DC-402E-AAB2-2345B4487FE4}"/>
    <hyperlink ref="A52" location="'ISO_NoBasicPremiums'!A1" display="42" xr:uid="{0D71A3B0-FCB3-44DF-858E-6051DB07FC51}"/>
    <hyperlink ref="A53" location="'Q5_2015'!A1" display="43" xr:uid="{6AAD2DBE-EA51-4A78-91FB-1E0F91D85D88}"/>
    <hyperlink ref="A54" location="'Q2_2011'!A1" display="44" xr:uid="{04E11E7F-1BF7-47F6-9863-DB3D3CCF96BC}"/>
    <hyperlink ref="A55" location="'Q5_2012'!A1" display="45" xr:uid="{A47889AB-E4A9-42C8-B643-04CEE2762ACB}"/>
    <hyperlink ref="A56" location="'NCCI_ExperienceEx'!A1" display="46" xr:uid="{5D50519E-22B6-4B70-88FC-AD47CE576A55}"/>
    <hyperlink ref="A57" location="'Q1a_2018'!A1" display="47" xr:uid="{DF505179-ABB0-4714-903F-0D87EEABF344}"/>
    <hyperlink ref="A58" location="'Q1b_2018'!A1" display="48" xr:uid="{8F65C83A-0068-423D-BF6A-D6A393EEF106}"/>
    <hyperlink ref="A59" location="'Mahler_Rating'!A1" display="49" xr:uid="{9F99831A-407B-4232-9ACB-22617FD18C59}"/>
    <hyperlink ref="A60" location="'NCCI_BasicPremFactor'!A1" display="50" xr:uid="{999AE5E4-8B4E-4FA3-9736-0C1AB605CD6E}"/>
    <hyperlink ref="A61" location="'NCCI_BasicPremFactorPractice'!A1" display="51" xr:uid="{495240B9-67AA-41AC-9C23-2419B5A2CD2C}"/>
    <hyperlink ref="A62" location="'NCCI_InfoMergeEx'!A1" display="52" xr:uid="{D5A2ABBA-51D3-4A3D-BBCD-3266B01E2B1D}"/>
    <hyperlink ref="A63" location="'NCCI_InfoSevPDF'!A1" display="53" xr:uid="{DB024FB3-5D54-4B93-970F-2BAAB692064E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2D86-2C89-4BE8-8878-98E093D11A0C}">
  <sheetPr codeName="Sheet71"/>
  <dimension ref="A1:Z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8.109375" customWidth="1"/>
    <col min="4" max="4" width="23.6640625" customWidth="1"/>
    <col min="5" max="5" width="16.33203125" bestFit="1" customWidth="1"/>
    <col min="6" max="10" width="6.6640625" customWidth="1"/>
    <col min="11" max="11" width="10.6640625" customWidth="1"/>
    <col min="12" max="12" width="2.6640625" customWidth="1"/>
    <col min="13" max="13" width="15.6640625" customWidth="1"/>
    <col min="14" max="14" width="14.44140625" bestFit="1" customWidth="1"/>
    <col min="15" max="15" width="9.44140625" customWidth="1"/>
    <col min="16" max="16" width="3.6640625" customWidth="1"/>
    <col min="17" max="17" width="14.33203125" customWidth="1"/>
    <col min="18" max="18" width="14.6640625" customWidth="1"/>
    <col min="19" max="19" width="13.109375" customWidth="1"/>
    <col min="20" max="23" width="5.6640625" customWidth="1"/>
    <col min="24" max="24" width="18.109375" customWidth="1"/>
  </cols>
  <sheetData>
    <row r="1" spans="1:26" x14ac:dyDescent="0.3">
      <c r="A1" s="32" t="s">
        <v>137</v>
      </c>
      <c r="B1" s="33"/>
      <c r="C1" s="33" t="s">
        <v>123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Y1" s="10"/>
    </row>
    <row r="2" spans="1:26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6"/>
      <c r="K2" s="37"/>
      <c r="L2" s="10"/>
      <c r="M2" t="s">
        <v>647</v>
      </c>
      <c r="Y2" s="10"/>
    </row>
    <row r="3" spans="1:26" x14ac:dyDescent="0.3">
      <c r="A3" s="35" t="s">
        <v>141</v>
      </c>
      <c r="B3" s="36"/>
      <c r="C3" s="36" t="s">
        <v>646</v>
      </c>
      <c r="D3" s="36"/>
      <c r="E3" s="36"/>
      <c r="F3" s="36"/>
      <c r="G3" s="36"/>
      <c r="H3" s="36"/>
      <c r="I3" s="36"/>
      <c r="J3" s="36"/>
      <c r="K3" s="37"/>
      <c r="L3" s="10"/>
      <c r="M3" t="s">
        <v>648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V4" s="13"/>
      <c r="W4" s="13"/>
      <c r="X4" s="13"/>
      <c r="Y4" s="14"/>
      <c r="Z4" s="13"/>
    </row>
    <row r="5" spans="1:26" ht="15" customHeight="1" x14ac:dyDescent="0.3">
      <c r="A5" s="41" t="s">
        <v>144</v>
      </c>
      <c r="B5" s="36"/>
      <c r="C5" s="344" t="str">
        <f>"A ~ Uniform ["&amp;B11&amp;", "&amp;B12&amp;"]"</f>
        <v>A ~ Uniform [0, 100]</v>
      </c>
      <c r="D5" s="36" t="s">
        <v>649</v>
      </c>
      <c r="E5" s="36"/>
      <c r="F5" s="36"/>
      <c r="G5" s="36"/>
      <c r="H5" s="36"/>
      <c r="I5" s="36"/>
      <c r="J5" s="36"/>
      <c r="K5" s="40"/>
      <c r="L5" s="14"/>
      <c r="M5" s="338" t="s">
        <v>651</v>
      </c>
      <c r="N5" s="339"/>
      <c r="V5" s="13"/>
      <c r="W5" s="13"/>
      <c r="X5" s="13"/>
      <c r="Y5" s="14"/>
      <c r="Z5" s="13"/>
    </row>
    <row r="6" spans="1:26" x14ac:dyDescent="0.3">
      <c r="A6" s="45"/>
      <c r="B6" s="36"/>
      <c r="C6" s="345">
        <f>B13</f>
        <v>50</v>
      </c>
      <c r="D6" s="36" t="s">
        <v>650</v>
      </c>
      <c r="E6" s="36"/>
      <c r="F6" s="36"/>
      <c r="G6" s="36"/>
      <c r="H6" s="36"/>
      <c r="I6" s="36"/>
      <c r="J6" s="36"/>
      <c r="K6" s="40"/>
      <c r="L6" s="14"/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t="s">
        <v>653</v>
      </c>
      <c r="V7" s="13"/>
      <c r="W7" s="13"/>
      <c r="X7" s="13"/>
      <c r="Y7" s="14"/>
      <c r="Z7" s="13"/>
    </row>
    <row r="8" spans="1:26" ht="15" customHeight="1" x14ac:dyDescent="0.3">
      <c r="A8" s="35" t="s">
        <v>173</v>
      </c>
      <c r="B8" s="39"/>
      <c r="C8" s="36" t="s">
        <v>652</v>
      </c>
      <c r="D8" s="36"/>
      <c r="E8" s="36"/>
      <c r="F8" s="36"/>
      <c r="G8" s="36"/>
      <c r="H8" s="36"/>
      <c r="I8" s="36"/>
      <c r="J8" s="36"/>
      <c r="K8" s="40"/>
      <c r="L8" s="14"/>
      <c r="V8" s="13"/>
      <c r="W8" s="13"/>
      <c r="X8" s="13"/>
      <c r="Y8" s="14"/>
      <c r="Z8" s="13"/>
    </row>
    <row r="9" spans="1:26" x14ac:dyDescent="0.3">
      <c r="A9" s="41"/>
      <c r="B9" s="39"/>
      <c r="C9" s="36"/>
      <c r="D9" s="36"/>
      <c r="E9" s="36"/>
      <c r="F9" s="36"/>
      <c r="G9" s="36"/>
      <c r="H9" s="36"/>
      <c r="I9" s="36"/>
      <c r="J9" s="36"/>
      <c r="K9" s="40"/>
      <c r="L9" s="14"/>
      <c r="M9" s="86" t="s">
        <v>654</v>
      </c>
      <c r="N9" s="87" t="s">
        <v>657</v>
      </c>
      <c r="V9" s="13"/>
      <c r="W9" s="13"/>
      <c r="X9" s="13"/>
      <c r="Y9" s="14"/>
      <c r="Z9" s="13"/>
    </row>
    <row r="10" spans="1:26" x14ac:dyDescent="0.3">
      <c r="A10" s="38"/>
      <c r="B10" s="39"/>
      <c r="C10" s="333" t="s">
        <v>654</v>
      </c>
      <c r="D10" s="212" t="s">
        <v>655</v>
      </c>
      <c r="E10" s="49" t="s">
        <v>656</v>
      </c>
      <c r="F10" s="36"/>
      <c r="G10" s="36"/>
      <c r="H10" s="36"/>
      <c r="I10" s="36"/>
      <c r="J10" s="36"/>
      <c r="K10" s="40"/>
      <c r="L10" s="14"/>
      <c r="M10" s="61">
        <f>C11</f>
        <v>40</v>
      </c>
      <c r="N10" s="99">
        <f>M10/$C$6</f>
        <v>0.8</v>
      </c>
      <c r="V10" s="13"/>
      <c r="W10" s="13"/>
      <c r="X10" s="13"/>
      <c r="Y10" s="14"/>
      <c r="Z10" s="13"/>
    </row>
    <row r="11" spans="1:26" x14ac:dyDescent="0.3">
      <c r="A11" s="38"/>
      <c r="B11" s="248">
        <v>0</v>
      </c>
      <c r="C11" s="77">
        <v>40</v>
      </c>
      <c r="D11" s="181" t="s">
        <v>629</v>
      </c>
      <c r="E11" s="337" t="s">
        <v>629</v>
      </c>
      <c r="F11" s="36"/>
      <c r="G11" s="36"/>
      <c r="H11" s="36"/>
      <c r="I11" s="36"/>
      <c r="J11" s="36"/>
      <c r="K11" s="40"/>
      <c r="L11" s="14"/>
      <c r="M11" s="61">
        <f>C12</f>
        <v>50</v>
      </c>
      <c r="N11" s="346">
        <f t="shared" ref="N11:N12" si="0">M11/$C$6</f>
        <v>1</v>
      </c>
      <c r="V11" s="13"/>
      <c r="W11" s="13"/>
      <c r="X11" s="13"/>
      <c r="Y11" s="14"/>
      <c r="Z11" s="13"/>
    </row>
    <row r="12" spans="1:26" x14ac:dyDescent="0.3">
      <c r="A12" s="38"/>
      <c r="B12" s="248">
        <v>100</v>
      </c>
      <c r="C12" s="77">
        <v>50</v>
      </c>
      <c r="D12" s="181" t="s">
        <v>629</v>
      </c>
      <c r="E12" s="337" t="s">
        <v>629</v>
      </c>
      <c r="F12" s="36"/>
      <c r="G12" s="36"/>
      <c r="H12" s="36"/>
      <c r="I12" s="36"/>
      <c r="J12" s="36"/>
      <c r="K12" s="40"/>
      <c r="L12" s="14"/>
      <c r="M12" s="65">
        <f>C13</f>
        <v>60</v>
      </c>
      <c r="N12" s="102">
        <f t="shared" si="0"/>
        <v>1.2</v>
      </c>
      <c r="V12" s="13"/>
      <c r="W12" s="13"/>
      <c r="X12" s="13"/>
      <c r="Y12" s="14"/>
      <c r="Z12" s="13"/>
    </row>
    <row r="13" spans="1:26" x14ac:dyDescent="0.3">
      <c r="A13" s="38"/>
      <c r="B13" s="248">
        <f>AVERAGE(B11,B12)</f>
        <v>50</v>
      </c>
      <c r="C13" s="82">
        <v>60</v>
      </c>
      <c r="D13" s="319" t="s">
        <v>629</v>
      </c>
      <c r="E13" s="185" t="s">
        <v>629</v>
      </c>
      <c r="F13" s="36"/>
      <c r="G13" s="36"/>
      <c r="H13" s="36"/>
      <c r="I13" s="36"/>
      <c r="J13" s="36"/>
      <c r="K13" s="40"/>
      <c r="L13" s="14"/>
      <c r="V13" s="13"/>
      <c r="W13" s="13"/>
      <c r="X13" s="13"/>
      <c r="Y13" s="14"/>
      <c r="Z13" s="13"/>
    </row>
    <row r="14" spans="1:26" ht="15" thickBot="1" x14ac:dyDescent="0.35">
      <c r="A14" s="188"/>
      <c r="B14" s="189"/>
      <c r="C14" s="54"/>
      <c r="D14" s="54"/>
      <c r="E14" s="54"/>
      <c r="F14" s="54"/>
      <c r="G14" s="54"/>
      <c r="H14" s="54"/>
      <c r="I14" s="54"/>
      <c r="J14" s="54"/>
      <c r="K14" s="85"/>
      <c r="L14" s="14"/>
      <c r="M14" s="215"/>
      <c r="N14" s="216"/>
      <c r="O14" s="217"/>
      <c r="V14" s="13"/>
      <c r="W14" s="13"/>
      <c r="X14" s="13"/>
      <c r="Y14" s="14"/>
      <c r="Z14" s="13"/>
    </row>
    <row r="15" spans="1:26" x14ac:dyDescent="0.3">
      <c r="K15" s="13"/>
      <c r="L15" s="14"/>
      <c r="M15" s="340" t="s">
        <v>658</v>
      </c>
      <c r="N15" s="341"/>
      <c r="O15" s="342"/>
      <c r="Q15" s="3" t="s">
        <v>659</v>
      </c>
      <c r="V15" s="13"/>
      <c r="W15" s="13"/>
      <c r="X15" s="13"/>
      <c r="Y15" s="14"/>
      <c r="Z15" s="13"/>
    </row>
    <row r="16" spans="1:26" x14ac:dyDescent="0.3">
      <c r="K16" s="13"/>
      <c r="L16" s="14"/>
      <c r="M16" s="218"/>
      <c r="N16" s="219"/>
      <c r="O16" s="220"/>
      <c r="V16" s="13"/>
      <c r="W16" s="13"/>
      <c r="X16" s="13"/>
      <c r="Y16" s="14"/>
      <c r="Z16" s="13"/>
    </row>
    <row r="17" spans="11:26" x14ac:dyDescent="0.3">
      <c r="K17" s="13"/>
      <c r="L17" s="14"/>
      <c r="Y17" s="14"/>
      <c r="Z17" s="13"/>
    </row>
    <row r="18" spans="11:26" x14ac:dyDescent="0.3">
      <c r="K18" s="13"/>
      <c r="L18" s="14"/>
      <c r="M18" t="str">
        <f>"Since the expected loss is a scalar, namely " &amp;C6&amp;", we scale the cumulative distribution for A by dividing it by this amount."</f>
        <v>Since the expected loss is a scalar, namely 50, we scale the cumulative distribution for A by dividing it by this amount.</v>
      </c>
      <c r="Y18" s="14"/>
      <c r="Z18" s="13"/>
    </row>
    <row r="19" spans="11:26" ht="15" customHeight="1" x14ac:dyDescent="0.3">
      <c r="K19" s="13"/>
      <c r="L19" s="14"/>
      <c r="M19" t="str">
        <f>"Since A is defined uniformly on ["&amp;B11&amp;", "&amp;B12&amp;"], this means Y = A / E is defined uniformly on ["&amp;B11/C6&amp;", "&amp;B12/C6&amp;"] (and is zero everywhere else)."</f>
        <v>Since A is defined uniformly on [0, 100], this means Y = A / E is defined uniformly on [0, 2] (and is zero everywhere else).</v>
      </c>
      <c r="Y19" s="14"/>
      <c r="Z19" s="13"/>
    </row>
    <row r="20" spans="11:26" x14ac:dyDescent="0.3">
      <c r="K20" s="13"/>
      <c r="L20" s="14"/>
      <c r="V20" s="13"/>
      <c r="W20" s="13"/>
      <c r="X20" s="13"/>
      <c r="Y20" s="14"/>
      <c r="Z20" s="13"/>
    </row>
    <row r="21" spans="11:26" x14ac:dyDescent="0.3">
      <c r="K21" s="13"/>
      <c r="L21" s="14"/>
      <c r="M21" t="s">
        <v>660</v>
      </c>
      <c r="R21" t="s">
        <v>661</v>
      </c>
      <c r="S21" s="13"/>
      <c r="T21" s="13"/>
      <c r="U21" s="13"/>
      <c r="V21" s="13"/>
      <c r="W21" s="13"/>
      <c r="X21" s="13"/>
      <c r="Y21" s="14"/>
      <c r="Z21" s="13"/>
    </row>
    <row r="22" spans="11:26" x14ac:dyDescent="0.3">
      <c r="K22" s="13"/>
      <c r="L22" s="14"/>
      <c r="S22" s="13"/>
      <c r="T22" s="13"/>
      <c r="U22" s="13"/>
      <c r="V22" s="13"/>
      <c r="W22" s="13"/>
      <c r="X22" s="13"/>
      <c r="Y22" s="14"/>
      <c r="Z22" s="13"/>
    </row>
    <row r="23" spans="11:26" ht="15" customHeight="1" x14ac:dyDescent="0.3">
      <c r="K23" s="13"/>
      <c r="L23" s="14"/>
      <c r="M23" t="str">
        <f>"We'll illustrate plugging this into the Table M Charge formula for r = "&amp; N10&amp;":"</f>
        <v>We'll illustrate plugging this into the Table M Charge formula for r = 0.8:</v>
      </c>
      <c r="S23" s="13"/>
      <c r="T23" s="13"/>
      <c r="U23" s="13"/>
      <c r="V23" s="13"/>
      <c r="W23" s="13"/>
      <c r="X23" s="13"/>
      <c r="Y23" s="14"/>
      <c r="Z23" s="13"/>
    </row>
    <row r="24" spans="11:26" ht="15" customHeight="1" x14ac:dyDescent="0.3">
      <c r="K24" s="13"/>
      <c r="L24" s="14"/>
      <c r="S24" s="13"/>
      <c r="T24" s="13"/>
      <c r="U24" s="13"/>
      <c r="V24" s="13"/>
      <c r="W24" s="13"/>
      <c r="X24" s="13"/>
      <c r="Y24" s="14"/>
      <c r="Z24" s="13"/>
    </row>
    <row r="25" spans="11:26" ht="15" customHeight="1" x14ac:dyDescent="0.3">
      <c r="K25" s="13"/>
      <c r="L25" s="14"/>
      <c r="P25" s="16">
        <v>0.36</v>
      </c>
      <c r="S25" s="13"/>
      <c r="T25" s="13"/>
      <c r="U25" s="13"/>
      <c r="V25" s="13"/>
      <c r="W25" s="13"/>
      <c r="X25" s="13"/>
      <c r="Y25" s="14"/>
      <c r="Z25" s="13"/>
    </row>
    <row r="26" spans="11:26" ht="15" customHeight="1" x14ac:dyDescent="0.3">
      <c r="K26" s="13"/>
      <c r="L26" s="14"/>
      <c r="S26" s="13"/>
      <c r="T26" s="13"/>
      <c r="U26" s="13"/>
      <c r="V26" s="13"/>
      <c r="W26" s="13"/>
      <c r="X26" s="13"/>
      <c r="Y26" s="14"/>
      <c r="Z26" s="13"/>
    </row>
    <row r="27" spans="11:26" ht="15" customHeight="1" x14ac:dyDescent="0.3">
      <c r="K27" s="13"/>
      <c r="L27" s="14"/>
      <c r="M27" t="str">
        <f>"The associated insurance charge at r = "&amp;N10&amp;"  is then"</f>
        <v>The associated insurance charge at r = 0.8  is then</v>
      </c>
      <c r="R27" t="str">
        <f>TEXT(C6,"0")&amp;" * "&amp;P25&amp; " = "&amp;C6*P25</f>
        <v>50 * 0.36 = 18</v>
      </c>
      <c r="S27" s="13"/>
      <c r="T27" s="13"/>
      <c r="U27" s="13"/>
      <c r="V27" s="13"/>
      <c r="W27" s="13"/>
      <c r="X27" s="13"/>
      <c r="Y27" s="14"/>
      <c r="Z27" s="13"/>
    </row>
    <row r="28" spans="11:26" ht="15" customHeight="1" x14ac:dyDescent="0.3">
      <c r="K28" s="13"/>
      <c r="L28" s="14"/>
      <c r="S28" s="13"/>
      <c r="T28" s="13"/>
      <c r="U28" s="13"/>
      <c r="V28" s="13"/>
      <c r="W28" s="13"/>
      <c r="X28" s="13"/>
      <c r="Y28" s="14"/>
      <c r="Z28" s="13"/>
    </row>
    <row r="29" spans="11:26" x14ac:dyDescent="0.3">
      <c r="K29" s="13"/>
      <c r="L29" s="14"/>
      <c r="M29" t="s">
        <v>662</v>
      </c>
      <c r="S29" s="13"/>
      <c r="T29" s="13"/>
      <c r="U29" s="13"/>
      <c r="V29" s="13"/>
      <c r="W29" s="13"/>
      <c r="X29" s="13"/>
      <c r="Y29" s="14"/>
      <c r="Z29" s="13"/>
    </row>
    <row r="30" spans="11:26" x14ac:dyDescent="0.3">
      <c r="K30" s="13"/>
      <c r="L30" s="14"/>
      <c r="S30" s="13"/>
      <c r="T30" s="13"/>
      <c r="U30" s="13"/>
      <c r="V30" s="13"/>
      <c r="W30" s="13"/>
      <c r="X30" s="13"/>
      <c r="Y30" s="14"/>
      <c r="Z30" s="13"/>
    </row>
    <row r="31" spans="11:26" ht="28.8" x14ac:dyDescent="0.3">
      <c r="K31" s="13"/>
      <c r="L31" s="14"/>
      <c r="M31" s="86" t="s">
        <v>654</v>
      </c>
      <c r="N31" s="211" t="s">
        <v>655</v>
      </c>
      <c r="O31" s="255" t="s">
        <v>656</v>
      </c>
      <c r="S31" s="13"/>
      <c r="T31" s="13"/>
      <c r="U31" s="13"/>
      <c r="V31" s="13"/>
      <c r="W31" s="13"/>
      <c r="X31" s="13"/>
      <c r="Y31" s="14"/>
      <c r="Z31" s="13"/>
    </row>
    <row r="32" spans="11:26" x14ac:dyDescent="0.3">
      <c r="K32" s="13"/>
      <c r="L32" s="14"/>
      <c r="M32" s="77">
        <v>40</v>
      </c>
      <c r="N32" s="347">
        <f>($B$11+$B$12)/($B$12-$B$11)*($B$12/($B$11+$B$12)-N10/2)^2</f>
        <v>0.36</v>
      </c>
      <c r="O32" s="157">
        <f>$C$6*N32</f>
        <v>18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3"/>
      <c r="L33" s="14"/>
      <c r="M33" s="77">
        <v>50</v>
      </c>
      <c r="N33" s="347">
        <f t="shared" ref="N33:N34" si="1">($B$11+$B$12)/($B$12-$B$11)*($B$12/($B$11+$B$12)-N11/2)^2</f>
        <v>0.25</v>
      </c>
      <c r="O33" s="157">
        <f t="shared" ref="O33:O34" si="2">$C$6*N33</f>
        <v>12.5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3"/>
      <c r="L34" s="14"/>
      <c r="M34" s="82">
        <v>60</v>
      </c>
      <c r="N34" s="348">
        <f t="shared" si="1"/>
        <v>0.16000000000000003</v>
      </c>
      <c r="O34" s="164">
        <f t="shared" si="2"/>
        <v>8.0000000000000018</v>
      </c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3"/>
      <c r="L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3"/>
      <c r="L36" s="14"/>
      <c r="Y36" s="14"/>
      <c r="Z36" s="13"/>
    </row>
    <row r="37" spans="1:26" x14ac:dyDescent="0.3">
      <c r="K37" s="13"/>
      <c r="L37" s="14"/>
      <c r="Y37" s="14"/>
      <c r="Z37" s="13"/>
    </row>
    <row r="38" spans="1:26" x14ac:dyDescent="0.3">
      <c r="K38" s="13"/>
      <c r="L38" s="14"/>
      <c r="M38" s="3" t="s">
        <v>663</v>
      </c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13"/>
      <c r="B39" s="13"/>
      <c r="K39" s="13"/>
      <c r="L39" s="14"/>
      <c r="M39" s="3" t="s">
        <v>664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L40" s="14"/>
      <c r="M40" s="343" t="s">
        <v>665</v>
      </c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L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L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L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L44" s="14"/>
      <c r="Y44" s="14"/>
      <c r="Z44" s="13"/>
    </row>
    <row r="45" spans="1:26" x14ac:dyDescent="0.3">
      <c r="L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L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L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L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3">
      <c r="L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2:25" x14ac:dyDescent="0.3">
      <c r="L65" s="14"/>
      <c r="Y65" s="14"/>
    </row>
    <row r="66" spans="12:25" x14ac:dyDescent="0.3">
      <c r="L66" s="14"/>
      <c r="Y66" s="14"/>
    </row>
    <row r="67" spans="12:25" x14ac:dyDescent="0.3">
      <c r="L67" s="14"/>
      <c r="Y67" s="14"/>
    </row>
    <row r="68" spans="12:25" x14ac:dyDescent="0.3">
      <c r="L68" s="14"/>
      <c r="Y68" s="14"/>
    </row>
    <row r="69" spans="12:25" x14ac:dyDescent="0.3">
      <c r="L69" s="14"/>
      <c r="Y69" s="14"/>
    </row>
    <row r="70" spans="12:25" x14ac:dyDescent="0.3">
      <c r="L70" s="14"/>
      <c r="Y70" s="14"/>
    </row>
    <row r="71" spans="12:25" x14ac:dyDescent="0.3">
      <c r="L71" s="14"/>
      <c r="Y71" s="14"/>
    </row>
    <row r="72" spans="12:25" x14ac:dyDescent="0.3">
      <c r="L72" s="14"/>
      <c r="Y72" s="14"/>
    </row>
    <row r="73" spans="12:25" x14ac:dyDescent="0.3">
      <c r="L73" s="14"/>
      <c r="Y73" s="14"/>
    </row>
    <row r="74" spans="12:25" x14ac:dyDescent="0.3">
      <c r="L74" s="14"/>
      <c r="Y74" s="14"/>
    </row>
    <row r="75" spans="12:25" x14ac:dyDescent="0.3">
      <c r="L75" s="14"/>
      <c r="Y75" s="14"/>
    </row>
    <row r="76" spans="12:25" x14ac:dyDescent="0.3">
      <c r="L76" s="14"/>
      <c r="Y76" s="14"/>
    </row>
    <row r="77" spans="12:25" x14ac:dyDescent="0.3">
      <c r="L77" s="14"/>
      <c r="Y77" s="14"/>
    </row>
    <row r="78" spans="12:25" x14ac:dyDescent="0.3">
      <c r="L78" s="14"/>
      <c r="Y78" s="14"/>
    </row>
    <row r="79" spans="12:25" x14ac:dyDescent="0.3">
      <c r="L79" s="14"/>
      <c r="Y79" s="14"/>
    </row>
    <row r="80" spans="12:25" x14ac:dyDescent="0.3">
      <c r="L80" s="14"/>
      <c r="Y80" s="14"/>
    </row>
    <row r="81" spans="12:25" x14ac:dyDescent="0.3">
      <c r="L81" s="14"/>
      <c r="Y81" s="14"/>
    </row>
    <row r="82" spans="12:25" x14ac:dyDescent="0.3">
      <c r="L82" s="14"/>
      <c r="Y82" s="14"/>
    </row>
    <row r="83" spans="12:25" x14ac:dyDescent="0.3">
      <c r="L83" s="14"/>
      <c r="Y83" s="14"/>
    </row>
    <row r="84" spans="12:25" x14ac:dyDescent="0.3">
      <c r="L84" s="14"/>
      <c r="Y84" s="14"/>
    </row>
    <row r="85" spans="12:25" x14ac:dyDescent="0.3">
      <c r="L85" s="14"/>
      <c r="Y85" s="14"/>
    </row>
    <row r="86" spans="12:25" x14ac:dyDescent="0.3">
      <c r="L86" s="14"/>
      <c r="Y86" s="14"/>
    </row>
    <row r="87" spans="12:25" x14ac:dyDescent="0.3">
      <c r="L87" s="14"/>
      <c r="Y87" s="14"/>
    </row>
    <row r="88" spans="12:25" x14ac:dyDescent="0.3">
      <c r="L88" s="14"/>
      <c r="Y88" s="14"/>
    </row>
    <row r="89" spans="12:25" x14ac:dyDescent="0.3">
      <c r="L89" s="14"/>
      <c r="Y89" s="14"/>
    </row>
    <row r="90" spans="12:25" x14ac:dyDescent="0.3">
      <c r="L90" s="14"/>
      <c r="Y90" s="14"/>
    </row>
    <row r="91" spans="12:25" x14ac:dyDescent="0.3">
      <c r="L91" s="14"/>
      <c r="Y91" s="14"/>
    </row>
    <row r="92" spans="12:25" x14ac:dyDescent="0.3">
      <c r="L92" s="14"/>
      <c r="Y92" s="14"/>
    </row>
    <row r="93" spans="12:25" x14ac:dyDescent="0.3">
      <c r="L93" s="14"/>
      <c r="Y93" s="14"/>
    </row>
    <row r="94" spans="12:25" x14ac:dyDescent="0.3">
      <c r="L94" s="14"/>
      <c r="Y94" s="14"/>
    </row>
    <row r="95" spans="12:25" x14ac:dyDescent="0.3">
      <c r="L95" s="14"/>
      <c r="Y95" s="14"/>
    </row>
    <row r="96" spans="12:25" x14ac:dyDescent="0.3">
      <c r="L96" s="14"/>
      <c r="Y96" s="14"/>
    </row>
    <row r="97" spans="1:25" x14ac:dyDescent="0.3">
      <c r="L97" s="14"/>
      <c r="Y97" s="14"/>
    </row>
    <row r="98" spans="1:25" x14ac:dyDescent="0.3">
      <c r="L98" s="14"/>
      <c r="Y98" s="14"/>
    </row>
    <row r="99" spans="1:25" x14ac:dyDescent="0.3">
      <c r="L99" s="14"/>
      <c r="Y99" s="14"/>
    </row>
    <row r="100" spans="1:25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4"/>
    </row>
    <row r="102" spans="1:25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4"/>
    </row>
    <row r="104" spans="1:25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4"/>
    </row>
    <row r="105" spans="1:25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4"/>
    </row>
    <row r="106" spans="1:25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4"/>
    </row>
    <row r="107" spans="1:25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4"/>
    </row>
    <row r="108" spans="1:25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4"/>
    </row>
    <row r="109" spans="1:25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4"/>
    </row>
    <row r="110" spans="1:25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4"/>
    </row>
    <row r="111" spans="1:25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4"/>
    </row>
    <row r="112" spans="1:25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4"/>
    </row>
    <row r="113" spans="12:25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4"/>
    </row>
    <row r="114" spans="12:25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4"/>
    </row>
    <row r="115" spans="12:25" x14ac:dyDescent="0.3">
      <c r="L115" s="14"/>
      <c r="Y115" s="14"/>
    </row>
    <row r="116" spans="12:25" x14ac:dyDescent="0.3">
      <c r="L116" s="14"/>
      <c r="Y116" s="14"/>
    </row>
    <row r="117" spans="12:25" x14ac:dyDescent="0.3">
      <c r="L117" s="14"/>
      <c r="Y117" s="14"/>
    </row>
    <row r="118" spans="12:25" x14ac:dyDescent="0.3">
      <c r="L118" s="14"/>
      <c r="Y118" s="14"/>
    </row>
    <row r="119" spans="12:25" x14ac:dyDescent="0.3">
      <c r="L119" s="14"/>
      <c r="Y119" s="14"/>
    </row>
    <row r="120" spans="12:25" x14ac:dyDescent="0.3">
      <c r="L120" s="14"/>
      <c r="Y120" s="14"/>
    </row>
    <row r="121" spans="12:25" x14ac:dyDescent="0.3">
      <c r="L121" s="14"/>
      <c r="Y121" s="14"/>
    </row>
    <row r="122" spans="12:25" x14ac:dyDescent="0.3">
      <c r="L122" s="14"/>
      <c r="Y122" s="14"/>
    </row>
    <row r="123" spans="12:25" x14ac:dyDescent="0.3">
      <c r="L123" s="14"/>
      <c r="Y123" s="14"/>
    </row>
    <row r="124" spans="12:25" x14ac:dyDescent="0.3">
      <c r="L124" s="14"/>
      <c r="Y124" s="14"/>
    </row>
    <row r="125" spans="12:25" x14ac:dyDescent="0.3">
      <c r="L125" s="14"/>
      <c r="Y125" s="14"/>
    </row>
    <row r="126" spans="12:25" x14ac:dyDescent="0.3">
      <c r="L126" s="14"/>
      <c r="Y126" s="14"/>
    </row>
    <row r="127" spans="12:25" x14ac:dyDescent="0.3">
      <c r="L127" s="14"/>
      <c r="Y127" s="14"/>
    </row>
    <row r="128" spans="12:25" x14ac:dyDescent="0.3">
      <c r="L128" s="14"/>
      <c r="Y128" s="14"/>
    </row>
    <row r="129" spans="12:25" x14ac:dyDescent="0.3">
      <c r="L129" s="14"/>
      <c r="Y129" s="14"/>
    </row>
    <row r="130" spans="12:25" x14ac:dyDescent="0.3">
      <c r="L130" s="14"/>
      <c r="Y130" s="14"/>
    </row>
    <row r="131" spans="12:25" x14ac:dyDescent="0.3">
      <c r="L131" s="14"/>
      <c r="Y131" s="14"/>
    </row>
    <row r="132" spans="12:25" x14ac:dyDescent="0.3">
      <c r="L132" s="14"/>
      <c r="Y132" s="14"/>
    </row>
    <row r="133" spans="12:25" x14ac:dyDescent="0.3">
      <c r="L133" s="14"/>
      <c r="Y133" s="14"/>
    </row>
    <row r="134" spans="12:25" x14ac:dyDescent="0.3">
      <c r="L134" s="14"/>
      <c r="Y134" s="14"/>
    </row>
    <row r="135" spans="12:25" x14ac:dyDescent="0.3">
      <c r="L135" s="14"/>
      <c r="Y135" s="14"/>
    </row>
    <row r="136" spans="12:25" x14ac:dyDescent="0.3">
      <c r="L136" s="14"/>
      <c r="Y136" s="14"/>
    </row>
    <row r="137" spans="12:25" x14ac:dyDescent="0.3">
      <c r="L137" s="14"/>
      <c r="Y137" s="14"/>
    </row>
    <row r="138" spans="12:25" x14ac:dyDescent="0.3">
      <c r="L138" s="14"/>
      <c r="Y138" s="14"/>
    </row>
    <row r="139" spans="12:25" x14ac:dyDescent="0.3">
      <c r="L139" s="14"/>
      <c r="Y139" s="14"/>
    </row>
    <row r="140" spans="12:25" x14ac:dyDescent="0.3">
      <c r="L140" s="14"/>
      <c r="Y140" s="14"/>
    </row>
    <row r="141" spans="12:25" x14ac:dyDescent="0.3">
      <c r="L141" s="14"/>
      <c r="Y141" s="14"/>
    </row>
    <row r="142" spans="12:25" x14ac:dyDescent="0.3">
      <c r="L142" s="14"/>
      <c r="Y142" s="14"/>
    </row>
    <row r="143" spans="12:25" x14ac:dyDescent="0.3">
      <c r="L143" s="14"/>
      <c r="Y143" s="14"/>
    </row>
    <row r="144" spans="12:25" x14ac:dyDescent="0.3">
      <c r="L144" s="14"/>
      <c r="Y144" s="14"/>
    </row>
    <row r="145" spans="1:25" x14ac:dyDescent="0.3">
      <c r="L145" s="14"/>
      <c r="Y145" s="14"/>
    </row>
    <row r="146" spans="1:25" x14ac:dyDescent="0.3">
      <c r="L146" s="14"/>
      <c r="Y146" s="14"/>
    </row>
    <row r="147" spans="1:25" x14ac:dyDescent="0.3">
      <c r="L147" s="14"/>
      <c r="Y147" s="14"/>
    </row>
    <row r="148" spans="1:25" x14ac:dyDescent="0.3">
      <c r="L148" s="14"/>
      <c r="Y148" s="14"/>
    </row>
    <row r="149" spans="1:25" x14ac:dyDescent="0.3">
      <c r="L149" s="14"/>
      <c r="Y149" s="14"/>
    </row>
    <row r="150" spans="1:25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x14ac:dyDescent="0.3">
      <c r="L151" s="14"/>
      <c r="Y151" s="14"/>
    </row>
    <row r="152" spans="1:25" x14ac:dyDescent="0.3">
      <c r="L152" s="14"/>
      <c r="Y152" s="14"/>
    </row>
    <row r="153" spans="1:25" x14ac:dyDescent="0.3">
      <c r="L153" s="14"/>
      <c r="Y153" s="14"/>
    </row>
    <row r="154" spans="1:25" x14ac:dyDescent="0.3">
      <c r="L154" s="14"/>
      <c r="Y154" s="14"/>
    </row>
    <row r="155" spans="1:25" x14ac:dyDescent="0.3">
      <c r="L155" s="14"/>
      <c r="Y155" s="14"/>
    </row>
    <row r="156" spans="1:25" x14ac:dyDescent="0.3">
      <c r="L156" s="14"/>
      <c r="Y156" s="14"/>
    </row>
    <row r="157" spans="1:25" x14ac:dyDescent="0.3">
      <c r="L157" s="14"/>
      <c r="Y157" s="14"/>
    </row>
    <row r="158" spans="1:25" x14ac:dyDescent="0.3">
      <c r="L158" s="14"/>
      <c r="Y158" s="14"/>
    </row>
  </sheetData>
  <mergeCells count="1">
    <mergeCell ref="J1:K1"/>
  </mergeCells>
  <hyperlinks>
    <hyperlink ref="J1" location="TOC!A1" display="Return to TOC" xr:uid="{0C0E84B1-06A8-465A-AA85-FC3E1737F2E2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FB04-4693-43CB-8529-A1B752A256F8}">
  <sheetPr codeName="Sheet72"/>
  <dimension ref="A1:Y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3.5546875" customWidth="1"/>
    <col min="4" max="4" width="15" bestFit="1" customWidth="1"/>
    <col min="5" max="5" width="16.6640625" bestFit="1" customWidth="1"/>
    <col min="6" max="6" width="17.33203125" customWidth="1"/>
    <col min="7" max="7" width="12.5546875" bestFit="1" customWidth="1"/>
    <col min="9" max="10" width="9.109375" customWidth="1"/>
    <col min="11" max="11" width="2.6640625" customWidth="1"/>
    <col min="12" max="13" width="15.6640625" customWidth="1"/>
    <col min="14" max="14" width="14.33203125" customWidth="1"/>
    <col min="15" max="15" width="24.6640625" customWidth="1"/>
    <col min="16" max="16" width="9.6640625" customWidth="1"/>
    <col min="17" max="19" width="9.109375" customWidth="1"/>
    <col min="20" max="23" width="4.6640625" customWidth="1"/>
  </cols>
  <sheetData>
    <row r="1" spans="1:25" x14ac:dyDescent="0.3">
      <c r="A1" s="32" t="s">
        <v>137</v>
      </c>
      <c r="B1" s="33"/>
      <c r="C1" s="33" t="s">
        <v>123</v>
      </c>
      <c r="D1" s="34"/>
      <c r="E1" s="33"/>
      <c r="F1" s="33"/>
      <c r="G1" s="33"/>
      <c r="H1" s="33"/>
      <c r="I1" s="772" t="s">
        <v>199</v>
      </c>
      <c r="J1" s="773"/>
      <c r="L1" s="12" t="s">
        <v>140</v>
      </c>
      <c r="X1" s="10"/>
    </row>
    <row r="2" spans="1:25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7"/>
      <c r="L2" t="s">
        <v>667</v>
      </c>
      <c r="X2" s="10"/>
    </row>
    <row r="3" spans="1:25" x14ac:dyDescent="0.3">
      <c r="A3" s="35" t="s">
        <v>141</v>
      </c>
      <c r="B3" s="36"/>
      <c r="C3" s="36" t="s">
        <v>666</v>
      </c>
      <c r="D3" s="36"/>
      <c r="E3" s="36"/>
      <c r="F3" s="36"/>
      <c r="G3" s="36"/>
      <c r="H3" s="36"/>
      <c r="I3" s="36"/>
      <c r="J3" s="37"/>
      <c r="L3" s="215"/>
      <c r="M3" s="216"/>
      <c r="N3" s="216"/>
      <c r="O3" s="217"/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L4" s="340" t="s">
        <v>670</v>
      </c>
      <c r="M4" s="341"/>
      <c r="N4" s="349" t="s">
        <v>671</v>
      </c>
      <c r="O4" s="342"/>
      <c r="X4" s="14"/>
      <c r="Y4" s="13"/>
    </row>
    <row r="5" spans="1:25" ht="15" customHeight="1" x14ac:dyDescent="0.3">
      <c r="A5" s="41" t="s">
        <v>144</v>
      </c>
      <c r="B5" s="36"/>
      <c r="C5" s="36" t="s">
        <v>668</v>
      </c>
      <c r="D5" s="36" t="s">
        <v>669</v>
      </c>
      <c r="E5" s="36"/>
      <c r="F5" s="36"/>
      <c r="G5" s="36"/>
      <c r="H5" s="36"/>
      <c r="I5" s="36"/>
      <c r="J5" s="37"/>
      <c r="L5" s="218"/>
      <c r="M5" s="219"/>
      <c r="N5" s="219"/>
      <c r="O5" s="220"/>
      <c r="U5" s="13"/>
      <c r="V5" s="13"/>
      <c r="W5" s="13"/>
      <c r="X5" s="14"/>
      <c r="Y5" s="13"/>
    </row>
    <row r="6" spans="1:25" x14ac:dyDescent="0.3">
      <c r="A6" s="45"/>
      <c r="B6" s="42">
        <v>10</v>
      </c>
      <c r="C6" s="36" t="str">
        <f>"E[A] = "&amp;B6</f>
        <v>E[A] = 10</v>
      </c>
      <c r="D6" s="36"/>
      <c r="E6" s="36"/>
      <c r="F6" s="36"/>
      <c r="G6" s="36"/>
      <c r="H6" s="36"/>
      <c r="I6" s="36"/>
      <c r="J6" s="37"/>
      <c r="U6" s="13"/>
      <c r="V6" s="13"/>
      <c r="W6" s="13"/>
      <c r="X6" s="14"/>
      <c r="Y6" s="13"/>
    </row>
    <row r="7" spans="1:25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7"/>
      <c r="L7" s="215"/>
      <c r="M7" s="216"/>
      <c r="N7" s="216"/>
      <c r="O7" s="217"/>
      <c r="U7" s="13"/>
      <c r="V7" s="13"/>
      <c r="W7" s="13"/>
      <c r="X7" s="14"/>
      <c r="Y7" s="13"/>
    </row>
    <row r="8" spans="1:25" ht="15" customHeight="1" x14ac:dyDescent="0.3">
      <c r="A8" s="35" t="s">
        <v>173</v>
      </c>
      <c r="B8" s="39"/>
      <c r="C8" s="36" t="s">
        <v>672</v>
      </c>
      <c r="D8" s="36"/>
      <c r="E8" s="36"/>
      <c r="F8" s="36"/>
      <c r="G8" s="36"/>
      <c r="H8" s="36"/>
      <c r="I8" s="36"/>
      <c r="J8" s="37"/>
      <c r="L8" s="350" t="s">
        <v>673</v>
      </c>
      <c r="M8" s="341"/>
      <c r="N8" s="341"/>
      <c r="O8" s="342"/>
      <c r="U8" s="13"/>
      <c r="V8" s="13"/>
      <c r="W8" s="13"/>
      <c r="X8" s="14"/>
      <c r="Y8" s="13"/>
    </row>
    <row r="9" spans="1:25" x14ac:dyDescent="0.3">
      <c r="A9" s="41"/>
      <c r="B9" s="39"/>
      <c r="C9" s="36"/>
      <c r="D9" s="36"/>
      <c r="E9" s="36"/>
      <c r="F9" s="36"/>
      <c r="G9" s="36"/>
      <c r="H9" s="36"/>
      <c r="I9" s="36"/>
      <c r="J9" s="37"/>
      <c r="L9" s="218"/>
      <c r="M9" s="219"/>
      <c r="N9" s="219"/>
      <c r="O9" s="220"/>
      <c r="U9" s="13"/>
      <c r="V9" s="13"/>
      <c r="W9" s="13"/>
      <c r="X9" s="14"/>
      <c r="Y9" s="13"/>
    </row>
    <row r="10" spans="1:25" x14ac:dyDescent="0.3">
      <c r="A10" s="38"/>
      <c r="B10" s="39"/>
      <c r="C10" s="333" t="s">
        <v>654</v>
      </c>
      <c r="D10" s="212" t="s">
        <v>41</v>
      </c>
      <c r="E10" s="96" t="s">
        <v>674</v>
      </c>
      <c r="F10" s="36"/>
      <c r="G10" s="36"/>
      <c r="H10" s="36"/>
      <c r="I10" s="36"/>
      <c r="J10" s="37"/>
      <c r="U10" s="13"/>
      <c r="V10" s="13"/>
      <c r="W10" s="13"/>
      <c r="X10" s="14"/>
      <c r="Y10" s="13"/>
    </row>
    <row r="11" spans="1:25" x14ac:dyDescent="0.3">
      <c r="A11" s="38"/>
      <c r="B11" s="39"/>
      <c r="C11" s="77">
        <v>5</v>
      </c>
      <c r="D11" s="181" t="s">
        <v>629</v>
      </c>
      <c r="E11" s="337" t="s">
        <v>629</v>
      </c>
      <c r="F11" s="36"/>
      <c r="G11" s="36"/>
      <c r="H11" s="36"/>
      <c r="I11" s="36"/>
      <c r="J11" s="37"/>
      <c r="L11" t="s">
        <v>675</v>
      </c>
      <c r="U11" s="13"/>
      <c r="V11" s="13"/>
      <c r="W11" s="13"/>
      <c r="X11" s="14"/>
      <c r="Y11" s="13"/>
    </row>
    <row r="12" spans="1:25" x14ac:dyDescent="0.3">
      <c r="A12" s="38"/>
      <c r="B12" s="39"/>
      <c r="C12" s="77">
        <v>10</v>
      </c>
      <c r="D12" s="181" t="s">
        <v>629</v>
      </c>
      <c r="E12" s="337" t="s">
        <v>629</v>
      </c>
      <c r="F12" s="36"/>
      <c r="G12" s="36"/>
      <c r="H12" s="36"/>
      <c r="I12" s="36"/>
      <c r="J12" s="37"/>
      <c r="L12" t="s">
        <v>676</v>
      </c>
      <c r="U12" s="13"/>
      <c r="V12" s="13"/>
      <c r="W12" s="13"/>
      <c r="X12" s="14"/>
      <c r="Y12" s="13"/>
    </row>
    <row r="13" spans="1:25" x14ac:dyDescent="0.3">
      <c r="A13" s="38"/>
      <c r="B13" s="39"/>
      <c r="C13" s="82">
        <v>15</v>
      </c>
      <c r="D13" s="319" t="s">
        <v>629</v>
      </c>
      <c r="E13" s="185" t="s">
        <v>629</v>
      </c>
      <c r="F13" s="36"/>
      <c r="G13" s="36"/>
      <c r="H13" s="36"/>
      <c r="I13" s="36"/>
      <c r="J13" s="37"/>
      <c r="U13" s="13"/>
      <c r="V13" s="13"/>
      <c r="W13" s="13"/>
      <c r="X13" s="14"/>
      <c r="Y13" s="13"/>
    </row>
    <row r="14" spans="1:25" ht="15" thickBot="1" x14ac:dyDescent="0.35">
      <c r="A14" s="188"/>
      <c r="B14" s="189"/>
      <c r="C14" s="54"/>
      <c r="D14" s="54"/>
      <c r="E14" s="54"/>
      <c r="F14" s="54"/>
      <c r="G14" s="54"/>
      <c r="H14" s="54"/>
      <c r="I14" s="54"/>
      <c r="J14" s="55"/>
      <c r="L14" t="s">
        <v>677</v>
      </c>
      <c r="O14" s="3" t="s">
        <v>678</v>
      </c>
      <c r="U14" s="13"/>
      <c r="V14" s="13"/>
      <c r="W14" s="13"/>
      <c r="X14" s="14"/>
      <c r="Y14" s="13"/>
    </row>
    <row r="15" spans="1:25" x14ac:dyDescent="0.3">
      <c r="U15" s="13"/>
      <c r="V15" s="13"/>
      <c r="W15" s="13"/>
      <c r="X15" s="14"/>
      <c r="Y15" s="13"/>
    </row>
    <row r="16" spans="1:25" x14ac:dyDescent="0.3">
      <c r="L16" t="s">
        <v>679</v>
      </c>
      <c r="U16" s="13"/>
      <c r="V16" s="13"/>
      <c r="W16" s="13"/>
      <c r="X16" s="14"/>
      <c r="Y16" s="13"/>
    </row>
    <row r="17" spans="12:25" x14ac:dyDescent="0.3">
      <c r="U17" s="13"/>
      <c r="V17" s="13"/>
      <c r="W17" s="13"/>
      <c r="X17" s="14"/>
      <c r="Y17" s="13"/>
    </row>
    <row r="18" spans="12:25" x14ac:dyDescent="0.3">
      <c r="L18" t="s">
        <v>680</v>
      </c>
      <c r="M18" t="s">
        <v>681</v>
      </c>
      <c r="U18" s="13"/>
      <c r="V18" s="13"/>
      <c r="W18" s="13"/>
      <c r="X18" s="14"/>
      <c r="Y18" s="13"/>
    </row>
    <row r="19" spans="12:25" ht="15" customHeight="1" x14ac:dyDescent="0.3">
      <c r="U19" s="13"/>
      <c r="V19" s="13"/>
      <c r="W19" s="13"/>
      <c r="X19" s="14"/>
      <c r="Y19" s="13"/>
    </row>
    <row r="20" spans="12:25" ht="15.6" x14ac:dyDescent="0.35">
      <c r="L20" t="s">
        <v>682</v>
      </c>
      <c r="U20" s="13"/>
      <c r="V20" s="13"/>
      <c r="W20" s="13"/>
      <c r="X20" s="14"/>
      <c r="Y20" s="13"/>
    </row>
    <row r="21" spans="12:25" x14ac:dyDescent="0.3">
      <c r="R21" s="13"/>
      <c r="U21" s="13"/>
      <c r="V21" s="13"/>
      <c r="W21" s="13"/>
      <c r="X21" s="14"/>
      <c r="Y21" s="13"/>
    </row>
    <row r="22" spans="12:25" x14ac:dyDescent="0.3">
      <c r="L22" t="str">
        <f>"Using the above, our exponential distribution A which has mean "&amp;B6&amp;", yields a = 1 / "&amp;B6&amp;". So the p.d.f. of Y is:"</f>
        <v>Using the above, our exponential distribution A which has mean 10, yields a = 1 / 10. So the p.d.f. of Y is:</v>
      </c>
      <c r="R22" s="13"/>
      <c r="S22" s="13"/>
      <c r="T22" s="13"/>
      <c r="U22" s="13"/>
      <c r="V22" s="13"/>
      <c r="W22" s="13"/>
      <c r="X22" s="14"/>
      <c r="Y22" s="13"/>
    </row>
    <row r="23" spans="12:25" ht="15" customHeight="1" x14ac:dyDescent="0.3">
      <c r="R23" s="13"/>
      <c r="S23" s="13"/>
      <c r="T23" s="13"/>
      <c r="U23" s="13"/>
      <c r="V23" s="13"/>
      <c r="W23" s="13"/>
      <c r="X23" s="14"/>
      <c r="Y23" s="13"/>
    </row>
    <row r="24" spans="12:25" ht="15" customHeight="1" x14ac:dyDescent="0.3">
      <c r="R24" s="13"/>
      <c r="S24" s="13"/>
      <c r="T24" s="13"/>
      <c r="U24" s="13"/>
      <c r="V24" s="13"/>
      <c r="W24" s="13"/>
      <c r="X24" s="14"/>
      <c r="Y24" s="13"/>
    </row>
    <row r="25" spans="12:25" ht="15" customHeight="1" x14ac:dyDescent="0.3">
      <c r="R25" s="13"/>
      <c r="S25" s="13"/>
      <c r="T25" s="13"/>
      <c r="U25" s="13"/>
      <c r="V25" s="13"/>
      <c r="W25" s="13"/>
      <c r="X25" s="14"/>
      <c r="Y25" s="13"/>
    </row>
    <row r="26" spans="12:25" ht="15" customHeight="1" x14ac:dyDescent="0.3">
      <c r="R26" s="13"/>
      <c r="S26" s="13"/>
      <c r="T26" s="13"/>
      <c r="U26" s="13"/>
      <c r="V26" s="13"/>
      <c r="W26" s="13"/>
      <c r="X26" s="14"/>
      <c r="Y26" s="13"/>
    </row>
    <row r="27" spans="12:25" ht="15" customHeight="1" x14ac:dyDescent="0.3">
      <c r="R27" s="13"/>
      <c r="S27" s="13"/>
      <c r="T27" s="13"/>
      <c r="U27" s="13"/>
      <c r="V27" s="13"/>
      <c r="W27" s="13"/>
      <c r="X27" s="14"/>
      <c r="Y27" s="13"/>
    </row>
    <row r="28" spans="12:25" ht="15" customHeight="1" x14ac:dyDescent="0.3">
      <c r="L28" t="s">
        <v>683</v>
      </c>
      <c r="R28" s="13"/>
      <c r="S28" s="13"/>
      <c r="T28" s="13"/>
      <c r="U28" s="13"/>
      <c r="V28" s="13"/>
      <c r="W28" s="13"/>
      <c r="X28" s="14"/>
      <c r="Y28" s="13"/>
    </row>
    <row r="29" spans="12:25" x14ac:dyDescent="0.3">
      <c r="R29" s="13"/>
      <c r="S29" s="13"/>
      <c r="T29" s="13"/>
      <c r="U29" s="13"/>
      <c r="V29" s="13"/>
      <c r="W29" s="13"/>
      <c r="X29" s="14"/>
      <c r="Y29" s="13"/>
    </row>
    <row r="30" spans="12:25" x14ac:dyDescent="0.3">
      <c r="L30" t="s">
        <v>684</v>
      </c>
      <c r="R30" s="13"/>
      <c r="S30" s="13"/>
      <c r="T30" s="13"/>
      <c r="U30" s="13"/>
      <c r="V30" s="13"/>
      <c r="W30" s="13"/>
      <c r="X30" s="14"/>
      <c r="Y30" s="13"/>
    </row>
    <row r="31" spans="12:25" x14ac:dyDescent="0.3">
      <c r="R31" s="13"/>
      <c r="S31" s="13"/>
      <c r="T31" s="13"/>
      <c r="U31" s="13"/>
      <c r="V31" s="13"/>
      <c r="W31" s="13"/>
      <c r="X31" s="14"/>
      <c r="Y31" s="13"/>
    </row>
    <row r="32" spans="12:25" x14ac:dyDescent="0.3">
      <c r="L32" t="s">
        <v>685</v>
      </c>
      <c r="R32" s="13"/>
      <c r="S32" s="13"/>
      <c r="T32" s="13"/>
      <c r="U32" s="13"/>
      <c r="V32" s="13"/>
      <c r="W32" s="13"/>
      <c r="X32" s="14"/>
      <c r="Y32" s="13"/>
    </row>
    <row r="33" spans="1:25" x14ac:dyDescent="0.3">
      <c r="R33" s="13"/>
      <c r="S33" s="13"/>
      <c r="T33" s="13"/>
      <c r="U33" s="13"/>
      <c r="V33" s="13"/>
      <c r="W33" s="13"/>
      <c r="X33" s="14"/>
      <c r="Y33" s="13"/>
    </row>
    <row r="34" spans="1:25" x14ac:dyDescent="0.3">
      <c r="L34" s="86" t="s">
        <v>654</v>
      </c>
      <c r="M34" s="211" t="s">
        <v>657</v>
      </c>
      <c r="N34" s="211" t="s">
        <v>41</v>
      </c>
      <c r="O34" s="87" t="s">
        <v>674</v>
      </c>
      <c r="R34" s="13"/>
      <c r="S34" s="13"/>
      <c r="T34" s="13"/>
      <c r="U34" s="13"/>
      <c r="V34" s="13"/>
      <c r="W34" s="13"/>
      <c r="X34" s="14"/>
      <c r="Y34" s="13"/>
    </row>
    <row r="35" spans="1:25" x14ac:dyDescent="0.3">
      <c r="L35" s="61">
        <f>C11</f>
        <v>5</v>
      </c>
      <c r="M35" s="351">
        <f>L35/$B$6</f>
        <v>0.5</v>
      </c>
      <c r="N35" s="352">
        <f>M35+EXP(-1*M35)-1</f>
        <v>0.10653065971263342</v>
      </c>
      <c r="O35" s="353">
        <f>$B$6*N35</f>
        <v>1.0653065971263342</v>
      </c>
      <c r="R35" s="13"/>
      <c r="S35" s="13"/>
      <c r="T35" s="13"/>
      <c r="U35" s="13"/>
      <c r="V35" s="13"/>
      <c r="W35" s="13"/>
      <c r="X35" s="14"/>
      <c r="Y35" s="13"/>
    </row>
    <row r="36" spans="1:25" x14ac:dyDescent="0.3">
      <c r="L36" s="61">
        <f>C12</f>
        <v>10</v>
      </c>
      <c r="M36" s="351">
        <f t="shared" ref="M36:M37" si="0">L36/$B$6</f>
        <v>1</v>
      </c>
      <c r="N36" s="352">
        <f t="shared" ref="N36:N37" si="1">M36+EXP(-1*M36)-1</f>
        <v>0.36787944117144233</v>
      </c>
      <c r="O36" s="353">
        <f t="shared" ref="O36:O37" si="2">$B$6*N36</f>
        <v>3.6787944117144233</v>
      </c>
      <c r="R36" s="13"/>
      <c r="S36" s="13"/>
      <c r="T36" s="13"/>
      <c r="U36" s="13"/>
      <c r="V36" s="13"/>
      <c r="W36" s="13"/>
      <c r="X36" s="14"/>
      <c r="Y36" s="13"/>
    </row>
    <row r="37" spans="1:25" x14ac:dyDescent="0.3">
      <c r="L37" s="65">
        <f>C13</f>
        <v>15</v>
      </c>
      <c r="M37" s="354">
        <f t="shared" si="0"/>
        <v>1.5</v>
      </c>
      <c r="N37" s="355">
        <f t="shared" si="1"/>
        <v>0.7231301601484299</v>
      </c>
      <c r="O37" s="356">
        <f t="shared" si="2"/>
        <v>7.231301601484299</v>
      </c>
      <c r="R37" s="13"/>
      <c r="S37" s="13"/>
      <c r="T37" s="13"/>
      <c r="U37" s="13"/>
      <c r="V37" s="13"/>
      <c r="W37" s="13"/>
      <c r="X37" s="14"/>
      <c r="Y37" s="13"/>
    </row>
    <row r="38" spans="1:25" x14ac:dyDescent="0.3">
      <c r="R38" s="13"/>
      <c r="S38" s="13"/>
      <c r="T38" s="13"/>
      <c r="U38" s="13"/>
      <c r="V38" s="13"/>
      <c r="W38" s="13"/>
      <c r="X38" s="14"/>
      <c r="Y38" s="13"/>
    </row>
    <row r="39" spans="1:25" x14ac:dyDescent="0.3">
      <c r="A39" s="13"/>
      <c r="B39" s="13"/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R42" s="13"/>
      <c r="S42" s="13"/>
      <c r="T42" s="13"/>
      <c r="U42" s="13"/>
      <c r="V42" s="13"/>
      <c r="W42" s="13"/>
      <c r="X42" s="14"/>
      <c r="Y42" s="13"/>
    </row>
    <row r="43" spans="1:25" x14ac:dyDescent="0.3"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R44" s="13"/>
      <c r="S44" s="13"/>
      <c r="T44" s="13"/>
      <c r="U44" s="13"/>
      <c r="V44" s="13"/>
      <c r="W44" s="13"/>
      <c r="X44" s="14"/>
      <c r="Y44" s="13"/>
    </row>
    <row r="45" spans="1:25" x14ac:dyDescent="0.3">
      <c r="S45" s="13"/>
      <c r="T45" s="13"/>
      <c r="U45" s="13"/>
      <c r="V45" s="13"/>
      <c r="W45" s="13"/>
      <c r="X45" s="14"/>
      <c r="Y45" s="13"/>
    </row>
    <row r="46" spans="1:25" x14ac:dyDescent="0.3">
      <c r="R46" s="13"/>
      <c r="S46" s="13"/>
      <c r="T46" s="13"/>
      <c r="U46" s="13"/>
      <c r="V46" s="13"/>
      <c r="W46" s="13"/>
      <c r="X46" s="14"/>
      <c r="Y46" s="13"/>
    </row>
    <row r="47" spans="1:25" x14ac:dyDescent="0.3"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R48" s="13"/>
      <c r="S48" s="13"/>
      <c r="T48" s="13"/>
      <c r="U48" s="13"/>
      <c r="V48" s="13"/>
      <c r="W48" s="13"/>
      <c r="X48" s="14"/>
      <c r="Y48" s="13"/>
    </row>
    <row r="49" spans="1:25" x14ac:dyDescent="0.3">
      <c r="R49" s="13"/>
      <c r="S49" s="13"/>
      <c r="T49" s="13"/>
      <c r="U49" s="13"/>
      <c r="V49" s="13"/>
      <c r="W49" s="13"/>
      <c r="X49" s="14"/>
      <c r="Y49" s="13"/>
    </row>
    <row r="50" spans="1:25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3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3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3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3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3"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3"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3"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3"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3"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3"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3"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24:24" x14ac:dyDescent="0.3">
      <c r="X65" s="14"/>
    </row>
    <row r="66" spans="24:24" x14ac:dyDescent="0.3">
      <c r="X66" s="14"/>
    </row>
    <row r="67" spans="24:24" x14ac:dyDescent="0.3">
      <c r="X67" s="14"/>
    </row>
    <row r="68" spans="24:24" x14ac:dyDescent="0.3">
      <c r="X68" s="14"/>
    </row>
    <row r="69" spans="24:24" x14ac:dyDescent="0.3">
      <c r="X69" s="14"/>
    </row>
    <row r="70" spans="24:24" x14ac:dyDescent="0.3">
      <c r="X70" s="14"/>
    </row>
    <row r="71" spans="24:24" x14ac:dyDescent="0.3">
      <c r="X71" s="14"/>
    </row>
    <row r="72" spans="24:24" x14ac:dyDescent="0.3">
      <c r="X72" s="14"/>
    </row>
    <row r="73" spans="24:24" x14ac:dyDescent="0.3">
      <c r="X73" s="14"/>
    </row>
    <row r="74" spans="24:24" x14ac:dyDescent="0.3">
      <c r="X74" s="14"/>
    </row>
    <row r="75" spans="24:24" x14ac:dyDescent="0.3">
      <c r="X75" s="14"/>
    </row>
    <row r="76" spans="24:24" x14ac:dyDescent="0.3">
      <c r="X76" s="14"/>
    </row>
    <row r="77" spans="24:24" x14ac:dyDescent="0.3">
      <c r="X77" s="14"/>
    </row>
    <row r="78" spans="24:24" x14ac:dyDescent="0.3">
      <c r="X78" s="14"/>
    </row>
    <row r="79" spans="24:24" x14ac:dyDescent="0.3">
      <c r="X79" s="14"/>
    </row>
    <row r="80" spans="24:24" x14ac:dyDescent="0.3">
      <c r="X80" s="14"/>
    </row>
    <row r="81" spans="24:24" x14ac:dyDescent="0.3">
      <c r="X81" s="14"/>
    </row>
    <row r="82" spans="24:24" x14ac:dyDescent="0.3">
      <c r="X82" s="14"/>
    </row>
    <row r="83" spans="24:24" x14ac:dyDescent="0.3">
      <c r="X83" s="14"/>
    </row>
    <row r="84" spans="24:24" x14ac:dyDescent="0.3">
      <c r="X84" s="14"/>
    </row>
    <row r="85" spans="24:24" x14ac:dyDescent="0.3">
      <c r="X85" s="14"/>
    </row>
    <row r="86" spans="24:24" x14ac:dyDescent="0.3">
      <c r="X86" s="14"/>
    </row>
    <row r="87" spans="24:24" x14ac:dyDescent="0.3">
      <c r="X87" s="14"/>
    </row>
    <row r="88" spans="24:24" x14ac:dyDescent="0.3">
      <c r="X88" s="14"/>
    </row>
    <row r="89" spans="24:24" x14ac:dyDescent="0.3">
      <c r="X89" s="14"/>
    </row>
    <row r="90" spans="24:24" x14ac:dyDescent="0.3">
      <c r="X90" s="14"/>
    </row>
    <row r="91" spans="24:24" x14ac:dyDescent="0.3">
      <c r="X91" s="14"/>
    </row>
    <row r="92" spans="24:24" x14ac:dyDescent="0.3">
      <c r="X92" s="14"/>
    </row>
    <row r="93" spans="24:24" x14ac:dyDescent="0.3">
      <c r="X93" s="14"/>
    </row>
    <row r="94" spans="24:24" x14ac:dyDescent="0.3">
      <c r="X94" s="14"/>
    </row>
    <row r="95" spans="24:24" x14ac:dyDescent="0.3">
      <c r="X95" s="14"/>
    </row>
    <row r="96" spans="24:24" x14ac:dyDescent="0.3">
      <c r="X96" s="14"/>
    </row>
    <row r="97" spans="1:24" x14ac:dyDescent="0.3">
      <c r="X97" s="14"/>
    </row>
    <row r="98" spans="1:24" x14ac:dyDescent="0.3">
      <c r="X98" s="14"/>
    </row>
    <row r="99" spans="1:24" x14ac:dyDescent="0.3">
      <c r="X99" s="14"/>
    </row>
    <row r="100" spans="1:24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3"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3"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3"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3"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3"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3"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3"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3"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3"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1:24" x14ac:dyDescent="0.3"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1:24" x14ac:dyDescent="0.3"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1:24" x14ac:dyDescent="0.3">
      <c r="X115" s="14"/>
    </row>
    <row r="116" spans="11:24" x14ac:dyDescent="0.3">
      <c r="X116" s="14"/>
    </row>
    <row r="117" spans="11:24" x14ac:dyDescent="0.3">
      <c r="X117" s="14"/>
    </row>
    <row r="118" spans="11:24" x14ac:dyDescent="0.3">
      <c r="X118" s="14"/>
    </row>
    <row r="119" spans="11:24" x14ac:dyDescent="0.3">
      <c r="X119" s="14"/>
    </row>
    <row r="120" spans="11:24" x14ac:dyDescent="0.3">
      <c r="X120" s="14"/>
    </row>
    <row r="121" spans="11:24" x14ac:dyDescent="0.3">
      <c r="X121" s="14"/>
    </row>
    <row r="122" spans="11:24" x14ac:dyDescent="0.3">
      <c r="X122" s="14"/>
    </row>
    <row r="123" spans="11:24" x14ac:dyDescent="0.3">
      <c r="X123" s="14"/>
    </row>
    <row r="124" spans="11:24" x14ac:dyDescent="0.3">
      <c r="X124" s="14"/>
    </row>
    <row r="125" spans="11:24" x14ac:dyDescent="0.3">
      <c r="X125" s="14"/>
    </row>
    <row r="126" spans="11:24" x14ac:dyDescent="0.3">
      <c r="X126" s="14"/>
    </row>
    <row r="127" spans="11:24" x14ac:dyDescent="0.3">
      <c r="X127" s="14"/>
    </row>
    <row r="128" spans="11:24" x14ac:dyDescent="0.3">
      <c r="X128" s="14"/>
    </row>
    <row r="129" spans="24:24" x14ac:dyDescent="0.3">
      <c r="X129" s="14"/>
    </row>
    <row r="130" spans="24:24" x14ac:dyDescent="0.3">
      <c r="X130" s="14"/>
    </row>
    <row r="131" spans="24:24" x14ac:dyDescent="0.3">
      <c r="X131" s="14"/>
    </row>
    <row r="132" spans="24:24" x14ac:dyDescent="0.3">
      <c r="X132" s="14"/>
    </row>
    <row r="133" spans="24:24" x14ac:dyDescent="0.3">
      <c r="X133" s="14"/>
    </row>
    <row r="134" spans="24:24" x14ac:dyDescent="0.3">
      <c r="X134" s="14"/>
    </row>
    <row r="135" spans="24:24" x14ac:dyDescent="0.3">
      <c r="X135" s="14"/>
    </row>
    <row r="136" spans="24:24" x14ac:dyDescent="0.3">
      <c r="X136" s="14"/>
    </row>
    <row r="137" spans="24:24" x14ac:dyDescent="0.3">
      <c r="X137" s="14"/>
    </row>
    <row r="138" spans="24:24" x14ac:dyDescent="0.3">
      <c r="X138" s="14"/>
    </row>
    <row r="139" spans="24:24" x14ac:dyDescent="0.3">
      <c r="X139" s="14"/>
    </row>
    <row r="140" spans="24:24" x14ac:dyDescent="0.3">
      <c r="X140" s="14"/>
    </row>
    <row r="141" spans="24:24" x14ac:dyDescent="0.3">
      <c r="X141" s="14"/>
    </row>
    <row r="142" spans="24:24" x14ac:dyDescent="0.3">
      <c r="X142" s="14"/>
    </row>
    <row r="143" spans="24:24" x14ac:dyDescent="0.3">
      <c r="X143" s="14"/>
    </row>
    <row r="144" spans="24:24" x14ac:dyDescent="0.3">
      <c r="X144" s="14"/>
    </row>
    <row r="145" spans="1:24" x14ac:dyDescent="0.3">
      <c r="X145" s="14"/>
    </row>
    <row r="146" spans="1:24" x14ac:dyDescent="0.3">
      <c r="X146" s="14"/>
    </row>
    <row r="147" spans="1:24" x14ac:dyDescent="0.3">
      <c r="X147" s="14"/>
    </row>
    <row r="148" spans="1:24" x14ac:dyDescent="0.3">
      <c r="X148" s="14"/>
    </row>
    <row r="149" spans="1:24" x14ac:dyDescent="0.3">
      <c r="X149" s="14"/>
    </row>
    <row r="150" spans="1:24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3">
      <c r="X151" s="14"/>
    </row>
    <row r="152" spans="1:24" x14ac:dyDescent="0.3">
      <c r="X152" s="14"/>
    </row>
    <row r="153" spans="1:24" x14ac:dyDescent="0.3">
      <c r="X153" s="14"/>
    </row>
    <row r="154" spans="1:24" x14ac:dyDescent="0.3">
      <c r="X154" s="14"/>
    </row>
    <row r="155" spans="1:24" x14ac:dyDescent="0.3">
      <c r="X155" s="14"/>
    </row>
    <row r="156" spans="1:24" x14ac:dyDescent="0.3">
      <c r="X156" s="14"/>
    </row>
    <row r="157" spans="1:24" x14ac:dyDescent="0.3">
      <c r="X157" s="14"/>
    </row>
    <row r="158" spans="1:24" x14ac:dyDescent="0.3">
      <c r="X158" s="14"/>
    </row>
  </sheetData>
  <mergeCells count="1">
    <mergeCell ref="I1:J1"/>
  </mergeCells>
  <hyperlinks>
    <hyperlink ref="I1" location="TOC!A1" display="Return to TOC" xr:uid="{3FC1F74F-0E44-46CD-A3FE-E5A007B9300B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F013-98F9-4E26-838E-30EF14276FCB}">
  <sheetPr codeName="Sheet70"/>
  <dimension ref="A1:AA167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8.6640625" customWidth="1"/>
    <col min="4" max="4" width="18.88671875" customWidth="1"/>
    <col min="5" max="5" width="17.6640625" customWidth="1"/>
    <col min="6" max="6" width="17.33203125" customWidth="1"/>
    <col min="7" max="7" width="12.5546875" bestFit="1" customWidth="1"/>
    <col min="9" max="11" width="9.109375" customWidth="1"/>
    <col min="12" max="12" width="2.6640625" customWidth="1"/>
    <col min="13" max="14" width="15.6640625" customWidth="1"/>
    <col min="15" max="18" width="7.6640625" customWidth="1"/>
    <col min="19" max="21" width="9.109375" customWidth="1"/>
    <col min="23" max="23" width="9.109375" customWidth="1"/>
    <col min="25" max="25" width="5.6640625" customWidth="1"/>
  </cols>
  <sheetData>
    <row r="1" spans="1:27" x14ac:dyDescent="0.3">
      <c r="A1" s="32" t="s">
        <v>137</v>
      </c>
      <c r="B1" s="33"/>
      <c r="C1" s="33" t="s">
        <v>123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6"/>
      <c r="K2" s="37"/>
      <c r="L2" s="10"/>
      <c r="M2" t="s">
        <v>687</v>
      </c>
      <c r="Z2" s="10"/>
    </row>
    <row r="3" spans="1:27" x14ac:dyDescent="0.3">
      <c r="A3" s="35" t="s">
        <v>141</v>
      </c>
      <c r="B3" s="36"/>
      <c r="C3" s="36" t="s">
        <v>686</v>
      </c>
      <c r="D3" s="36"/>
      <c r="E3" s="36"/>
      <c r="F3" s="36"/>
      <c r="G3" s="36"/>
      <c r="H3" s="36"/>
      <c r="I3" s="36"/>
      <c r="J3" s="36"/>
      <c r="K3" s="37"/>
      <c r="L3" s="10"/>
      <c r="M3" t="s">
        <v>688</v>
      </c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W4" s="13"/>
      <c r="Z4" s="14"/>
      <c r="AA4" s="13"/>
    </row>
    <row r="5" spans="1:27" ht="15" customHeight="1" x14ac:dyDescent="0.3">
      <c r="A5" s="41" t="s">
        <v>144</v>
      </c>
      <c r="B5" s="36"/>
      <c r="C5" s="36" t="str">
        <f>"An insurer has five similar policies which have an aggregate limit and no per-occurrence limit."</f>
        <v>An insurer has five similar policies which have an aggregate limit and no per-occurrence limit.</v>
      </c>
      <c r="D5" s="36"/>
      <c r="E5" s="36"/>
      <c r="F5" s="36"/>
      <c r="G5" s="36"/>
      <c r="H5" s="36"/>
      <c r="I5" s="36"/>
      <c r="J5" s="36"/>
      <c r="K5" s="40"/>
      <c r="L5" s="14"/>
      <c r="M5" t="s">
        <v>689</v>
      </c>
      <c r="W5" s="13"/>
      <c r="X5" s="13"/>
      <c r="Y5" s="13"/>
      <c r="Z5" s="14"/>
      <c r="AA5" s="13"/>
    </row>
    <row r="6" spans="1:27" x14ac:dyDescent="0.3">
      <c r="A6" s="45"/>
      <c r="B6" s="36"/>
      <c r="C6" s="36" t="str">
        <f>"Each policy has an expected loss of "&amp;TEXT(D14,"$0,000")&amp;"."</f>
        <v>Each policy has an expected loss of $150,000.</v>
      </c>
      <c r="D6" s="36"/>
      <c r="E6" s="36"/>
      <c r="F6" s="36"/>
      <c r="G6" s="36"/>
      <c r="H6" s="36"/>
      <c r="I6" s="36"/>
      <c r="J6" s="36"/>
      <c r="K6" s="40"/>
      <c r="L6" s="14"/>
      <c r="M6" t="s">
        <v>690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333" t="s">
        <v>691</v>
      </c>
      <c r="D8" s="96" t="s">
        <v>325</v>
      </c>
      <c r="E8" s="36"/>
      <c r="F8" s="36"/>
      <c r="G8" s="36"/>
      <c r="H8" s="36"/>
      <c r="I8" s="36"/>
      <c r="J8" s="36"/>
      <c r="K8" s="40"/>
      <c r="L8" s="14"/>
      <c r="M8" s="27"/>
      <c r="N8" s="206"/>
      <c r="O8" s="206"/>
      <c r="P8" s="206"/>
      <c r="R8" t="s">
        <v>692</v>
      </c>
      <c r="W8" s="13"/>
      <c r="X8" s="13"/>
      <c r="Y8" s="13"/>
      <c r="Z8" s="14"/>
      <c r="AA8" s="13"/>
    </row>
    <row r="9" spans="1:27" x14ac:dyDescent="0.3">
      <c r="A9" s="41"/>
      <c r="B9" s="39"/>
      <c r="C9" s="77">
        <v>1</v>
      </c>
      <c r="D9" s="362">
        <v>132000</v>
      </c>
      <c r="E9" s="36"/>
      <c r="F9" s="36"/>
      <c r="G9" s="36"/>
      <c r="H9" s="36"/>
      <c r="I9" s="36"/>
      <c r="J9" s="36"/>
      <c r="K9" s="40"/>
      <c r="L9" s="14"/>
      <c r="N9" s="2"/>
      <c r="O9" s="2"/>
      <c r="P9" s="2"/>
      <c r="W9" s="13"/>
      <c r="X9" s="13"/>
      <c r="Y9" s="13"/>
      <c r="Z9" s="14"/>
      <c r="AA9" s="13"/>
    </row>
    <row r="10" spans="1:27" x14ac:dyDescent="0.3">
      <c r="A10" s="38"/>
      <c r="B10" s="39"/>
      <c r="C10" s="77">
        <v>2</v>
      </c>
      <c r="D10" s="362">
        <v>141000</v>
      </c>
      <c r="E10" s="36"/>
      <c r="F10" s="36"/>
      <c r="G10" s="36"/>
      <c r="H10" s="36"/>
      <c r="I10" s="36"/>
      <c r="J10" s="36"/>
      <c r="K10" s="40"/>
      <c r="L10" s="14"/>
      <c r="M10" s="27" t="s">
        <v>179</v>
      </c>
      <c r="N10" t="str">
        <f>"( "&amp;TEXT(MAX(0,D9-E14*$D$14),"$0,000")&amp;" + "&amp;TEXT(MAX(0,D10-E14*$D$14),"$0,000")&amp;" + "&amp;TEXT(MAX(0,D11-E14*$D$14),"$0,000")&amp;" + "&amp;TEXT(MAX(0,D12-E14*$D$14),"$0,000")&amp;" + "&amp;TEXT(MAX(0,D13-E14*$D$14),"$0,0") &amp;" ) / (5 * "&amp;TEXT(D14,"$0,000")&amp;")"</f>
        <v>( $42,000 + $51,000 + $60,000 + $69,000 + $78,000 ) / (5 * $150,000)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77">
        <v>3</v>
      </c>
      <c r="D11" s="362">
        <v>150000</v>
      </c>
      <c r="E11" s="36"/>
      <c r="F11" s="36"/>
      <c r="G11" s="36"/>
      <c r="H11" s="36"/>
      <c r="I11" s="36"/>
      <c r="J11" s="36"/>
      <c r="K11" s="40"/>
      <c r="L11" s="14"/>
      <c r="M11" s="27" t="s">
        <v>179</v>
      </c>
      <c r="N11" s="357">
        <f>(MAX(D9-E14*$D$14,0)+MAX(D10-E14*$D$14,0)+MAX(D11-E14*$D$14,0)+MAX(D12-E14*$D$14,0)+MAX(D13-E14*$D$14,0)) /(5*D14)</f>
        <v>0.4</v>
      </c>
      <c r="O11" s="358" t="s">
        <v>693</v>
      </c>
      <c r="P11" s="11"/>
      <c r="W11" s="13"/>
      <c r="X11" s="13"/>
      <c r="Y11" s="13"/>
      <c r="Z11" s="14"/>
      <c r="AA11" s="13"/>
    </row>
    <row r="12" spans="1:27" x14ac:dyDescent="0.3">
      <c r="A12" s="38"/>
      <c r="B12" s="39"/>
      <c r="C12" s="77">
        <v>4</v>
      </c>
      <c r="D12" s="362">
        <v>159000</v>
      </c>
      <c r="E12" s="36"/>
      <c r="F12" s="36"/>
      <c r="G12" s="36"/>
      <c r="H12" s="36"/>
      <c r="I12" s="36"/>
      <c r="J12" s="36"/>
      <c r="K12" s="40"/>
      <c r="L12" s="14"/>
      <c r="W12" s="13"/>
      <c r="X12" s="13"/>
      <c r="Y12" s="13"/>
      <c r="Z12" s="14"/>
      <c r="AA12" s="13"/>
    </row>
    <row r="13" spans="1:27" x14ac:dyDescent="0.3">
      <c r="A13" s="38"/>
      <c r="B13" s="39"/>
      <c r="C13" s="77">
        <v>5</v>
      </c>
      <c r="D13" s="362">
        <v>168000</v>
      </c>
      <c r="E13" s="36"/>
      <c r="F13" s="36"/>
      <c r="G13" s="36"/>
      <c r="H13" s="36"/>
      <c r="I13" s="36"/>
      <c r="J13" s="36"/>
      <c r="K13" s="40"/>
      <c r="L13" s="14"/>
      <c r="M13" s="11" t="s">
        <v>695</v>
      </c>
      <c r="O13" t="str">
        <f>TEXT(D14,"$0,000") &amp; " * " &amp; TEXT(N11,"0.0000")</f>
        <v>$150,000 * 0.4000</v>
      </c>
      <c r="W13" s="13"/>
      <c r="X13" s="13"/>
      <c r="Y13" s="13"/>
      <c r="Z13" s="14"/>
      <c r="AA13" s="13"/>
    </row>
    <row r="14" spans="1:27" ht="18" x14ac:dyDescent="0.35">
      <c r="A14" s="45"/>
      <c r="B14" s="39"/>
      <c r="C14" s="364" t="s">
        <v>694</v>
      </c>
      <c r="D14" s="363">
        <f>AVERAGE(D9:D13)</f>
        <v>150000</v>
      </c>
      <c r="E14" s="42">
        <v>0.6</v>
      </c>
      <c r="F14" s="36"/>
      <c r="G14" s="36"/>
      <c r="H14" s="36"/>
      <c r="I14" s="332"/>
      <c r="J14" s="36"/>
      <c r="K14" s="40"/>
      <c r="L14" s="14"/>
      <c r="N14" s="359" t="s">
        <v>474</v>
      </c>
      <c r="O14" s="360" t="str">
        <f>TEXT(D14*N11,"$0,000")</f>
        <v>$60,000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40"/>
      <c r="L15" s="14"/>
      <c r="M15" t="s">
        <v>696</v>
      </c>
      <c r="W15" s="13"/>
      <c r="X15" s="13"/>
      <c r="Y15" s="13"/>
      <c r="Z15" s="14"/>
      <c r="AA15" s="13"/>
    </row>
    <row r="16" spans="1:27" x14ac:dyDescent="0.3">
      <c r="A16" s="35" t="s">
        <v>173</v>
      </c>
      <c r="B16" s="36"/>
      <c r="C16" s="36" t="str">
        <f>"Using the above actual loss information, fill in the missing information below to calculate the net insurance charge at r = "&amp;E14&amp;"."</f>
        <v>Using the above actual loss information, fill in the missing information below to calculate the net insurance charge at r = 0.6.</v>
      </c>
      <c r="D16" s="36"/>
      <c r="E16" s="36"/>
      <c r="F16" s="36"/>
      <c r="G16" s="36"/>
      <c r="H16" s="36"/>
      <c r="I16" s="36"/>
      <c r="J16" s="36"/>
      <c r="K16" s="40"/>
      <c r="L16" s="14"/>
      <c r="M16" t="s">
        <v>697</v>
      </c>
      <c r="W16" s="13"/>
      <c r="X16" s="13"/>
      <c r="Y16" s="13"/>
      <c r="Z16" s="14"/>
      <c r="AA16" s="13"/>
    </row>
    <row r="17" spans="1:27" x14ac:dyDescent="0.3">
      <c r="A17" s="45"/>
      <c r="B17" s="36"/>
      <c r="C17" s="36"/>
      <c r="D17" s="36"/>
      <c r="E17" s="36"/>
      <c r="F17" s="36"/>
      <c r="G17" s="36"/>
      <c r="H17" s="36"/>
      <c r="I17" s="36"/>
      <c r="J17" s="36"/>
      <c r="K17" s="40"/>
      <c r="L17" s="14"/>
      <c r="N17" t="str">
        <f>"( "&amp;TEXT(MAX(0,$D$14*$E$14-D9),"$0")&amp;" + "&amp;TEXT(MAX(0,$D$14*$E$14-D10),"$0")&amp;" + "&amp;TEXT(MAX(0,$D$14*$E$14-D11),"$0")&amp;" + "&amp;TEXT(MAX(0,$D$14*$E$14-D12),"$0")&amp;" + "&amp;TEXT(MAX(0,$D$14*$E$14-D13),"$0")&amp;" ) / (5 * "&amp;TEXT(D14,"$0,000")&amp;")"</f>
        <v>( $0 + $0 + $0 + $0 + $0 ) / (5 * $150,000)</v>
      </c>
      <c r="W17" s="13"/>
      <c r="X17" s="13"/>
      <c r="Y17" s="13"/>
      <c r="Z17" s="14"/>
      <c r="AA17" s="13"/>
    </row>
    <row r="18" spans="1:27" ht="15" customHeight="1" x14ac:dyDescent="0.3">
      <c r="A18" s="45"/>
      <c r="B18" s="36"/>
      <c r="C18" s="365" t="s">
        <v>698</v>
      </c>
      <c r="D18" s="366"/>
      <c r="E18" s="49"/>
      <c r="F18" s="36"/>
      <c r="G18" s="36"/>
      <c r="H18" s="36"/>
      <c r="I18" s="36"/>
      <c r="J18" s="36"/>
      <c r="K18" s="40"/>
      <c r="L18" s="14"/>
      <c r="M18" s="27" t="s">
        <v>179</v>
      </c>
      <c r="N18" s="357">
        <f>(MAX(0,$D$14*$E$14-D9)+MAX(0,$D$14*$E$14-D10)+MAX(0,$D$14*$E$14-D11)+MAX(0,$D$14*$E$14-D12)+MAX(0,$D$14*$E$14-D13))/(5*D14)</f>
        <v>0</v>
      </c>
      <c r="O18" s="358" t="s">
        <v>699</v>
      </c>
      <c r="W18" s="13"/>
      <c r="X18" s="13"/>
      <c r="Y18" s="13"/>
      <c r="Z18" s="14"/>
      <c r="AA18" s="13"/>
    </row>
    <row r="19" spans="1:27" x14ac:dyDescent="0.3">
      <c r="A19" s="45"/>
      <c r="B19" s="36"/>
      <c r="C19" s="82">
        <f>E14</f>
        <v>0.6</v>
      </c>
      <c r="D19" s="319" t="s">
        <v>629</v>
      </c>
      <c r="E19" s="185" t="s">
        <v>629</v>
      </c>
      <c r="F19" s="36"/>
      <c r="G19" s="36"/>
      <c r="H19" s="36"/>
      <c r="I19" s="36"/>
      <c r="J19" s="36"/>
      <c r="K19" s="40"/>
      <c r="L19" s="14"/>
      <c r="W19" s="13"/>
      <c r="X19" s="13"/>
      <c r="Y19" s="13"/>
      <c r="Z19" s="14"/>
      <c r="AA19" s="13"/>
    </row>
    <row r="20" spans="1:27" ht="15" thickBot="1" x14ac:dyDescent="0.3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85"/>
      <c r="L20" s="14"/>
      <c r="M20" t="s">
        <v>700</v>
      </c>
      <c r="O20" t="str">
        <f>TEXT(D14,"$0,000") &amp;" * "&amp;TEXT(N18,"0.0000")</f>
        <v>$150,000 * 0.0000</v>
      </c>
      <c r="V20" s="13"/>
      <c r="W20" s="13"/>
      <c r="X20" s="13"/>
      <c r="Y20" s="13"/>
      <c r="Z20" s="14"/>
      <c r="AA20" s="13"/>
    </row>
    <row r="21" spans="1:27" ht="21" x14ac:dyDescent="0.4">
      <c r="K21" s="13"/>
      <c r="L21" s="14"/>
      <c r="N21" s="361" t="s">
        <v>474</v>
      </c>
      <c r="O21" t="str">
        <f>TEXT(D14*N18,"$0")</f>
        <v>$0</v>
      </c>
      <c r="V21" s="13"/>
      <c r="W21" s="13"/>
      <c r="X21" s="13"/>
      <c r="Y21" s="13"/>
      <c r="Z21" s="14"/>
      <c r="AA21" s="13"/>
    </row>
    <row r="22" spans="1:27" ht="15" customHeight="1" x14ac:dyDescent="0.3">
      <c r="K22" s="13"/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K23" s="13"/>
      <c r="L23" s="14"/>
      <c r="M23" t="str">
        <f>"Finally, the net insurance charge at r = "&amp;E14&amp;" is the difference between the insurance charge and the insurance savings. That is"</f>
        <v>Finally, the net insurance charge at r = 0.6 is the difference between the insurance charge and the insurance savings. That is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K24" s="13"/>
      <c r="L24" s="14"/>
      <c r="M24" t="s">
        <v>701</v>
      </c>
      <c r="N24" s="10"/>
      <c r="O24" t="str">
        <f>TEXT(O14,"$0,000") &amp;" - "&amp;TEXT(O21,"$0")</f>
        <v>$60,000 - $0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K25" s="13"/>
      <c r="L25" s="14"/>
      <c r="N25" s="10" t="s">
        <v>179</v>
      </c>
      <c r="O25" s="29" t="str">
        <f>TEXT(O14-O21,"$0,000")</f>
        <v>$60,000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X26" s="13"/>
      <c r="Y26" s="13"/>
      <c r="Z26" s="14"/>
      <c r="AA26" s="13"/>
    </row>
    <row r="27" spans="1:27" ht="15" customHeight="1" x14ac:dyDescent="0.3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:27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A38" s="13"/>
      <c r="B38" s="13"/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x14ac:dyDescent="0.3">
      <c r="L150" s="14"/>
      <c r="Z150" s="14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  <row r="159" spans="1:26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x14ac:dyDescent="0.3">
      <c r="L160" s="14"/>
      <c r="Z160" s="14"/>
    </row>
    <row r="161" spans="12:26" x14ac:dyDescent="0.3">
      <c r="L161" s="14"/>
      <c r="Z161" s="14"/>
    </row>
    <row r="162" spans="12:26" x14ac:dyDescent="0.3">
      <c r="L162" s="14"/>
      <c r="Z162" s="14"/>
    </row>
    <row r="163" spans="12:26" x14ac:dyDescent="0.3">
      <c r="L163" s="14"/>
      <c r="Z163" s="14"/>
    </row>
    <row r="164" spans="12:26" x14ac:dyDescent="0.3">
      <c r="L164" s="14"/>
      <c r="Z164" s="14"/>
    </row>
    <row r="165" spans="12:26" x14ac:dyDescent="0.3">
      <c r="L165" s="14"/>
      <c r="Z165" s="14"/>
    </row>
    <row r="166" spans="12:26" x14ac:dyDescent="0.3">
      <c r="L166" s="14"/>
      <c r="Z166" s="14"/>
    </row>
    <row r="167" spans="12:26" x14ac:dyDescent="0.3">
      <c r="L167" s="14"/>
      <c r="Z167" s="14"/>
    </row>
  </sheetData>
  <mergeCells count="1">
    <mergeCell ref="J1:K1"/>
  </mergeCells>
  <hyperlinks>
    <hyperlink ref="J1" location="TOC!A1" display="Return to TOC" xr:uid="{24FAF3A9-A6C4-4D75-83A3-8FCD28140E1C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BED-FAC1-4521-BE91-20C3B4E8F1E0}">
  <sheetPr codeName="Sheet64"/>
  <dimension ref="A1:AA158"/>
  <sheetViews>
    <sheetView zoomScaleNormal="100" workbookViewId="0"/>
  </sheetViews>
  <sheetFormatPr defaultColWidth="9.109375" defaultRowHeight="14.4" x14ac:dyDescent="0.3"/>
  <cols>
    <col min="1" max="1" width="9.109375" customWidth="1"/>
    <col min="2" max="2" width="4.6640625" customWidth="1"/>
    <col min="3" max="3" width="7.5546875" customWidth="1"/>
    <col min="4" max="4" width="31.5546875" customWidth="1"/>
    <col min="5" max="5" width="19.33203125" customWidth="1"/>
    <col min="6" max="6" width="17.33203125" customWidth="1"/>
    <col min="7" max="7" width="12.5546875" bestFit="1" customWidth="1"/>
    <col min="9" max="9" width="9.109375" customWidth="1"/>
    <col min="10" max="10" width="16.109375" customWidth="1"/>
    <col min="11" max="11" width="10.5546875" customWidth="1"/>
    <col min="12" max="26" width="9" customWidth="1"/>
  </cols>
  <sheetData>
    <row r="1" spans="1:27" x14ac:dyDescent="0.3">
      <c r="A1" s="32" t="s">
        <v>137</v>
      </c>
      <c r="B1" s="33"/>
      <c r="C1" s="33" t="s">
        <v>124</v>
      </c>
      <c r="D1" s="34"/>
      <c r="E1" s="235"/>
      <c r="F1" s="56" t="s">
        <v>199</v>
      </c>
      <c r="L1" s="10"/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7"/>
      <c r="L2" s="10"/>
      <c r="M2" s="12"/>
      <c r="Z2" s="10"/>
    </row>
    <row r="3" spans="1:27" ht="15" thickBot="1" x14ac:dyDescent="0.35">
      <c r="A3" s="367" t="s">
        <v>141</v>
      </c>
      <c r="B3" s="54"/>
      <c r="C3" s="54" t="s">
        <v>702</v>
      </c>
      <c r="D3" s="54"/>
      <c r="E3" s="54"/>
      <c r="F3" s="55"/>
      <c r="L3" s="10"/>
      <c r="Z3" s="10"/>
    </row>
    <row r="4" spans="1:27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3">
      <c r="A5" s="15"/>
      <c r="C5" t="s">
        <v>703</v>
      </c>
      <c r="K5" s="13"/>
      <c r="L5" s="14"/>
      <c r="W5" s="13"/>
      <c r="X5" s="13"/>
      <c r="Y5" s="13"/>
      <c r="Z5" s="14"/>
      <c r="AA5" s="13"/>
    </row>
    <row r="6" spans="1:27" x14ac:dyDescent="0.3">
      <c r="K6" s="13"/>
      <c r="L6" s="14"/>
      <c r="W6" s="13"/>
      <c r="X6" s="13"/>
      <c r="Y6" s="13"/>
      <c r="Z6" s="14"/>
      <c r="AA6" s="13"/>
    </row>
    <row r="7" spans="1:27" ht="15" customHeight="1" x14ac:dyDescent="0.3">
      <c r="C7" t="s">
        <v>704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705</v>
      </c>
      <c r="K8" s="13"/>
      <c r="L8" s="14"/>
      <c r="W8" s="13"/>
      <c r="X8" s="13"/>
      <c r="Y8" s="13"/>
      <c r="Z8" s="14"/>
      <c r="AA8" s="13"/>
    </row>
    <row r="9" spans="1:27" x14ac:dyDescent="0.3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3">
      <c r="A10" s="13"/>
      <c r="B10" s="13"/>
      <c r="C10" t="s">
        <v>706</v>
      </c>
      <c r="F10" t="s">
        <v>707</v>
      </c>
      <c r="K10" s="13"/>
      <c r="L10" s="14"/>
      <c r="W10" s="13"/>
      <c r="X10" s="13"/>
      <c r="Y10" s="13"/>
      <c r="Z10" s="14"/>
      <c r="AA10" s="13"/>
    </row>
    <row r="11" spans="1:27" x14ac:dyDescent="0.3">
      <c r="A11" s="13"/>
      <c r="B11" s="13"/>
      <c r="C11" t="s">
        <v>708</v>
      </c>
      <c r="K11" s="13"/>
      <c r="L11" s="14"/>
      <c r="W11" s="13"/>
      <c r="X11" s="13"/>
      <c r="Y11" s="13"/>
      <c r="Z11" s="14"/>
      <c r="AA11" s="13"/>
    </row>
    <row r="12" spans="1:27" x14ac:dyDescent="0.3">
      <c r="A12" s="13"/>
      <c r="B12" s="13"/>
      <c r="K12" s="13"/>
      <c r="L12" s="14"/>
      <c r="W12" s="13"/>
      <c r="X12" s="13"/>
      <c r="Y12" s="13"/>
      <c r="Z12" s="14"/>
      <c r="AA12" s="13"/>
    </row>
    <row r="13" spans="1:27" x14ac:dyDescent="0.3">
      <c r="A13" s="13"/>
      <c r="B13" s="13"/>
      <c r="C13" t="s">
        <v>709</v>
      </c>
      <c r="K13" s="13"/>
      <c r="L13" s="14"/>
      <c r="W13" s="13"/>
      <c r="X13" s="13"/>
      <c r="Y13" s="13"/>
      <c r="Z13" s="14"/>
      <c r="AA13" s="13"/>
    </row>
    <row r="14" spans="1:27" x14ac:dyDescent="0.3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3">
      <c r="C15" t="s">
        <v>710</v>
      </c>
      <c r="F15" t="s">
        <v>711</v>
      </c>
      <c r="K15" s="13" t="s">
        <v>712</v>
      </c>
      <c r="L15" s="14"/>
      <c r="W15" s="13"/>
      <c r="X15" s="13"/>
      <c r="Y15" s="13"/>
      <c r="Z15" s="14"/>
      <c r="AA15" s="13"/>
    </row>
    <row r="16" spans="1:27" x14ac:dyDescent="0.3">
      <c r="K16" s="13"/>
      <c r="L16" s="14"/>
      <c r="W16" s="13"/>
      <c r="X16" s="13"/>
      <c r="Y16" s="13"/>
      <c r="Z16" s="14"/>
      <c r="AA16" s="13"/>
    </row>
    <row r="17" spans="1:27" x14ac:dyDescent="0.3">
      <c r="F17" t="s">
        <v>713</v>
      </c>
      <c r="K17" s="13"/>
      <c r="L17" s="14"/>
      <c r="W17" s="13"/>
      <c r="X17" s="13"/>
      <c r="Y17" s="13"/>
      <c r="Z17" s="14"/>
      <c r="AA17" s="13"/>
    </row>
    <row r="18" spans="1:27" x14ac:dyDescent="0.3">
      <c r="A18" s="12"/>
      <c r="F18" t="s">
        <v>714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3">
      <c r="F19" t="s">
        <v>715</v>
      </c>
      <c r="K19" s="13"/>
      <c r="L19" s="14"/>
      <c r="W19" s="13"/>
      <c r="X19" s="13"/>
      <c r="Y19" s="13"/>
      <c r="Z19" s="14"/>
      <c r="AA19" s="13"/>
    </row>
    <row r="20" spans="1:27" x14ac:dyDescent="0.3">
      <c r="K20" s="13" t="s">
        <v>716</v>
      </c>
      <c r="L20" s="14"/>
      <c r="W20" s="13"/>
      <c r="X20" s="13"/>
      <c r="Y20" s="13"/>
      <c r="Z20" s="14"/>
      <c r="AA20" s="13"/>
    </row>
    <row r="21" spans="1:27" x14ac:dyDescent="0.3">
      <c r="K21" s="13"/>
      <c r="L21" s="14"/>
      <c r="W21" s="13"/>
      <c r="X21" s="13"/>
      <c r="Y21" s="13"/>
      <c r="Z21" s="14"/>
      <c r="AA21" s="13"/>
    </row>
    <row r="22" spans="1:27" x14ac:dyDescent="0.3">
      <c r="F22" t="s">
        <v>717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F24" t="s">
        <v>718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F27" t="s">
        <v>719</v>
      </c>
      <c r="K27" s="13" t="s">
        <v>720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F29" t="s">
        <v>721</v>
      </c>
      <c r="K29" s="13" t="s">
        <v>722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F31" t="s">
        <v>723</v>
      </c>
      <c r="K31" s="13" t="s">
        <v>724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F33" t="s">
        <v>725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F36" t="s">
        <v>726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C38" t="s">
        <v>727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C39" t="s">
        <v>728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C40" t="s">
        <v>729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C42" t="s">
        <v>730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C44" t="s">
        <v>731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C46" s="198" t="s">
        <v>635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C47" t="s">
        <v>732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C48" t="s">
        <v>733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C49" t="s">
        <v>734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hyperlinks>
    <hyperlink ref="F1" location="TOC!A1" display="Return to TOC" xr:uid="{35AFFFA4-3087-49EA-88D1-AD889B780C09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062B-F81E-414F-A3BF-DA3FB315614F}">
  <sheetPr codeName="Sheet96"/>
  <dimension ref="A1:AA158"/>
  <sheetViews>
    <sheetView zoomScaleNormal="100" workbookViewId="0"/>
  </sheetViews>
  <sheetFormatPr defaultColWidth="9.109375" defaultRowHeight="14.4" x14ac:dyDescent="0.3"/>
  <cols>
    <col min="1" max="1" width="9.109375" customWidth="1"/>
    <col min="2" max="2" width="4.6640625" customWidth="1"/>
    <col min="3" max="3" width="7.5546875" customWidth="1"/>
    <col min="4" max="4" width="31.5546875" customWidth="1"/>
    <col min="5" max="5" width="19.33203125" customWidth="1"/>
    <col min="6" max="6" width="17.33203125" customWidth="1"/>
    <col min="7" max="7" width="13.44140625" customWidth="1"/>
    <col min="9" max="9" width="9.109375" customWidth="1"/>
    <col min="10" max="10" width="16.109375" customWidth="1"/>
    <col min="11" max="11" width="10.5546875" customWidth="1"/>
    <col min="12" max="26" width="9" customWidth="1"/>
  </cols>
  <sheetData>
    <row r="1" spans="1:27" x14ac:dyDescent="0.3">
      <c r="A1" s="32" t="s">
        <v>137</v>
      </c>
      <c r="B1" s="33"/>
      <c r="C1" s="33" t="s">
        <v>124</v>
      </c>
      <c r="D1" s="34"/>
      <c r="E1" s="33"/>
      <c r="F1" s="33"/>
      <c r="G1" s="56" t="s">
        <v>199</v>
      </c>
      <c r="L1" s="10"/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6"/>
      <c r="G2" s="37"/>
      <c r="L2" s="10"/>
      <c r="M2" s="12"/>
      <c r="Z2" s="10"/>
    </row>
    <row r="3" spans="1:27" ht="15" thickBot="1" x14ac:dyDescent="0.35">
      <c r="A3" s="367" t="s">
        <v>141</v>
      </c>
      <c r="B3" s="54"/>
      <c r="C3" s="54" t="s">
        <v>735</v>
      </c>
      <c r="D3" s="54"/>
      <c r="E3" s="54"/>
      <c r="F3" s="54"/>
      <c r="G3" s="55"/>
      <c r="L3" s="10"/>
      <c r="Z3" s="10"/>
    </row>
    <row r="4" spans="1:27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3">
      <c r="A5" s="15"/>
      <c r="C5" t="s">
        <v>736</v>
      </c>
      <c r="K5" s="13"/>
      <c r="L5" s="14"/>
      <c r="W5" s="13"/>
      <c r="X5" s="13"/>
      <c r="Y5" s="13"/>
      <c r="Z5" s="14"/>
      <c r="AA5" s="13"/>
    </row>
    <row r="6" spans="1:27" x14ac:dyDescent="0.3">
      <c r="K6" s="13"/>
      <c r="L6" s="14"/>
      <c r="W6" s="13"/>
      <c r="X6" s="13"/>
      <c r="Y6" s="13"/>
      <c r="Z6" s="14"/>
      <c r="AA6" s="13"/>
    </row>
    <row r="7" spans="1:27" ht="15" customHeight="1" x14ac:dyDescent="0.3">
      <c r="C7" t="s">
        <v>704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705</v>
      </c>
      <c r="K8" s="13"/>
      <c r="L8" s="14"/>
      <c r="W8" s="13"/>
      <c r="X8" s="13"/>
      <c r="Y8" s="13"/>
      <c r="Z8" s="14"/>
      <c r="AA8" s="13"/>
    </row>
    <row r="9" spans="1:27" x14ac:dyDescent="0.3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3">
      <c r="A10" s="13"/>
      <c r="B10" s="13"/>
      <c r="C10" t="s">
        <v>706</v>
      </c>
      <c r="F10" t="s">
        <v>707</v>
      </c>
      <c r="K10" s="13"/>
      <c r="L10" s="14"/>
      <c r="W10" s="13"/>
      <c r="X10" s="13"/>
      <c r="Y10" s="13"/>
      <c r="Z10" s="14"/>
      <c r="AA10" s="13"/>
    </row>
    <row r="11" spans="1:27" x14ac:dyDescent="0.3">
      <c r="A11" s="13"/>
      <c r="B11" s="13"/>
      <c r="C11" t="s">
        <v>708</v>
      </c>
      <c r="K11" s="13"/>
      <c r="L11" s="14"/>
      <c r="W11" s="13"/>
      <c r="X11" s="13"/>
      <c r="Y11" s="13"/>
      <c r="Z11" s="14"/>
      <c r="AA11" s="13"/>
    </row>
    <row r="12" spans="1:27" x14ac:dyDescent="0.3">
      <c r="A12" s="13"/>
      <c r="B12" s="13"/>
      <c r="K12" s="13"/>
      <c r="L12" s="14"/>
      <c r="W12" s="13"/>
      <c r="X12" s="13"/>
      <c r="Y12" s="13"/>
      <c r="Z12" s="14"/>
      <c r="AA12" s="13"/>
    </row>
    <row r="13" spans="1:27" ht="15.6" x14ac:dyDescent="0.35">
      <c r="A13" s="13"/>
      <c r="B13" s="13"/>
      <c r="C13" t="s">
        <v>1789</v>
      </c>
      <c r="K13" s="13"/>
      <c r="L13" s="14"/>
      <c r="W13" s="13"/>
      <c r="X13" s="13"/>
      <c r="Y13" s="13"/>
      <c r="Z13" s="14"/>
      <c r="AA13" s="13"/>
    </row>
    <row r="14" spans="1:27" x14ac:dyDescent="0.3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3">
      <c r="C15" t="s">
        <v>710</v>
      </c>
      <c r="F15" t="s">
        <v>711</v>
      </c>
      <c r="K15" s="13" t="s">
        <v>712</v>
      </c>
      <c r="L15" s="14"/>
      <c r="W15" s="13"/>
      <c r="X15" s="13"/>
      <c r="Y15" s="13"/>
      <c r="Z15" s="14"/>
      <c r="AA15" s="13"/>
    </row>
    <row r="16" spans="1:27" x14ac:dyDescent="0.3">
      <c r="K16" s="13"/>
      <c r="L16" s="14"/>
      <c r="W16" s="13"/>
      <c r="X16" s="13"/>
      <c r="Y16" s="13"/>
      <c r="Z16" s="14"/>
      <c r="AA16" s="13"/>
    </row>
    <row r="17" spans="1:27" x14ac:dyDescent="0.3">
      <c r="F17" t="s">
        <v>737</v>
      </c>
      <c r="K17" s="13"/>
      <c r="L17" s="14"/>
      <c r="W17" s="13"/>
      <c r="X17" s="13"/>
      <c r="Y17" s="13"/>
      <c r="Z17" s="14"/>
      <c r="AA17" s="13"/>
    </row>
    <row r="18" spans="1:27" x14ac:dyDescent="0.3">
      <c r="A18" s="12"/>
      <c r="F18" t="s">
        <v>738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3">
      <c r="F19" t="s">
        <v>715</v>
      </c>
      <c r="K19" s="13"/>
      <c r="L19" s="14"/>
      <c r="W19" s="13"/>
      <c r="X19" s="13"/>
      <c r="Y19" s="13"/>
      <c r="Z19" s="14"/>
      <c r="AA19" s="13"/>
    </row>
    <row r="20" spans="1:27" x14ac:dyDescent="0.3">
      <c r="K20" s="13" t="s">
        <v>716</v>
      </c>
      <c r="L20" s="14"/>
      <c r="W20" s="13"/>
      <c r="X20" s="13"/>
      <c r="Y20" s="13"/>
      <c r="Z20" s="14"/>
      <c r="AA20" s="13"/>
    </row>
    <row r="21" spans="1:27" x14ac:dyDescent="0.3">
      <c r="K21" s="13"/>
      <c r="L21" s="14"/>
      <c r="W21" s="13"/>
      <c r="X21" s="13"/>
      <c r="Y21" s="13"/>
      <c r="Z21" s="14"/>
      <c r="AA21" s="13"/>
    </row>
    <row r="22" spans="1:27" x14ac:dyDescent="0.3">
      <c r="F22" t="s">
        <v>717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F24" t="s">
        <v>718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F27" t="s">
        <v>719</v>
      </c>
      <c r="K27" s="13" t="s">
        <v>720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F29" t="s">
        <v>721</v>
      </c>
      <c r="K29" s="13" t="s">
        <v>722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F31" t="s">
        <v>723</v>
      </c>
      <c r="K31" s="13" t="s">
        <v>724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F33" t="s">
        <v>725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F36" t="s">
        <v>726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C38" t="s">
        <v>727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C39" t="s">
        <v>728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C40" t="s">
        <v>729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C42" t="s">
        <v>730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C44" t="s">
        <v>731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C46" s="198" t="s">
        <v>635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C47" t="s">
        <v>732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C48" t="s">
        <v>733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ht="15.6" x14ac:dyDescent="0.35">
      <c r="C49" t="s">
        <v>739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hyperlinks>
    <hyperlink ref="G1" location="TOC!A1" display="Return to TOC" xr:uid="{DB6627F7-2D0F-4481-AACD-0A814770CC8D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142B-DE0D-4029-B462-F4654A650F12}">
  <sheetPr codeName="Sheet97"/>
  <dimension ref="A1:AA158"/>
  <sheetViews>
    <sheetView zoomScaleNormal="100" workbookViewId="0"/>
  </sheetViews>
  <sheetFormatPr defaultColWidth="9.109375" defaultRowHeight="14.4" x14ac:dyDescent="0.3"/>
  <cols>
    <col min="1" max="1" width="9.109375" customWidth="1"/>
    <col min="2" max="2" width="4.6640625" customWidth="1"/>
    <col min="3" max="3" width="7.5546875" customWidth="1"/>
    <col min="4" max="4" width="31.5546875" customWidth="1"/>
    <col min="5" max="5" width="19.33203125" customWidth="1"/>
    <col min="6" max="6" width="17.33203125" customWidth="1"/>
    <col min="7" max="7" width="12.5546875" bestFit="1" customWidth="1"/>
    <col min="9" max="9" width="9.109375" customWidth="1"/>
    <col min="10" max="10" width="16.109375" customWidth="1"/>
    <col min="11" max="11" width="10.5546875" customWidth="1"/>
    <col min="12" max="26" width="9" customWidth="1"/>
  </cols>
  <sheetData>
    <row r="1" spans="1:27" x14ac:dyDescent="0.3">
      <c r="A1" s="32" t="s">
        <v>137</v>
      </c>
      <c r="B1" s="33"/>
      <c r="C1" s="33" t="s">
        <v>124</v>
      </c>
      <c r="D1" s="34"/>
      <c r="E1" s="33"/>
      <c r="F1" s="56" t="s">
        <v>199</v>
      </c>
      <c r="L1" s="10"/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7"/>
      <c r="L2" s="10"/>
      <c r="M2" s="12"/>
      <c r="Z2" s="10"/>
    </row>
    <row r="3" spans="1:27" ht="15" thickBot="1" x14ac:dyDescent="0.35">
      <c r="A3" s="367" t="s">
        <v>141</v>
      </c>
      <c r="B3" s="54"/>
      <c r="C3" s="54" t="s">
        <v>740</v>
      </c>
      <c r="D3" s="54"/>
      <c r="E3" s="54"/>
      <c r="F3" s="55"/>
      <c r="L3" s="10"/>
      <c r="Z3" s="10"/>
    </row>
    <row r="4" spans="1:27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3">
      <c r="A5" s="15"/>
      <c r="C5" t="s">
        <v>741</v>
      </c>
      <c r="K5" s="13"/>
      <c r="L5" s="14"/>
      <c r="W5" s="13"/>
      <c r="X5" s="13"/>
      <c r="Y5" s="13"/>
      <c r="Z5" s="14"/>
      <c r="AA5" s="13"/>
    </row>
    <row r="6" spans="1:27" x14ac:dyDescent="0.3">
      <c r="C6" t="s">
        <v>742</v>
      </c>
      <c r="K6" s="13"/>
      <c r="L6" s="14"/>
      <c r="W6" s="13"/>
      <c r="X6" s="13"/>
      <c r="Y6" s="13"/>
      <c r="Z6" s="14"/>
      <c r="AA6" s="13"/>
    </row>
    <row r="7" spans="1:27" ht="15" customHeight="1" x14ac:dyDescent="0.3">
      <c r="C7" t="s">
        <v>704</v>
      </c>
      <c r="K7" s="13"/>
      <c r="L7" s="14"/>
      <c r="W7" s="13"/>
      <c r="X7" s="13"/>
      <c r="Y7" s="13"/>
      <c r="Z7" s="14"/>
      <c r="AA7" s="13"/>
    </row>
    <row r="8" spans="1:27" ht="15" customHeight="1" x14ac:dyDescent="0.35">
      <c r="A8" s="15"/>
      <c r="B8" s="13"/>
      <c r="C8" t="s">
        <v>705</v>
      </c>
      <c r="K8" s="13"/>
      <c r="L8" s="14"/>
      <c r="W8" s="13"/>
      <c r="X8" s="13"/>
      <c r="Y8" s="13"/>
      <c r="Z8" s="14"/>
      <c r="AA8" s="13"/>
    </row>
    <row r="9" spans="1:27" x14ac:dyDescent="0.3">
      <c r="A9" s="15"/>
      <c r="B9" s="13"/>
      <c r="K9" s="13"/>
      <c r="L9" s="14"/>
      <c r="W9" s="13"/>
      <c r="X9" s="13"/>
      <c r="Y9" s="13"/>
      <c r="Z9" s="14"/>
      <c r="AA9" s="13"/>
    </row>
    <row r="10" spans="1:27" x14ac:dyDescent="0.3">
      <c r="A10" s="13"/>
      <c r="B10" s="13"/>
      <c r="C10" t="s">
        <v>706</v>
      </c>
      <c r="F10" t="s">
        <v>707</v>
      </c>
      <c r="K10" s="13"/>
      <c r="L10" s="14"/>
      <c r="W10" s="13"/>
      <c r="X10" s="13"/>
      <c r="Y10" s="13"/>
      <c r="Z10" s="14"/>
      <c r="AA10" s="13"/>
    </row>
    <row r="11" spans="1:27" x14ac:dyDescent="0.3">
      <c r="A11" s="13"/>
      <c r="B11" s="13"/>
      <c r="C11" t="s">
        <v>708</v>
      </c>
      <c r="K11" s="13"/>
      <c r="L11" s="14"/>
      <c r="W11" s="13"/>
      <c r="X11" s="13"/>
      <c r="Y11" s="13"/>
      <c r="Z11" s="14"/>
      <c r="AA11" s="13"/>
    </row>
    <row r="12" spans="1:27" x14ac:dyDescent="0.3">
      <c r="A12" s="13"/>
      <c r="B12" s="13"/>
      <c r="K12" s="13"/>
      <c r="L12" s="14"/>
      <c r="W12" s="13"/>
      <c r="X12" s="13"/>
      <c r="Y12" s="13"/>
      <c r="Z12" s="14"/>
      <c r="AA12" s="13"/>
    </row>
    <row r="13" spans="1:27" x14ac:dyDescent="0.3">
      <c r="A13" s="13"/>
      <c r="B13" s="13"/>
      <c r="C13" t="s">
        <v>1790</v>
      </c>
      <c r="K13" s="13"/>
      <c r="L13" s="14"/>
      <c r="W13" s="13"/>
      <c r="X13" s="13"/>
      <c r="Y13" s="13"/>
      <c r="Z13" s="14"/>
      <c r="AA13" s="13"/>
    </row>
    <row r="14" spans="1:27" x14ac:dyDescent="0.3">
      <c r="A14" s="13"/>
      <c r="B14" s="13"/>
      <c r="K14" s="13"/>
      <c r="L14" s="14"/>
      <c r="W14" s="13"/>
      <c r="X14" s="13"/>
      <c r="Y14" s="13"/>
      <c r="Z14" s="14"/>
      <c r="AA14" s="13"/>
    </row>
    <row r="15" spans="1:27" x14ac:dyDescent="0.3">
      <c r="C15" t="s">
        <v>710</v>
      </c>
      <c r="F15" t="s">
        <v>711</v>
      </c>
      <c r="K15" s="13" t="s">
        <v>712</v>
      </c>
      <c r="L15" s="14"/>
      <c r="W15" s="13"/>
      <c r="X15" s="13"/>
      <c r="Y15" s="13"/>
      <c r="Z15" s="14"/>
      <c r="AA15" s="13"/>
    </row>
    <row r="16" spans="1:27" x14ac:dyDescent="0.3">
      <c r="K16" s="13"/>
      <c r="L16" s="14"/>
      <c r="W16" s="13"/>
      <c r="X16" s="13"/>
      <c r="Y16" s="13"/>
      <c r="Z16" s="14"/>
      <c r="AA16" s="13"/>
    </row>
    <row r="17" spans="1:27" x14ac:dyDescent="0.3">
      <c r="F17" t="s">
        <v>737</v>
      </c>
      <c r="K17" s="13"/>
      <c r="L17" s="14"/>
      <c r="W17" s="13"/>
      <c r="X17" s="13"/>
      <c r="Y17" s="13"/>
      <c r="Z17" s="14"/>
      <c r="AA17" s="13"/>
    </row>
    <row r="18" spans="1:27" x14ac:dyDescent="0.3">
      <c r="A18" s="12"/>
      <c r="F18" t="s">
        <v>738</v>
      </c>
      <c r="K18" s="13"/>
      <c r="L18" s="14"/>
      <c r="W18" s="13"/>
      <c r="X18" s="13"/>
      <c r="Y18" s="13"/>
      <c r="Z18" s="14"/>
      <c r="AA18" s="13"/>
    </row>
    <row r="19" spans="1:27" ht="15" customHeight="1" x14ac:dyDescent="0.3">
      <c r="F19" t="s">
        <v>715</v>
      </c>
      <c r="K19" s="13"/>
      <c r="L19" s="14"/>
      <c r="W19" s="13"/>
      <c r="X19" s="13"/>
      <c r="Y19" s="13"/>
      <c r="Z19" s="14"/>
      <c r="AA19" s="13"/>
    </row>
    <row r="20" spans="1:27" x14ac:dyDescent="0.3">
      <c r="K20" s="13" t="s">
        <v>716</v>
      </c>
      <c r="L20" s="14"/>
      <c r="W20" s="13"/>
      <c r="X20" s="13"/>
      <c r="Y20" s="13"/>
      <c r="Z20" s="14"/>
      <c r="AA20" s="13"/>
    </row>
    <row r="21" spans="1:27" x14ac:dyDescent="0.3">
      <c r="K21" s="13"/>
      <c r="L21" s="14"/>
      <c r="W21" s="13"/>
      <c r="X21" s="13"/>
      <c r="Y21" s="13"/>
      <c r="Z21" s="14"/>
      <c r="AA21" s="13"/>
    </row>
    <row r="22" spans="1:27" x14ac:dyDescent="0.3">
      <c r="F22" t="s">
        <v>717</v>
      </c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F24" t="s">
        <v>718</v>
      </c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F27" t="s">
        <v>719</v>
      </c>
      <c r="K27" s="13" t="s">
        <v>720</v>
      </c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F29" t="s">
        <v>721</v>
      </c>
      <c r="K29" s="13" t="s">
        <v>722</v>
      </c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F31" t="s">
        <v>723</v>
      </c>
      <c r="K31" s="13" t="s">
        <v>724</v>
      </c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F33" t="s">
        <v>725</v>
      </c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F36" t="s">
        <v>726</v>
      </c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C38" t="s">
        <v>727</v>
      </c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C39" t="s">
        <v>728</v>
      </c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C40" t="s">
        <v>729</v>
      </c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C42" t="s">
        <v>730</v>
      </c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C44" t="s">
        <v>731</v>
      </c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C46" s="198" t="s">
        <v>635</v>
      </c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C47" t="s">
        <v>732</v>
      </c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C48" t="s">
        <v>733</v>
      </c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C49" t="s">
        <v>734</v>
      </c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hyperlinks>
    <hyperlink ref="F1" location="TOC!A1" display="Return to TOC" xr:uid="{CB0EDF8B-B5D6-44F3-A40B-86F9FB3AC8E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8C6F-7325-4891-BDD6-3ACB412B76D1}">
  <sheetPr codeName="Sheet60"/>
  <dimension ref="A1:W18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25.88671875" bestFit="1" customWidth="1"/>
    <col min="5" max="5" width="17.6640625" customWidth="1"/>
    <col min="6" max="6" width="17.33203125" customWidth="1"/>
    <col min="7" max="7" width="12.5546875" bestFit="1" customWidth="1"/>
    <col min="8" max="8" width="2.6640625" customWidth="1"/>
    <col min="9" max="9" width="4.44140625" customWidth="1"/>
    <col min="10" max="10" width="6.44140625" customWidth="1"/>
    <col min="11" max="12" width="15.6640625" customWidth="1"/>
    <col min="13" max="13" width="16.5546875" customWidth="1"/>
    <col min="14" max="14" width="10.88671875" bestFit="1" customWidth="1"/>
    <col min="15" max="15" width="11.109375" bestFit="1" customWidth="1"/>
    <col min="16" max="17" width="9.109375" customWidth="1"/>
    <col min="19" max="19" width="9.109375" customWidth="1"/>
    <col min="21" max="21" width="8.6640625" customWidth="1"/>
  </cols>
  <sheetData>
    <row r="1" spans="1:23" x14ac:dyDescent="0.3">
      <c r="A1" s="32" t="s">
        <v>137</v>
      </c>
      <c r="B1" s="33"/>
      <c r="C1" s="33" t="s">
        <v>125</v>
      </c>
      <c r="D1" s="34"/>
      <c r="E1" s="33"/>
      <c r="F1" s="772" t="s">
        <v>199</v>
      </c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267</v>
      </c>
      <c r="D2" s="36"/>
      <c r="E2" s="36"/>
      <c r="F2" s="36"/>
      <c r="G2" s="37"/>
      <c r="H2" s="10"/>
      <c r="I2" t="s">
        <v>244</v>
      </c>
      <c r="J2" t="s">
        <v>743</v>
      </c>
      <c r="V2" s="10"/>
    </row>
    <row r="3" spans="1:23" x14ac:dyDescent="0.3">
      <c r="A3" s="35" t="s">
        <v>141</v>
      </c>
      <c r="B3" s="36"/>
      <c r="C3" s="36" t="s">
        <v>744</v>
      </c>
      <c r="D3" s="36"/>
      <c r="E3" s="36"/>
      <c r="F3" s="36"/>
      <c r="G3" s="37"/>
      <c r="H3" s="10"/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I4" t="s">
        <v>252</v>
      </c>
      <c r="J4" t="str">
        <f>"Compute the entry ratio, r = [actual loss] / [expected loss], for each risk. Note they all have the same expected loss of "&amp;TEXT(L6,"$0,0")</f>
        <v>Compute the entry ratio, r = [actual loss] / [expected loss], for each risk. Note they all have the same expected loss of $100,000</v>
      </c>
      <c r="V4" s="14"/>
      <c r="W4" s="13"/>
    </row>
    <row r="5" spans="1:23" ht="15" customHeight="1" x14ac:dyDescent="0.3">
      <c r="A5" s="41" t="s">
        <v>144</v>
      </c>
      <c r="B5" s="36"/>
      <c r="C5" s="36" t="str">
        <f>"Experience for a group of risks with expected annual aggregate loss of "&amp;TEXT(A6,"$0,0")&amp;"."</f>
        <v>Experience for a group of risks with expected annual aggregate loss of $100,000.</v>
      </c>
      <c r="D5" s="36"/>
      <c r="E5" s="36"/>
      <c r="F5" s="36"/>
      <c r="G5" s="37"/>
      <c r="H5" s="14"/>
      <c r="J5" s="209" t="s">
        <v>745</v>
      </c>
      <c r="K5" t="s">
        <v>746</v>
      </c>
      <c r="S5" s="13"/>
      <c r="T5" s="13"/>
      <c r="U5" s="13"/>
      <c r="V5" s="14"/>
      <c r="W5" s="13"/>
    </row>
    <row r="6" spans="1:23" x14ac:dyDescent="0.3">
      <c r="A6" s="389">
        <v>100000</v>
      </c>
      <c r="B6" s="36"/>
      <c r="C6" s="36"/>
      <c r="D6" s="36"/>
      <c r="E6" s="36"/>
      <c r="F6" s="36"/>
      <c r="G6" s="37"/>
      <c r="H6" s="14"/>
      <c r="L6" s="241">
        <v>100000</v>
      </c>
      <c r="S6" s="13"/>
      <c r="T6" s="13"/>
      <c r="U6" s="13"/>
      <c r="V6" s="14"/>
      <c r="W6" s="13"/>
    </row>
    <row r="7" spans="1:23" ht="15" customHeight="1" x14ac:dyDescent="0.3">
      <c r="A7" s="45"/>
      <c r="B7" s="36"/>
      <c r="C7" s="333" t="s">
        <v>323</v>
      </c>
      <c r="D7" s="96" t="s">
        <v>747</v>
      </c>
      <c r="E7" s="36"/>
      <c r="F7" s="36"/>
      <c r="G7" s="37"/>
      <c r="H7" s="14"/>
      <c r="J7" s="86" t="s">
        <v>323</v>
      </c>
      <c r="K7" s="211" t="s">
        <v>325</v>
      </c>
      <c r="L7" s="87" t="s">
        <v>657</v>
      </c>
      <c r="M7" s="368" t="s">
        <v>748</v>
      </c>
      <c r="N7" s="190" t="s">
        <v>749</v>
      </c>
      <c r="O7" s="190" t="s">
        <v>750</v>
      </c>
      <c r="P7" s="190" t="s">
        <v>751</v>
      </c>
      <c r="S7" s="13"/>
      <c r="T7" s="13"/>
      <c r="U7" s="13"/>
      <c r="V7" s="14"/>
      <c r="W7" s="13"/>
    </row>
    <row r="8" spans="1:23" ht="15" customHeight="1" x14ac:dyDescent="0.3">
      <c r="A8" s="41"/>
      <c r="B8" s="39"/>
      <c r="C8" s="77">
        <v>1</v>
      </c>
      <c r="D8" s="146">
        <v>20000</v>
      </c>
      <c r="E8" s="36"/>
      <c r="F8" s="36"/>
      <c r="G8" s="37"/>
      <c r="H8" s="14"/>
      <c r="J8" s="61">
        <f t="shared" ref="J8:J17" si="0">C8</f>
        <v>1</v>
      </c>
      <c r="K8" s="10">
        <f t="shared" ref="K8:K17" si="1">D8</f>
        <v>20000</v>
      </c>
      <c r="L8" s="346">
        <f>K8/$L$6</f>
        <v>0.2</v>
      </c>
      <c r="M8" s="190">
        <v>1.2</v>
      </c>
      <c r="N8" s="369">
        <f>MIN(L8,M8)</f>
        <v>0.2</v>
      </c>
      <c r="O8" s="369">
        <f>MAX(0,L8-M8)</f>
        <v>0</v>
      </c>
      <c r="P8" s="370">
        <f>J8/$J$17</f>
        <v>0.1</v>
      </c>
      <c r="S8" s="13"/>
      <c r="T8" s="13"/>
      <c r="U8" s="13"/>
      <c r="V8" s="14"/>
      <c r="W8" s="13"/>
    </row>
    <row r="9" spans="1:23" x14ac:dyDescent="0.3">
      <c r="A9" s="41"/>
      <c r="B9" s="39"/>
      <c r="C9" s="77">
        <f t="shared" ref="C9:C17" si="2">C8+1</f>
        <v>2</v>
      </c>
      <c r="D9" s="146">
        <v>50000</v>
      </c>
      <c r="E9" s="36"/>
      <c r="F9" s="36"/>
      <c r="G9" s="37"/>
      <c r="H9" s="14"/>
      <c r="J9" s="61">
        <f t="shared" si="0"/>
        <v>2</v>
      </c>
      <c r="K9" s="10">
        <f t="shared" si="1"/>
        <v>50000</v>
      </c>
      <c r="L9" s="346">
        <f t="shared" ref="L9:L17" si="3">K9/$L$6</f>
        <v>0.5</v>
      </c>
      <c r="M9" s="190">
        <f>M8</f>
        <v>1.2</v>
      </c>
      <c r="N9" s="369">
        <f t="shared" ref="N9:N17" si="4">MIN(L9,M9)</f>
        <v>0.5</v>
      </c>
      <c r="O9" s="369">
        <f t="shared" ref="O9:O17" si="5">MAX(0,L9-M9)</f>
        <v>0</v>
      </c>
      <c r="P9" s="370">
        <f t="shared" ref="P9:P17" si="6">J9/$J$17</f>
        <v>0.2</v>
      </c>
      <c r="S9" s="13"/>
      <c r="T9" s="13"/>
      <c r="U9" s="13"/>
      <c r="V9" s="14"/>
      <c r="W9" s="13"/>
    </row>
    <row r="10" spans="1:23" x14ac:dyDescent="0.3">
      <c r="A10" s="38"/>
      <c r="B10" s="39"/>
      <c r="C10" s="77">
        <f t="shared" si="2"/>
        <v>3</v>
      </c>
      <c r="D10" s="146">
        <v>60000</v>
      </c>
      <c r="E10" s="36"/>
      <c r="F10" s="36"/>
      <c r="G10" s="37"/>
      <c r="H10" s="14"/>
      <c r="J10" s="61">
        <f t="shared" si="0"/>
        <v>3</v>
      </c>
      <c r="K10" s="10">
        <f t="shared" si="1"/>
        <v>60000</v>
      </c>
      <c r="L10" s="346">
        <f t="shared" si="3"/>
        <v>0.6</v>
      </c>
      <c r="M10" s="190">
        <f t="shared" ref="M10:M17" si="7">M9</f>
        <v>1.2</v>
      </c>
      <c r="N10" s="369">
        <f t="shared" si="4"/>
        <v>0.6</v>
      </c>
      <c r="O10" s="369">
        <f t="shared" si="5"/>
        <v>0</v>
      </c>
      <c r="P10" s="370">
        <f t="shared" si="6"/>
        <v>0.3</v>
      </c>
      <c r="S10" s="13"/>
      <c r="T10" s="13"/>
      <c r="U10" s="13"/>
      <c r="V10" s="14"/>
      <c r="W10" s="13"/>
    </row>
    <row r="11" spans="1:23" x14ac:dyDescent="0.3">
      <c r="A11" s="38"/>
      <c r="B11" s="39"/>
      <c r="C11" s="77">
        <f t="shared" si="2"/>
        <v>4</v>
      </c>
      <c r="D11" s="146">
        <v>70000</v>
      </c>
      <c r="E11" s="36"/>
      <c r="F11" s="36"/>
      <c r="G11" s="37"/>
      <c r="H11" s="14"/>
      <c r="J11" s="61">
        <f t="shared" si="0"/>
        <v>4</v>
      </c>
      <c r="K11" s="10">
        <f t="shared" si="1"/>
        <v>70000</v>
      </c>
      <c r="L11" s="346">
        <f t="shared" si="3"/>
        <v>0.7</v>
      </c>
      <c r="M11" s="190">
        <f t="shared" si="7"/>
        <v>1.2</v>
      </c>
      <c r="N11" s="369">
        <f t="shared" si="4"/>
        <v>0.7</v>
      </c>
      <c r="O11" s="369">
        <f t="shared" si="5"/>
        <v>0</v>
      </c>
      <c r="P11" s="370">
        <f t="shared" si="6"/>
        <v>0.4</v>
      </c>
      <c r="S11" s="13"/>
      <c r="T11" s="13"/>
      <c r="U11" s="13"/>
      <c r="V11" s="14"/>
      <c r="W11" s="13"/>
    </row>
    <row r="12" spans="1:23" x14ac:dyDescent="0.3">
      <c r="A12" s="38"/>
      <c r="B12" s="39"/>
      <c r="C12" s="77">
        <f t="shared" si="2"/>
        <v>5</v>
      </c>
      <c r="D12" s="146">
        <v>80000</v>
      </c>
      <c r="E12" s="36"/>
      <c r="F12" s="36"/>
      <c r="G12" s="37"/>
      <c r="H12" s="14"/>
      <c r="J12" s="61">
        <f t="shared" si="0"/>
        <v>5</v>
      </c>
      <c r="K12" s="10">
        <f t="shared" si="1"/>
        <v>80000</v>
      </c>
      <c r="L12" s="346">
        <f t="shared" si="3"/>
        <v>0.8</v>
      </c>
      <c r="M12" s="190">
        <f t="shared" si="7"/>
        <v>1.2</v>
      </c>
      <c r="N12" s="369">
        <f t="shared" si="4"/>
        <v>0.8</v>
      </c>
      <c r="O12" s="369">
        <f t="shared" si="5"/>
        <v>0</v>
      </c>
      <c r="P12" s="370">
        <f t="shared" si="6"/>
        <v>0.5</v>
      </c>
      <c r="S12" s="13"/>
      <c r="T12" s="13"/>
      <c r="U12" s="13"/>
      <c r="V12" s="14"/>
      <c r="W12" s="13"/>
    </row>
    <row r="13" spans="1:23" x14ac:dyDescent="0.3">
      <c r="A13" s="38"/>
      <c r="B13" s="39"/>
      <c r="C13" s="77">
        <f t="shared" si="2"/>
        <v>6</v>
      </c>
      <c r="D13" s="146">
        <v>80000</v>
      </c>
      <c r="E13" s="36"/>
      <c r="F13" s="36"/>
      <c r="G13" s="37"/>
      <c r="H13" s="14"/>
      <c r="J13" s="61">
        <f t="shared" si="0"/>
        <v>6</v>
      </c>
      <c r="K13" s="10">
        <f t="shared" si="1"/>
        <v>80000</v>
      </c>
      <c r="L13" s="346">
        <f t="shared" si="3"/>
        <v>0.8</v>
      </c>
      <c r="M13" s="190">
        <f t="shared" si="7"/>
        <v>1.2</v>
      </c>
      <c r="N13" s="369">
        <f t="shared" si="4"/>
        <v>0.8</v>
      </c>
      <c r="O13" s="369">
        <f t="shared" si="5"/>
        <v>0</v>
      </c>
      <c r="P13" s="370">
        <f t="shared" si="6"/>
        <v>0.6</v>
      </c>
      <c r="S13" s="13"/>
      <c r="T13" s="13"/>
      <c r="U13" s="13"/>
      <c r="V13" s="14"/>
      <c r="W13" s="13"/>
    </row>
    <row r="14" spans="1:23" x14ac:dyDescent="0.3">
      <c r="A14" s="38"/>
      <c r="B14" s="39"/>
      <c r="C14" s="77">
        <f t="shared" si="2"/>
        <v>7</v>
      </c>
      <c r="D14" s="146">
        <v>90000</v>
      </c>
      <c r="E14" s="36"/>
      <c r="F14" s="36"/>
      <c r="G14" s="37"/>
      <c r="H14" s="14"/>
      <c r="J14" s="61">
        <f t="shared" si="0"/>
        <v>7</v>
      </c>
      <c r="K14" s="10">
        <f t="shared" si="1"/>
        <v>90000</v>
      </c>
      <c r="L14" s="346">
        <f t="shared" si="3"/>
        <v>0.9</v>
      </c>
      <c r="M14" s="190">
        <f t="shared" si="7"/>
        <v>1.2</v>
      </c>
      <c r="N14" s="369">
        <f t="shared" si="4"/>
        <v>0.9</v>
      </c>
      <c r="O14" s="369">
        <f t="shared" si="5"/>
        <v>0</v>
      </c>
      <c r="P14" s="370">
        <f t="shared" si="6"/>
        <v>0.7</v>
      </c>
      <c r="S14" s="13"/>
      <c r="T14" s="13"/>
      <c r="U14" s="13"/>
      <c r="V14" s="14"/>
      <c r="W14" s="13"/>
    </row>
    <row r="15" spans="1:23" x14ac:dyDescent="0.3">
      <c r="A15" s="45"/>
      <c r="B15" s="36"/>
      <c r="C15" s="77">
        <f t="shared" si="2"/>
        <v>8</v>
      </c>
      <c r="D15" s="146">
        <v>100000</v>
      </c>
      <c r="E15" s="36"/>
      <c r="F15" s="36"/>
      <c r="G15" s="37"/>
      <c r="H15" s="14"/>
      <c r="J15" s="61">
        <f t="shared" si="0"/>
        <v>8</v>
      </c>
      <c r="K15" s="10">
        <f t="shared" si="1"/>
        <v>100000</v>
      </c>
      <c r="L15" s="346">
        <f t="shared" si="3"/>
        <v>1</v>
      </c>
      <c r="M15" s="190">
        <f t="shared" si="7"/>
        <v>1.2</v>
      </c>
      <c r="N15" s="369">
        <f t="shared" si="4"/>
        <v>1</v>
      </c>
      <c r="O15" s="369">
        <f t="shared" si="5"/>
        <v>0</v>
      </c>
      <c r="P15" s="370">
        <f t="shared" si="6"/>
        <v>0.8</v>
      </c>
      <c r="S15" s="13"/>
      <c r="T15" s="13"/>
      <c r="U15" s="13"/>
      <c r="V15" s="14"/>
      <c r="W15" s="13"/>
    </row>
    <row r="16" spans="1:23" x14ac:dyDescent="0.3">
      <c r="A16" s="45"/>
      <c r="B16" s="36"/>
      <c r="C16" s="77">
        <f t="shared" si="2"/>
        <v>9</v>
      </c>
      <c r="D16" s="146">
        <v>150000</v>
      </c>
      <c r="E16" s="36"/>
      <c r="F16" s="36"/>
      <c r="G16" s="37"/>
      <c r="H16" s="14"/>
      <c r="J16" s="61">
        <f t="shared" si="0"/>
        <v>9</v>
      </c>
      <c r="K16" s="10">
        <f t="shared" si="1"/>
        <v>150000</v>
      </c>
      <c r="L16" s="346">
        <f t="shared" si="3"/>
        <v>1.5</v>
      </c>
      <c r="M16" s="190">
        <f t="shared" si="7"/>
        <v>1.2</v>
      </c>
      <c r="N16" s="369">
        <f t="shared" si="4"/>
        <v>1.2</v>
      </c>
      <c r="O16" s="369">
        <f t="shared" si="5"/>
        <v>0.30000000000000004</v>
      </c>
      <c r="P16" s="370">
        <f t="shared" si="6"/>
        <v>0.9</v>
      </c>
      <c r="S16" s="13"/>
      <c r="T16" s="13"/>
      <c r="U16" s="13"/>
      <c r="V16" s="14"/>
      <c r="W16" s="13"/>
    </row>
    <row r="17" spans="1:23" x14ac:dyDescent="0.3">
      <c r="A17" s="45"/>
      <c r="B17" s="36"/>
      <c r="C17" s="82">
        <f t="shared" si="2"/>
        <v>10</v>
      </c>
      <c r="D17" s="148">
        <v>300000</v>
      </c>
      <c r="E17" s="39"/>
      <c r="F17" s="36"/>
      <c r="G17" s="37"/>
      <c r="H17" s="14"/>
      <c r="J17" s="65">
        <f t="shared" si="0"/>
        <v>10</v>
      </c>
      <c r="K17" s="110">
        <f t="shared" si="1"/>
        <v>300000</v>
      </c>
      <c r="L17" s="386">
        <f t="shared" si="3"/>
        <v>3</v>
      </c>
      <c r="M17" s="190">
        <f t="shared" si="7"/>
        <v>1.2</v>
      </c>
      <c r="N17" s="369">
        <f t="shared" si="4"/>
        <v>1.2</v>
      </c>
      <c r="O17" s="369">
        <f t="shared" si="5"/>
        <v>1.8</v>
      </c>
      <c r="P17" s="370">
        <f t="shared" si="6"/>
        <v>1</v>
      </c>
      <c r="S17" s="13"/>
      <c r="T17" s="13"/>
      <c r="U17" s="13"/>
      <c r="V17" s="14"/>
      <c r="W17" s="13"/>
    </row>
    <row r="18" spans="1:23" x14ac:dyDescent="0.3">
      <c r="A18" s="45"/>
      <c r="B18" s="36"/>
      <c r="C18" s="36"/>
      <c r="D18" s="36"/>
      <c r="E18" s="36"/>
      <c r="F18" s="36"/>
      <c r="G18" s="37"/>
      <c r="H18" s="14"/>
      <c r="S18" s="13"/>
      <c r="T18" s="13"/>
      <c r="U18" s="13"/>
      <c r="V18" s="14"/>
      <c r="W18" s="13"/>
    </row>
    <row r="19" spans="1:23" ht="15" customHeight="1" x14ac:dyDescent="0.3">
      <c r="A19" s="35" t="s">
        <v>173</v>
      </c>
      <c r="B19" s="36"/>
      <c r="C19" s="36" t="s">
        <v>752</v>
      </c>
      <c r="D19" s="36"/>
      <c r="E19" s="36"/>
      <c r="F19" s="36"/>
      <c r="G19" s="37"/>
      <c r="H19" s="14"/>
      <c r="J19" t="s">
        <v>753</v>
      </c>
      <c r="S19" s="13"/>
      <c r="T19" s="13"/>
      <c r="U19" s="13"/>
      <c r="V19" s="14"/>
      <c r="W19" s="13"/>
    </row>
    <row r="20" spans="1:23" x14ac:dyDescent="0.3">
      <c r="A20" s="45"/>
      <c r="B20" s="36"/>
      <c r="C20" s="36"/>
      <c r="D20" s="36"/>
      <c r="E20" s="36"/>
      <c r="F20" s="36"/>
      <c r="G20" s="37"/>
      <c r="H20" s="14"/>
      <c r="S20" s="13"/>
      <c r="T20" s="13"/>
      <c r="U20" s="13"/>
      <c r="V20" s="14"/>
      <c r="W20" s="13"/>
    </row>
    <row r="21" spans="1:23" x14ac:dyDescent="0.3">
      <c r="A21" s="45"/>
      <c r="B21" s="36"/>
      <c r="C21" s="36" t="str">
        <f>"Table M: For Aggregate Expected Loss E = "&amp;TEXT(A6,"$0,0")</f>
        <v>Table M: For Aggregate Expected Loss E = $100,000</v>
      </c>
      <c r="D21" s="36"/>
      <c r="E21" s="36"/>
      <c r="F21" s="36"/>
      <c r="G21" s="37"/>
      <c r="H21" s="14"/>
      <c r="I21" t="s">
        <v>754</v>
      </c>
      <c r="J21" t="s">
        <v>755</v>
      </c>
      <c r="S21" s="13"/>
      <c r="T21" s="13"/>
      <c r="U21" s="13"/>
      <c r="V21" s="14"/>
      <c r="W21" s="13"/>
    </row>
    <row r="22" spans="1:23" x14ac:dyDescent="0.3">
      <c r="A22" s="45"/>
      <c r="B22" s="36"/>
      <c r="C22" s="333" t="s">
        <v>698</v>
      </c>
      <c r="D22" s="374" t="s">
        <v>756</v>
      </c>
      <c r="E22" s="375" t="s">
        <v>757</v>
      </c>
      <c r="F22" s="36"/>
      <c r="G22" s="37"/>
      <c r="H22" s="14"/>
      <c r="P22" s="13"/>
      <c r="Q22" s="13"/>
      <c r="R22" s="13"/>
      <c r="S22" s="13"/>
      <c r="T22" s="13"/>
      <c r="U22" s="13"/>
      <c r="V22" s="14"/>
      <c r="W22" s="13"/>
    </row>
    <row r="23" spans="1:23" ht="15" customHeight="1" x14ac:dyDescent="0.3">
      <c r="A23" s="45"/>
      <c r="B23" s="36"/>
      <c r="C23" s="77">
        <v>0</v>
      </c>
      <c r="D23" s="36"/>
      <c r="E23" s="46"/>
      <c r="F23" s="36"/>
      <c r="G23" s="37"/>
      <c r="H23" s="14"/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3">
      <c r="A24" s="45"/>
      <c r="B24" s="36"/>
      <c r="C24" s="77">
        <v>0.1</v>
      </c>
      <c r="D24" s="36"/>
      <c r="E24" s="46"/>
      <c r="F24" s="36"/>
      <c r="G24" s="37"/>
      <c r="H24" s="14"/>
      <c r="P24" s="13"/>
      <c r="Q24" s="13"/>
      <c r="R24" s="13"/>
      <c r="S24" s="13"/>
      <c r="T24" s="13"/>
      <c r="U24" s="13"/>
      <c r="V24" s="14"/>
      <c r="W24" s="13"/>
    </row>
    <row r="25" spans="1:23" ht="15" customHeight="1" x14ac:dyDescent="0.3">
      <c r="A25" s="45"/>
      <c r="B25" s="36"/>
      <c r="C25" s="82">
        <v>0.2</v>
      </c>
      <c r="D25" s="291"/>
      <c r="E25" s="47"/>
      <c r="F25" s="36"/>
      <c r="G25" s="37"/>
      <c r="H25" s="14"/>
      <c r="P25" s="13"/>
      <c r="Q25" s="13"/>
      <c r="R25" s="13"/>
      <c r="S25" s="13"/>
      <c r="T25" s="13"/>
      <c r="U25" s="13"/>
      <c r="V25" s="14"/>
      <c r="W25" s="13"/>
    </row>
    <row r="26" spans="1:23" ht="15" customHeight="1" thickBot="1" x14ac:dyDescent="0.35">
      <c r="A26" s="53"/>
      <c r="B26" s="54"/>
      <c r="C26" s="54"/>
      <c r="D26" s="54"/>
      <c r="E26" s="54"/>
      <c r="F26" s="54"/>
      <c r="G26" s="55"/>
      <c r="H26" s="14"/>
      <c r="P26" s="13"/>
      <c r="Q26" s="13"/>
      <c r="R26" s="13"/>
      <c r="S26" s="13"/>
      <c r="T26" s="13"/>
      <c r="U26" s="13"/>
      <c r="V26" s="14"/>
      <c r="W26" s="13"/>
    </row>
    <row r="27" spans="1:23" ht="15" customHeight="1" x14ac:dyDescent="0.3">
      <c r="H27" s="14"/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3">
      <c r="H28" s="14"/>
      <c r="P28" s="13"/>
      <c r="Q28" s="13"/>
      <c r="R28" s="13"/>
      <c r="S28" s="13"/>
      <c r="T28" s="13"/>
      <c r="U28" s="13"/>
      <c r="V28" s="14"/>
      <c r="W28" s="13"/>
    </row>
    <row r="29" spans="1:23" x14ac:dyDescent="0.3">
      <c r="H29" s="14"/>
      <c r="P29" s="13"/>
      <c r="Q29" s="13"/>
      <c r="R29" s="13"/>
      <c r="S29" s="13"/>
      <c r="T29" s="13"/>
      <c r="U29" s="13"/>
      <c r="V29" s="14"/>
      <c r="W29" s="13"/>
    </row>
    <row r="30" spans="1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J37" t="s">
        <v>758</v>
      </c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I39" t="s">
        <v>759</v>
      </c>
      <c r="J39" t="s">
        <v>760</v>
      </c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J41" s="86" t="s">
        <v>323</v>
      </c>
      <c r="K41" s="211" t="s">
        <v>325</v>
      </c>
      <c r="L41" s="211" t="s">
        <v>657</v>
      </c>
      <c r="M41" s="87" t="s">
        <v>761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J42" s="61">
        <f>J8</f>
        <v>1</v>
      </c>
      <c r="K42" s="10">
        <f t="shared" ref="K42:L42" si="8">K8</f>
        <v>20000</v>
      </c>
      <c r="L42" s="10">
        <f t="shared" si="8"/>
        <v>0.2</v>
      </c>
      <c r="M42" s="346">
        <f>MAX(0,L42-M8)</f>
        <v>0</v>
      </c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J43" s="61">
        <f t="shared" ref="J43:L51" si="9">J9</f>
        <v>2</v>
      </c>
      <c r="K43" s="10">
        <f t="shared" si="9"/>
        <v>50000</v>
      </c>
      <c r="L43" s="10">
        <f t="shared" si="9"/>
        <v>0.5</v>
      </c>
      <c r="M43" s="346">
        <f t="shared" ref="M43:M51" si="10">MAX(0,L43-M9)</f>
        <v>0</v>
      </c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J44" s="61">
        <f t="shared" si="9"/>
        <v>3</v>
      </c>
      <c r="K44" s="10">
        <f t="shared" si="9"/>
        <v>60000</v>
      </c>
      <c r="L44" s="10">
        <f t="shared" si="9"/>
        <v>0.6</v>
      </c>
      <c r="M44" s="346">
        <f t="shared" si="10"/>
        <v>0</v>
      </c>
      <c r="P44" s="13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J45" s="61">
        <f t="shared" si="9"/>
        <v>4</v>
      </c>
      <c r="K45" s="10">
        <f t="shared" si="9"/>
        <v>70000</v>
      </c>
      <c r="L45" s="10">
        <f t="shared" si="9"/>
        <v>0.7</v>
      </c>
      <c r="M45" s="346">
        <f t="shared" si="10"/>
        <v>0</v>
      </c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J46" s="61">
        <f t="shared" si="9"/>
        <v>5</v>
      </c>
      <c r="K46" s="10">
        <f t="shared" si="9"/>
        <v>80000</v>
      </c>
      <c r="L46" s="10">
        <f t="shared" si="9"/>
        <v>0.8</v>
      </c>
      <c r="M46" s="346">
        <f t="shared" si="10"/>
        <v>0</v>
      </c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J47" s="61">
        <f t="shared" si="9"/>
        <v>6</v>
      </c>
      <c r="K47" s="10">
        <f t="shared" si="9"/>
        <v>80000</v>
      </c>
      <c r="L47" s="10">
        <f t="shared" si="9"/>
        <v>0.8</v>
      </c>
      <c r="M47" s="346">
        <f t="shared" si="10"/>
        <v>0</v>
      </c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J48" s="61">
        <f t="shared" si="9"/>
        <v>7</v>
      </c>
      <c r="K48" s="10">
        <f t="shared" si="9"/>
        <v>90000</v>
      </c>
      <c r="L48" s="10">
        <f t="shared" si="9"/>
        <v>0.9</v>
      </c>
      <c r="M48" s="346">
        <f t="shared" si="10"/>
        <v>0</v>
      </c>
      <c r="P48" s="13"/>
      <c r="Q48" s="13"/>
      <c r="R48" s="13"/>
      <c r="S48" s="13"/>
      <c r="T48" s="13"/>
      <c r="U48" s="13"/>
      <c r="V48" s="14"/>
      <c r="W48" s="13"/>
    </row>
    <row r="49" spans="1:23" x14ac:dyDescent="0.3">
      <c r="H49" s="14"/>
      <c r="J49" s="61">
        <f t="shared" si="9"/>
        <v>8</v>
      </c>
      <c r="K49" s="10">
        <f t="shared" si="9"/>
        <v>100000</v>
      </c>
      <c r="L49" s="10">
        <f t="shared" si="9"/>
        <v>1</v>
      </c>
      <c r="M49" s="346">
        <f t="shared" si="10"/>
        <v>0</v>
      </c>
      <c r="P49" s="13"/>
      <c r="Q49" s="13"/>
      <c r="R49" s="13"/>
      <c r="S49" s="13"/>
      <c r="T49" s="13"/>
      <c r="U49" s="13"/>
      <c r="V49" s="14"/>
      <c r="W49" s="13"/>
    </row>
    <row r="50" spans="1:23" x14ac:dyDescent="0.3">
      <c r="H50" s="14"/>
      <c r="J50" s="61">
        <f t="shared" si="9"/>
        <v>9</v>
      </c>
      <c r="K50" s="10">
        <f t="shared" si="9"/>
        <v>150000</v>
      </c>
      <c r="L50" s="10">
        <f t="shared" si="9"/>
        <v>1.5</v>
      </c>
      <c r="M50" s="346">
        <f t="shared" si="10"/>
        <v>0.30000000000000004</v>
      </c>
      <c r="P50" s="13"/>
      <c r="Q50" s="13"/>
      <c r="R50" s="13"/>
      <c r="S50" s="13"/>
      <c r="T50" s="13"/>
      <c r="U50" s="13"/>
      <c r="V50" s="14"/>
      <c r="W50" s="13"/>
    </row>
    <row r="51" spans="1:23" x14ac:dyDescent="0.3">
      <c r="H51" s="14"/>
      <c r="J51" s="65">
        <f t="shared" si="9"/>
        <v>10</v>
      </c>
      <c r="K51" s="110">
        <f t="shared" si="9"/>
        <v>300000</v>
      </c>
      <c r="L51" s="110">
        <f t="shared" si="9"/>
        <v>3</v>
      </c>
      <c r="M51" s="386">
        <f t="shared" si="10"/>
        <v>1.8</v>
      </c>
      <c r="P51" s="13"/>
      <c r="Q51" s="13"/>
      <c r="R51" s="13"/>
      <c r="S51" s="13"/>
      <c r="T51" s="13"/>
      <c r="U51" s="13"/>
      <c r="V51" s="14"/>
    </row>
    <row r="52" spans="1:23" x14ac:dyDescent="0.3">
      <c r="H52" s="14"/>
      <c r="I52" s="13"/>
      <c r="J52" s="376" t="s">
        <v>308</v>
      </c>
      <c r="K52" s="211"/>
      <c r="L52" s="387"/>
      <c r="M52" s="388">
        <f>SUM(M42:M51)</f>
        <v>2.1</v>
      </c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3">
      <c r="H53" s="14"/>
      <c r="I53" s="13"/>
      <c r="J53" s="13"/>
      <c r="K53" s="10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3">
      <c r="H54" s="14"/>
      <c r="I54" s="13"/>
      <c r="J54" s="13" t="s">
        <v>762</v>
      </c>
      <c r="K54" s="10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3">
      <c r="H55" s="14"/>
      <c r="I55" s="13"/>
      <c r="J55" s="13"/>
      <c r="K55" s="10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3">
      <c r="H56" s="14"/>
      <c r="I56" s="13" t="s">
        <v>763</v>
      </c>
      <c r="J56" t="s">
        <v>764</v>
      </c>
      <c r="K56" s="10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3">
      <c r="H57" s="14"/>
      <c r="I57" s="13"/>
      <c r="K57" s="10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3">
      <c r="H58" s="14"/>
      <c r="I58" s="13"/>
      <c r="K58" s="10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3">
      <c r="H59" s="14"/>
      <c r="I59" s="13" t="s">
        <v>765</v>
      </c>
      <c r="J59" s="13" t="s">
        <v>766</v>
      </c>
      <c r="K59" s="10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3">
      <c r="H60" s="14"/>
      <c r="I60" s="13"/>
      <c r="J60" s="13" t="s">
        <v>767</v>
      </c>
      <c r="K60" s="10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3" x14ac:dyDescent="0.3">
      <c r="C62" s="13"/>
      <c r="D62" s="13"/>
      <c r="E62" s="13"/>
      <c r="F62" s="13"/>
      <c r="G62" s="13"/>
      <c r="H62" s="14"/>
      <c r="I62" s="13"/>
      <c r="J62" s="13" t="str">
        <f>"Table M: For Expected Losses E = "&amp;TEXT(L6,"$0,0")</f>
        <v>Table M: For Expected Losses E = $100,000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3">
      <c r="C63" s="13"/>
      <c r="D63" s="13"/>
      <c r="E63" s="13"/>
      <c r="F63" s="13"/>
      <c r="G63" s="13"/>
      <c r="H63" s="14"/>
      <c r="I63" s="13"/>
      <c r="J63" s="376" t="s">
        <v>698</v>
      </c>
      <c r="K63" s="377" t="s">
        <v>768</v>
      </c>
      <c r="L63" s="372" t="s">
        <v>757</v>
      </c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3">
      <c r="C64" s="13"/>
      <c r="D64" s="13"/>
      <c r="E64" s="13"/>
      <c r="F64" s="13"/>
      <c r="G64" s="13"/>
      <c r="H64" s="14"/>
      <c r="I64" s="13"/>
      <c r="J64" s="378">
        <v>0</v>
      </c>
      <c r="K64" s="379">
        <v>1</v>
      </c>
      <c r="L64" s="380">
        <f>K64+J64-1</f>
        <v>0</v>
      </c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3">
      <c r="H65" s="14"/>
      <c r="I65" s="13"/>
      <c r="J65" s="381">
        <f>J64+0.1</f>
        <v>0.1</v>
      </c>
      <c r="K65" s="382">
        <f>(SUMPRODUCT($L$42:$L$51,--($L$42:$L$51&gt;=J65))-COUNTIF($L$42:$L$51,"&gt;="&amp;J65)*J65)/$J$51</f>
        <v>0.9</v>
      </c>
      <c r="L65" s="380">
        <f t="shared" ref="L65:L94" si="11">K65+J65-1</f>
        <v>0</v>
      </c>
      <c r="M65" s="13"/>
      <c r="N65" s="13"/>
      <c r="O65" s="13"/>
      <c r="P65" s="13"/>
      <c r="Q65" s="13"/>
      <c r="R65" s="13"/>
      <c r="S65" s="13"/>
      <c r="T65" s="13"/>
      <c r="U65" s="13"/>
      <c r="V65" s="14"/>
    </row>
    <row r="66" spans="8:22" x14ac:dyDescent="0.3">
      <c r="H66" s="14"/>
      <c r="I66" s="13"/>
      <c r="J66" s="381">
        <f t="shared" ref="J66:J92" si="12">J65+0.1</f>
        <v>0.2</v>
      </c>
      <c r="K66" s="382">
        <f t="shared" ref="K66:K94" si="13">(SUMPRODUCT($L$42:$L$51,--($L$42:$L$51&gt;=J66))-COUNTIF($L$42:$L$51,"&gt;="&amp;J66)*J66)/$J$51</f>
        <v>0.8</v>
      </c>
      <c r="L66" s="380">
        <f t="shared" si="11"/>
        <v>0</v>
      </c>
      <c r="M66" s="13"/>
      <c r="N66" s="13"/>
      <c r="O66" s="13"/>
      <c r="P66" s="13"/>
      <c r="Q66" s="13"/>
      <c r="R66" s="13"/>
      <c r="S66" s="13"/>
      <c r="T66" s="13"/>
      <c r="U66" s="13"/>
      <c r="V66" s="14"/>
    </row>
    <row r="67" spans="8:22" x14ac:dyDescent="0.3">
      <c r="H67" s="14"/>
      <c r="I67" s="13"/>
      <c r="J67" s="381">
        <f t="shared" si="12"/>
        <v>0.30000000000000004</v>
      </c>
      <c r="K67" s="382">
        <f t="shared" si="13"/>
        <v>0.71000000000000008</v>
      </c>
      <c r="L67" s="380">
        <f t="shared" si="11"/>
        <v>1.0000000000000231E-2</v>
      </c>
      <c r="M67" s="13"/>
      <c r="N67" s="13"/>
      <c r="O67" s="13"/>
      <c r="P67" s="13"/>
      <c r="Q67" s="13"/>
      <c r="R67" s="13"/>
      <c r="S67" s="13"/>
      <c r="T67" s="13"/>
      <c r="U67" s="13"/>
      <c r="V67" s="14"/>
    </row>
    <row r="68" spans="8:22" x14ac:dyDescent="0.3">
      <c r="H68" s="14"/>
      <c r="I68" s="13"/>
      <c r="J68" s="381">
        <f t="shared" si="12"/>
        <v>0.4</v>
      </c>
      <c r="K68" s="382">
        <f t="shared" si="13"/>
        <v>0.62000000000000011</v>
      </c>
      <c r="L68" s="380">
        <f t="shared" si="11"/>
        <v>2.0000000000000018E-2</v>
      </c>
      <c r="M68" s="13"/>
      <c r="N68" s="13"/>
      <c r="O68" s="13"/>
      <c r="P68" s="13"/>
      <c r="Q68" s="13"/>
      <c r="R68" s="13"/>
      <c r="S68" s="13"/>
      <c r="T68" s="13"/>
      <c r="U68" s="13"/>
      <c r="V68" s="14"/>
    </row>
    <row r="69" spans="8:22" x14ac:dyDescent="0.3">
      <c r="H69" s="14"/>
      <c r="I69" s="13"/>
      <c r="J69" s="381">
        <f t="shared" si="12"/>
        <v>0.5</v>
      </c>
      <c r="K69" s="382">
        <f t="shared" si="13"/>
        <v>0.53</v>
      </c>
      <c r="L69" s="380">
        <f t="shared" si="11"/>
        <v>3.0000000000000027E-2</v>
      </c>
      <c r="M69" s="13"/>
      <c r="N69" s="13"/>
      <c r="O69" s="13"/>
      <c r="P69" s="13"/>
      <c r="Q69" s="13"/>
      <c r="R69" s="13"/>
      <c r="S69" s="13"/>
      <c r="T69" s="13"/>
      <c r="U69" s="13"/>
      <c r="V69" s="14"/>
    </row>
    <row r="70" spans="8:22" x14ac:dyDescent="0.3">
      <c r="H70" s="14"/>
      <c r="I70" s="13"/>
      <c r="J70" s="381">
        <f t="shared" si="12"/>
        <v>0.6</v>
      </c>
      <c r="K70" s="382">
        <f t="shared" si="13"/>
        <v>0.4499999999999999</v>
      </c>
      <c r="L70" s="380">
        <f t="shared" si="11"/>
        <v>4.9999999999999822E-2</v>
      </c>
      <c r="M70" s="13"/>
      <c r="N70" s="13"/>
      <c r="O70" s="13"/>
      <c r="P70" s="13"/>
      <c r="Q70" s="13"/>
      <c r="R70" s="13"/>
      <c r="S70" s="13"/>
      <c r="T70" s="13"/>
      <c r="U70" s="13"/>
      <c r="V70" s="14"/>
    </row>
    <row r="71" spans="8:22" x14ac:dyDescent="0.3">
      <c r="H71" s="14"/>
      <c r="I71" s="13"/>
      <c r="J71" s="381">
        <f t="shared" si="12"/>
        <v>0.7</v>
      </c>
      <c r="K71" s="382">
        <f t="shared" si="13"/>
        <v>0.38</v>
      </c>
      <c r="L71" s="380">
        <f t="shared" si="11"/>
        <v>8.0000000000000071E-2</v>
      </c>
      <c r="M71" s="13"/>
      <c r="N71" s="13"/>
      <c r="O71" s="13"/>
      <c r="P71" s="13"/>
      <c r="Q71" s="13"/>
      <c r="R71" s="13"/>
      <c r="S71" s="13"/>
      <c r="T71" s="13"/>
      <c r="U71" s="13"/>
      <c r="V71" s="14"/>
    </row>
    <row r="72" spans="8:22" x14ac:dyDescent="0.3">
      <c r="H72" s="14"/>
      <c r="I72" s="13"/>
      <c r="J72" s="381">
        <f t="shared" si="12"/>
        <v>0.79999999999999993</v>
      </c>
      <c r="K72" s="382">
        <f t="shared" si="13"/>
        <v>0.32</v>
      </c>
      <c r="L72" s="380">
        <f t="shared" si="11"/>
        <v>0.11999999999999988</v>
      </c>
      <c r="M72" s="13"/>
      <c r="N72" s="13"/>
      <c r="O72" s="13"/>
      <c r="P72" s="13"/>
      <c r="Q72" s="13"/>
      <c r="R72" s="13"/>
      <c r="S72" s="13"/>
      <c r="T72" s="13"/>
      <c r="U72" s="13"/>
      <c r="V72" s="14"/>
    </row>
    <row r="73" spans="8:22" x14ac:dyDescent="0.3">
      <c r="H73" s="14"/>
      <c r="I73" s="13"/>
      <c r="J73" s="381">
        <f t="shared" si="12"/>
        <v>0.89999999999999991</v>
      </c>
      <c r="K73" s="382">
        <f t="shared" si="13"/>
        <v>0.28000000000000008</v>
      </c>
      <c r="L73" s="380">
        <f t="shared" si="11"/>
        <v>0.17999999999999994</v>
      </c>
      <c r="M73" s="13"/>
      <c r="N73" s="13"/>
      <c r="O73" s="13"/>
      <c r="P73" s="13"/>
      <c r="Q73" s="13"/>
      <c r="R73" s="13"/>
      <c r="S73" s="13"/>
      <c r="T73" s="13"/>
      <c r="U73" s="13"/>
      <c r="V73" s="14"/>
    </row>
    <row r="74" spans="8:22" x14ac:dyDescent="0.3">
      <c r="H74" s="14"/>
      <c r="I74" s="13"/>
      <c r="J74" s="381">
        <f t="shared" si="12"/>
        <v>0.99999999999999989</v>
      </c>
      <c r="K74" s="382">
        <f t="shared" si="13"/>
        <v>0.25000000000000006</v>
      </c>
      <c r="L74" s="380">
        <f t="shared" si="11"/>
        <v>0.25</v>
      </c>
      <c r="M74" s="13"/>
      <c r="N74" s="13"/>
      <c r="O74" s="13"/>
      <c r="P74" s="13"/>
      <c r="Q74" s="13"/>
      <c r="R74" s="13"/>
      <c r="S74" s="13"/>
      <c r="T74" s="13"/>
      <c r="U74" s="13"/>
      <c r="V74" s="14"/>
    </row>
    <row r="75" spans="8:22" x14ac:dyDescent="0.3">
      <c r="H75" s="14"/>
      <c r="I75" s="13"/>
      <c r="J75" s="381">
        <f t="shared" si="12"/>
        <v>1.0999999999999999</v>
      </c>
      <c r="K75" s="382">
        <f t="shared" si="13"/>
        <v>0.23000000000000004</v>
      </c>
      <c r="L75" s="380">
        <f t="shared" si="11"/>
        <v>0.32999999999999985</v>
      </c>
      <c r="M75" s="13"/>
      <c r="N75" s="13"/>
      <c r="O75" s="13"/>
      <c r="P75" s="13"/>
      <c r="Q75" s="13"/>
      <c r="R75" s="13"/>
      <c r="S75" s="13"/>
      <c r="T75" s="13"/>
      <c r="U75" s="13"/>
      <c r="V75" s="14"/>
    </row>
    <row r="76" spans="8:22" x14ac:dyDescent="0.3">
      <c r="H76" s="14"/>
      <c r="J76" s="381">
        <f t="shared" si="12"/>
        <v>1.2</v>
      </c>
      <c r="K76" s="382">
        <f t="shared" si="13"/>
        <v>0.21000000000000002</v>
      </c>
      <c r="L76" s="380">
        <f t="shared" si="11"/>
        <v>0.40999999999999992</v>
      </c>
      <c r="V76" s="14"/>
    </row>
    <row r="77" spans="8:22" x14ac:dyDescent="0.3">
      <c r="H77" s="14"/>
      <c r="J77" s="381">
        <f t="shared" si="12"/>
        <v>1.3</v>
      </c>
      <c r="K77" s="382">
        <f t="shared" si="13"/>
        <v>0.19</v>
      </c>
      <c r="L77" s="380">
        <f t="shared" si="11"/>
        <v>0.49</v>
      </c>
      <c r="V77" s="14"/>
    </row>
    <row r="78" spans="8:22" x14ac:dyDescent="0.3">
      <c r="H78" s="14"/>
      <c r="J78" s="381">
        <f t="shared" si="12"/>
        <v>1.4000000000000001</v>
      </c>
      <c r="K78" s="382">
        <f t="shared" si="13"/>
        <v>0.16999999999999998</v>
      </c>
      <c r="L78" s="380">
        <f t="shared" si="11"/>
        <v>0.57000000000000006</v>
      </c>
      <c r="V78" s="14"/>
    </row>
    <row r="79" spans="8:22" x14ac:dyDescent="0.3">
      <c r="H79" s="14"/>
      <c r="J79" s="381">
        <f t="shared" si="12"/>
        <v>1.5000000000000002</v>
      </c>
      <c r="K79" s="382">
        <f t="shared" si="13"/>
        <v>0.14999999999999997</v>
      </c>
      <c r="L79" s="380">
        <f t="shared" si="11"/>
        <v>0.65000000000000013</v>
      </c>
      <c r="V79" s="14"/>
    </row>
    <row r="80" spans="8:22" x14ac:dyDescent="0.3">
      <c r="H80" s="14"/>
      <c r="J80" s="381">
        <f t="shared" si="12"/>
        <v>1.6000000000000003</v>
      </c>
      <c r="K80" s="382">
        <f t="shared" si="13"/>
        <v>0.13999999999999996</v>
      </c>
      <c r="L80" s="380">
        <f t="shared" si="11"/>
        <v>0.74000000000000021</v>
      </c>
      <c r="V80" s="14"/>
    </row>
    <row r="81" spans="8:22" x14ac:dyDescent="0.3">
      <c r="H81" s="14"/>
      <c r="J81" s="381">
        <f t="shared" si="12"/>
        <v>1.7000000000000004</v>
      </c>
      <c r="K81" s="382">
        <f t="shared" si="13"/>
        <v>0.12999999999999995</v>
      </c>
      <c r="L81" s="380">
        <f t="shared" si="11"/>
        <v>0.83000000000000029</v>
      </c>
      <c r="V81" s="14"/>
    </row>
    <row r="82" spans="8:22" x14ac:dyDescent="0.3">
      <c r="H82" s="14"/>
      <c r="J82" s="381">
        <f t="shared" si="12"/>
        <v>1.8000000000000005</v>
      </c>
      <c r="K82" s="382">
        <f t="shared" si="13"/>
        <v>0.11999999999999995</v>
      </c>
      <c r="L82" s="380">
        <f t="shared" si="11"/>
        <v>0.92000000000000037</v>
      </c>
      <c r="V82" s="14"/>
    </row>
    <row r="83" spans="8:22" x14ac:dyDescent="0.3">
      <c r="H83" s="14"/>
      <c r="J83" s="381">
        <f t="shared" si="12"/>
        <v>1.9000000000000006</v>
      </c>
      <c r="K83" s="382">
        <f t="shared" si="13"/>
        <v>0.10999999999999995</v>
      </c>
      <c r="L83" s="380">
        <f t="shared" si="11"/>
        <v>1.0100000000000007</v>
      </c>
      <c r="V83" s="14"/>
    </row>
    <row r="84" spans="8:22" x14ac:dyDescent="0.3">
      <c r="H84" s="14"/>
      <c r="J84" s="381">
        <f t="shared" si="12"/>
        <v>2.0000000000000004</v>
      </c>
      <c r="K84" s="382">
        <f t="shared" si="13"/>
        <v>9.999999999999995E-2</v>
      </c>
      <c r="L84" s="380">
        <f t="shared" si="11"/>
        <v>1.1000000000000005</v>
      </c>
      <c r="V84" s="14"/>
    </row>
    <row r="85" spans="8:22" x14ac:dyDescent="0.3">
      <c r="H85" s="14"/>
      <c r="J85" s="381">
        <f t="shared" si="12"/>
        <v>2.1000000000000005</v>
      </c>
      <c r="K85" s="382">
        <f t="shared" si="13"/>
        <v>8.9999999999999941E-2</v>
      </c>
      <c r="L85" s="380">
        <f t="shared" si="11"/>
        <v>1.1900000000000004</v>
      </c>
      <c r="V85" s="14"/>
    </row>
    <row r="86" spans="8:22" x14ac:dyDescent="0.3">
      <c r="H86" s="14"/>
      <c r="J86" s="381">
        <f t="shared" si="12"/>
        <v>2.2000000000000006</v>
      </c>
      <c r="K86" s="382">
        <f t="shared" si="13"/>
        <v>7.9999999999999932E-2</v>
      </c>
      <c r="L86" s="380">
        <f t="shared" si="11"/>
        <v>1.2800000000000007</v>
      </c>
      <c r="V86" s="14"/>
    </row>
    <row r="87" spans="8:22" x14ac:dyDescent="0.3">
      <c r="H87" s="14"/>
      <c r="J87" s="381">
        <f t="shared" si="12"/>
        <v>2.3000000000000007</v>
      </c>
      <c r="K87" s="382">
        <f t="shared" si="13"/>
        <v>6.9999999999999923E-2</v>
      </c>
      <c r="L87" s="380">
        <f t="shared" si="11"/>
        <v>1.3700000000000006</v>
      </c>
      <c r="V87" s="14"/>
    </row>
    <row r="88" spans="8:22" x14ac:dyDescent="0.3">
      <c r="H88" s="14"/>
      <c r="J88" s="381">
        <f t="shared" si="12"/>
        <v>2.4000000000000008</v>
      </c>
      <c r="K88" s="382">
        <f t="shared" si="13"/>
        <v>5.9999999999999921E-2</v>
      </c>
      <c r="L88" s="380">
        <f t="shared" si="11"/>
        <v>1.4600000000000009</v>
      </c>
      <c r="V88" s="14"/>
    </row>
    <row r="89" spans="8:22" x14ac:dyDescent="0.3">
      <c r="H89" s="14"/>
      <c r="J89" s="381">
        <f t="shared" si="12"/>
        <v>2.5000000000000009</v>
      </c>
      <c r="K89" s="382">
        <f t="shared" si="13"/>
        <v>4.9999999999999913E-2</v>
      </c>
      <c r="L89" s="380">
        <f t="shared" si="11"/>
        <v>1.5500000000000007</v>
      </c>
      <c r="V89" s="14"/>
    </row>
    <row r="90" spans="8:22" x14ac:dyDescent="0.3">
      <c r="H90" s="14"/>
      <c r="J90" s="381">
        <f t="shared" si="12"/>
        <v>2.600000000000001</v>
      </c>
      <c r="K90" s="382">
        <f t="shared" si="13"/>
        <v>3.9999999999999904E-2</v>
      </c>
      <c r="L90" s="380">
        <f t="shared" si="11"/>
        <v>1.640000000000001</v>
      </c>
      <c r="V90" s="14"/>
    </row>
    <row r="91" spans="8:22" x14ac:dyDescent="0.3">
      <c r="H91" s="14"/>
      <c r="J91" s="381">
        <f t="shared" si="12"/>
        <v>2.7000000000000011</v>
      </c>
      <c r="K91" s="382">
        <f t="shared" si="13"/>
        <v>2.9999999999999895E-2</v>
      </c>
      <c r="L91" s="380">
        <f t="shared" si="11"/>
        <v>1.7300000000000009</v>
      </c>
      <c r="V91" s="14"/>
    </row>
    <row r="92" spans="8:22" x14ac:dyDescent="0.3">
      <c r="H92" s="14"/>
      <c r="J92" s="381">
        <f t="shared" si="12"/>
        <v>2.8000000000000012</v>
      </c>
      <c r="K92" s="382">
        <f t="shared" si="13"/>
        <v>1.9999999999999886E-2</v>
      </c>
      <c r="L92" s="380">
        <f t="shared" si="11"/>
        <v>1.8200000000000012</v>
      </c>
      <c r="V92" s="14"/>
    </row>
    <row r="93" spans="8:22" x14ac:dyDescent="0.3">
      <c r="H93" s="14"/>
      <c r="J93" s="381">
        <f>J92+0.1</f>
        <v>2.9000000000000012</v>
      </c>
      <c r="K93" s="382">
        <f>(SUMPRODUCT($L$42:$L$51,--($L$42:$L$51&gt;=J93))-COUNTIF($L$42:$L$51,"&gt;="&amp;J93)*J93)/$J$51</f>
        <v>9.9999999999998753E-3</v>
      </c>
      <c r="L93" s="380">
        <f t="shared" si="11"/>
        <v>1.910000000000001</v>
      </c>
      <c r="V93" s="14"/>
    </row>
    <row r="94" spans="8:22" x14ac:dyDescent="0.3">
      <c r="H94" s="14"/>
      <c r="J94" s="383">
        <f t="shared" ref="J94" si="14">J93+0.1</f>
        <v>3.0000000000000013</v>
      </c>
      <c r="K94" s="384">
        <f t="shared" si="13"/>
        <v>-1.3322676295501878E-16</v>
      </c>
      <c r="L94" s="385">
        <f t="shared" si="11"/>
        <v>2.0000000000000013</v>
      </c>
      <c r="V94" s="14"/>
    </row>
    <row r="95" spans="8:22" x14ac:dyDescent="0.3">
      <c r="H95" s="14"/>
      <c r="V95" s="14"/>
    </row>
    <row r="96" spans="8:22" x14ac:dyDescent="0.3">
      <c r="H96" s="14"/>
      <c r="V96" s="14"/>
    </row>
    <row r="97" spans="8:22" x14ac:dyDescent="0.3">
      <c r="H97" s="14"/>
      <c r="V97" s="14"/>
    </row>
    <row r="98" spans="8:22" x14ac:dyDescent="0.3">
      <c r="H98" s="14"/>
      <c r="V98" s="14"/>
    </row>
    <row r="99" spans="8:22" x14ac:dyDescent="0.3">
      <c r="H99" s="14"/>
      <c r="V99" s="14"/>
    </row>
    <row r="100" spans="8:22" x14ac:dyDescent="0.3">
      <c r="H100" s="14"/>
      <c r="V100" s="14"/>
    </row>
    <row r="101" spans="8:22" x14ac:dyDescent="0.3">
      <c r="H101" s="14"/>
      <c r="V101" s="14"/>
    </row>
    <row r="102" spans="8:22" x14ac:dyDescent="0.3">
      <c r="H102" s="14"/>
      <c r="V102" s="14"/>
    </row>
    <row r="103" spans="8:22" x14ac:dyDescent="0.3">
      <c r="H103" s="14"/>
      <c r="V103" s="14"/>
    </row>
    <row r="104" spans="8:22" x14ac:dyDescent="0.3">
      <c r="H104" s="14"/>
      <c r="V104" s="14"/>
    </row>
    <row r="105" spans="8:22" x14ac:dyDescent="0.3">
      <c r="H105" s="14"/>
      <c r="V105" s="14"/>
    </row>
    <row r="106" spans="8:22" x14ac:dyDescent="0.3">
      <c r="H106" s="14"/>
      <c r="V106" s="14"/>
    </row>
    <row r="107" spans="8:22" x14ac:dyDescent="0.3">
      <c r="H107" s="14"/>
      <c r="V107" s="14"/>
    </row>
    <row r="108" spans="8:22" x14ac:dyDescent="0.3">
      <c r="H108" s="14"/>
      <c r="V108" s="14"/>
    </row>
    <row r="109" spans="8:22" x14ac:dyDescent="0.3">
      <c r="H109" s="14"/>
      <c r="V109" s="14"/>
    </row>
    <row r="110" spans="8:22" x14ac:dyDescent="0.3">
      <c r="H110" s="14"/>
      <c r="V110" s="14"/>
    </row>
    <row r="111" spans="8:22" x14ac:dyDescent="0.3">
      <c r="H111" s="14"/>
      <c r="V111" s="14"/>
    </row>
    <row r="112" spans="8:22" x14ac:dyDescent="0.3">
      <c r="H112" s="14"/>
      <c r="V112" s="14"/>
    </row>
    <row r="113" spans="1:22" x14ac:dyDescent="0.3">
      <c r="H113" s="14"/>
      <c r="V113" s="14"/>
    </row>
    <row r="114" spans="1:22" x14ac:dyDescent="0.3">
      <c r="H114" s="14"/>
      <c r="V114" s="14"/>
    </row>
    <row r="115" spans="1:22" x14ac:dyDescent="0.3">
      <c r="H115" s="14"/>
      <c r="V115" s="14"/>
    </row>
    <row r="116" spans="1:22" x14ac:dyDescent="0.3">
      <c r="H116" s="14"/>
      <c r="V116" s="14"/>
    </row>
    <row r="117" spans="1:22" x14ac:dyDescent="0.3">
      <c r="H117" s="14"/>
      <c r="V117" s="14"/>
    </row>
    <row r="118" spans="1:22" x14ac:dyDescent="0.3">
      <c r="H118" s="14"/>
      <c r="V118" s="14"/>
    </row>
    <row r="119" spans="1:22" x14ac:dyDescent="0.3">
      <c r="H119" s="14"/>
      <c r="V119" s="14"/>
    </row>
    <row r="120" spans="1:22" x14ac:dyDescent="0.3">
      <c r="H120" s="14"/>
      <c r="V120" s="14"/>
    </row>
    <row r="121" spans="1:22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22" x14ac:dyDescent="0.3">
      <c r="C122" s="13"/>
      <c r="D122" s="13"/>
      <c r="E122" s="13"/>
      <c r="F122" s="13"/>
      <c r="G122" s="13"/>
      <c r="H122" s="14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4"/>
    </row>
    <row r="123" spans="1:22" x14ac:dyDescent="0.3">
      <c r="C123" s="13"/>
      <c r="D123" s="13"/>
      <c r="E123" s="13"/>
      <c r="F123" s="13"/>
      <c r="G123" s="13"/>
      <c r="H123" s="14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4"/>
    </row>
    <row r="124" spans="1:22" x14ac:dyDescent="0.3">
      <c r="C124" s="13"/>
      <c r="D124" s="13"/>
      <c r="E124" s="13"/>
      <c r="F124" s="13"/>
      <c r="G124" s="13"/>
      <c r="H124" s="14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4"/>
    </row>
    <row r="125" spans="1:22" x14ac:dyDescent="0.3">
      <c r="H125" s="14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4"/>
    </row>
    <row r="126" spans="1:22" x14ac:dyDescent="0.3">
      <c r="H126" s="14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4"/>
    </row>
    <row r="127" spans="1:22" x14ac:dyDescent="0.3">
      <c r="H127" s="14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4"/>
    </row>
    <row r="128" spans="1:22" x14ac:dyDescent="0.3">
      <c r="H128" s="14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4"/>
    </row>
    <row r="129" spans="8:22" x14ac:dyDescent="0.3">
      <c r="H129" s="14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4"/>
    </row>
    <row r="130" spans="8:22" x14ac:dyDescent="0.3">
      <c r="H130" s="14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4"/>
    </row>
    <row r="131" spans="8:22" x14ac:dyDescent="0.3">
      <c r="H131" s="14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4"/>
    </row>
    <row r="132" spans="8:22" x14ac:dyDescent="0.3">
      <c r="H132" s="14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4"/>
    </row>
    <row r="133" spans="8:22" x14ac:dyDescent="0.3">
      <c r="H133" s="14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4"/>
    </row>
    <row r="134" spans="8:22" x14ac:dyDescent="0.3">
      <c r="H134" s="14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4"/>
    </row>
    <row r="135" spans="8:22" x14ac:dyDescent="0.3">
      <c r="H135" s="14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4"/>
    </row>
    <row r="136" spans="8:22" x14ac:dyDescent="0.3">
      <c r="H136" s="14"/>
      <c r="V136" s="14"/>
    </row>
    <row r="137" spans="8:22" x14ac:dyDescent="0.3">
      <c r="H137" s="14"/>
      <c r="V137" s="14"/>
    </row>
    <row r="138" spans="8:22" x14ac:dyDescent="0.3">
      <c r="H138" s="14"/>
      <c r="V138" s="14"/>
    </row>
    <row r="139" spans="8:22" x14ac:dyDescent="0.3">
      <c r="H139" s="14"/>
      <c r="V139" s="14"/>
    </row>
    <row r="140" spans="8:22" x14ac:dyDescent="0.3">
      <c r="H140" s="14"/>
      <c r="V140" s="14"/>
    </row>
    <row r="141" spans="8:22" x14ac:dyDescent="0.3">
      <c r="H141" s="14"/>
      <c r="V141" s="14"/>
    </row>
    <row r="142" spans="8:22" x14ac:dyDescent="0.3">
      <c r="H142" s="14"/>
      <c r="V142" s="14"/>
    </row>
    <row r="143" spans="8:22" x14ac:dyDescent="0.3">
      <c r="H143" s="14"/>
      <c r="V143" s="14"/>
    </row>
    <row r="144" spans="8:22" x14ac:dyDescent="0.3">
      <c r="H144" s="14"/>
      <c r="V144" s="14"/>
    </row>
    <row r="145" spans="8:22" x14ac:dyDescent="0.3">
      <c r="H145" s="14"/>
      <c r="V145" s="14"/>
    </row>
    <row r="146" spans="8:22" x14ac:dyDescent="0.3">
      <c r="H146" s="14"/>
      <c r="V146" s="14"/>
    </row>
    <row r="147" spans="8:22" x14ac:dyDescent="0.3">
      <c r="H147" s="14"/>
      <c r="V147" s="14"/>
    </row>
    <row r="148" spans="8:22" x14ac:dyDescent="0.3">
      <c r="H148" s="14"/>
      <c r="V148" s="14"/>
    </row>
    <row r="149" spans="8:22" x14ac:dyDescent="0.3">
      <c r="H149" s="14"/>
      <c r="V149" s="14"/>
    </row>
    <row r="150" spans="8:22" x14ac:dyDescent="0.3">
      <c r="H150" s="14"/>
      <c r="V150" s="14"/>
    </row>
    <row r="151" spans="8:22" x14ac:dyDescent="0.3">
      <c r="H151" s="14"/>
      <c r="V151" s="14"/>
    </row>
    <row r="152" spans="8:22" x14ac:dyDescent="0.3">
      <c r="H152" s="14"/>
      <c r="V152" s="14"/>
    </row>
    <row r="153" spans="8:22" x14ac:dyDescent="0.3">
      <c r="H153" s="14"/>
      <c r="V153" s="14"/>
    </row>
    <row r="154" spans="8:22" x14ac:dyDescent="0.3">
      <c r="H154" s="14"/>
      <c r="V154" s="14"/>
    </row>
    <row r="155" spans="8:22" x14ac:dyDescent="0.3">
      <c r="H155" s="14"/>
      <c r="V155" s="14"/>
    </row>
    <row r="156" spans="8:22" x14ac:dyDescent="0.3">
      <c r="H156" s="14"/>
      <c r="V156" s="14"/>
    </row>
    <row r="157" spans="8:22" x14ac:dyDescent="0.3">
      <c r="H157" s="14"/>
      <c r="V157" s="14"/>
    </row>
    <row r="158" spans="8:22" x14ac:dyDescent="0.3">
      <c r="H158" s="14"/>
      <c r="V158" s="14"/>
    </row>
    <row r="159" spans="8:22" x14ac:dyDescent="0.3">
      <c r="H159" s="14"/>
      <c r="V159" s="14"/>
    </row>
    <row r="160" spans="8:22" x14ac:dyDescent="0.3">
      <c r="H160" s="14"/>
      <c r="V160" s="14"/>
    </row>
    <row r="161" spans="8:22" x14ac:dyDescent="0.3">
      <c r="H161" s="14"/>
      <c r="V161" s="14"/>
    </row>
    <row r="162" spans="8:22" x14ac:dyDescent="0.3">
      <c r="H162" s="14"/>
      <c r="V162" s="14"/>
    </row>
    <row r="163" spans="8:22" x14ac:dyDescent="0.3">
      <c r="H163" s="14"/>
      <c r="V163" s="14"/>
    </row>
    <row r="164" spans="8:22" x14ac:dyDescent="0.3">
      <c r="H164" s="14"/>
      <c r="V164" s="14"/>
    </row>
    <row r="165" spans="8:22" x14ac:dyDescent="0.3">
      <c r="H165" s="14"/>
      <c r="V165" s="14"/>
    </row>
    <row r="166" spans="8:22" x14ac:dyDescent="0.3">
      <c r="H166" s="14"/>
      <c r="V166" s="14"/>
    </row>
    <row r="167" spans="8:22" x14ac:dyDescent="0.3">
      <c r="H167" s="14"/>
      <c r="V167" s="14"/>
    </row>
    <row r="168" spans="8:22" x14ac:dyDescent="0.3">
      <c r="H168" s="14"/>
      <c r="V168" s="14"/>
    </row>
    <row r="169" spans="8:22" x14ac:dyDescent="0.3">
      <c r="H169" s="14"/>
      <c r="V169" s="14"/>
    </row>
    <row r="170" spans="8:22" x14ac:dyDescent="0.3">
      <c r="H170" s="14"/>
      <c r="V170" s="14"/>
    </row>
    <row r="171" spans="8:22" x14ac:dyDescent="0.3">
      <c r="H171" s="14"/>
      <c r="V171" s="14"/>
    </row>
    <row r="172" spans="8:22" x14ac:dyDescent="0.3">
      <c r="H172" s="14"/>
      <c r="V172" s="14"/>
    </row>
    <row r="173" spans="8:22" x14ac:dyDescent="0.3">
      <c r="H173" s="14"/>
      <c r="V173" s="14"/>
    </row>
    <row r="174" spans="8:22" x14ac:dyDescent="0.3">
      <c r="H174" s="14"/>
      <c r="V174" s="14"/>
    </row>
    <row r="175" spans="8:22" x14ac:dyDescent="0.3">
      <c r="H175" s="14"/>
      <c r="V175" s="14"/>
    </row>
    <row r="176" spans="8:22" x14ac:dyDescent="0.3">
      <c r="H176" s="14"/>
      <c r="V176" s="14"/>
    </row>
    <row r="177" spans="1:22" x14ac:dyDescent="0.3">
      <c r="H177" s="14"/>
      <c r="V177" s="14"/>
    </row>
    <row r="178" spans="1:22" x14ac:dyDescent="0.3">
      <c r="H178" s="14"/>
      <c r="V178" s="14"/>
    </row>
    <row r="179" spans="1:22" x14ac:dyDescent="0.3">
      <c r="H179" s="14"/>
      <c r="V179" s="14"/>
    </row>
    <row r="180" spans="1:22" x14ac:dyDescent="0.3">
      <c r="H180" s="14"/>
      <c r="V180" s="14"/>
    </row>
    <row r="181" spans="1:22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</row>
    <row r="182" spans="1:22" x14ac:dyDescent="0.3">
      <c r="H182" s="14"/>
      <c r="V182" s="14"/>
    </row>
    <row r="183" spans="1:22" x14ac:dyDescent="0.3">
      <c r="H183" s="14"/>
      <c r="V183" s="14"/>
    </row>
    <row r="184" spans="1:22" x14ac:dyDescent="0.3">
      <c r="H184" s="14"/>
      <c r="V184" s="14"/>
    </row>
    <row r="185" spans="1:22" x14ac:dyDescent="0.3">
      <c r="H185" s="14"/>
      <c r="V185" s="14"/>
    </row>
    <row r="186" spans="1:22" x14ac:dyDescent="0.3">
      <c r="H186" s="14"/>
      <c r="V186" s="14"/>
    </row>
    <row r="187" spans="1:22" x14ac:dyDescent="0.3">
      <c r="H187" s="14"/>
      <c r="V187" s="14"/>
    </row>
    <row r="188" spans="1:22" x14ac:dyDescent="0.3">
      <c r="H188" s="14"/>
      <c r="V188" s="14"/>
    </row>
    <row r="189" spans="1:22" x14ac:dyDescent="0.3">
      <c r="H189" s="14"/>
      <c r="V189" s="14"/>
    </row>
  </sheetData>
  <mergeCells count="1">
    <mergeCell ref="F1:G1"/>
  </mergeCells>
  <hyperlinks>
    <hyperlink ref="F1" location="TOC!A1" display="Return to TOC" xr:uid="{6E0E1F89-2C2D-4FC1-9474-8EF1D6C0864A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39BC-9078-4A3E-A93F-939799F684F5}">
  <sheetPr codeName="Sheet61"/>
  <dimension ref="A1:AB18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31.5546875" customWidth="1"/>
    <col min="5" max="5" width="17.6640625" customWidth="1"/>
    <col min="6" max="6" width="17.33203125" customWidth="1"/>
    <col min="7" max="7" width="2.6640625" customWidth="1"/>
    <col min="8" max="8" width="7.33203125" customWidth="1"/>
    <col min="9" max="9" width="12.44140625" customWidth="1"/>
    <col min="10" max="10" width="10.6640625" bestFit="1" customWidth="1"/>
    <col min="11" max="11" width="12.44140625" bestFit="1" customWidth="1"/>
    <col min="12" max="12" width="13" bestFit="1" customWidth="1"/>
    <col min="13" max="13" width="13" customWidth="1"/>
    <col min="14" max="14" width="13" bestFit="1" customWidth="1"/>
    <col min="15" max="15" width="12.44140625" bestFit="1" customWidth="1"/>
    <col min="16" max="16" width="9.109375" customWidth="1"/>
    <col min="17" max="17" width="13.33203125" customWidth="1"/>
  </cols>
  <sheetData>
    <row r="1" spans="1:19" x14ac:dyDescent="0.3">
      <c r="A1" s="32" t="s">
        <v>137</v>
      </c>
      <c r="B1" s="33"/>
      <c r="C1" s="33" t="s">
        <v>125</v>
      </c>
      <c r="D1" s="34"/>
      <c r="E1" s="772" t="s">
        <v>199</v>
      </c>
      <c r="F1" s="773"/>
      <c r="G1" s="10"/>
      <c r="H1" s="12" t="s">
        <v>140</v>
      </c>
      <c r="R1" s="10"/>
    </row>
    <row r="2" spans="1:19" x14ac:dyDescent="0.3">
      <c r="A2" s="35" t="s">
        <v>138</v>
      </c>
      <c r="B2" s="36"/>
      <c r="C2" s="36" t="s">
        <v>267</v>
      </c>
      <c r="D2" s="36"/>
      <c r="E2" s="36"/>
      <c r="F2" s="37"/>
      <c r="G2" s="10"/>
      <c r="H2" t="s">
        <v>244</v>
      </c>
      <c r="I2" t="s">
        <v>743</v>
      </c>
      <c r="R2" s="10"/>
    </row>
    <row r="3" spans="1:19" x14ac:dyDescent="0.3">
      <c r="A3" s="35" t="s">
        <v>141</v>
      </c>
      <c r="B3" s="36"/>
      <c r="C3" s="36" t="s">
        <v>769</v>
      </c>
      <c r="D3" s="36"/>
      <c r="E3" s="36"/>
      <c r="F3" s="37"/>
      <c r="G3" s="10"/>
      <c r="R3" s="10"/>
    </row>
    <row r="4" spans="1:19" x14ac:dyDescent="0.3">
      <c r="A4" s="38"/>
      <c r="B4" s="39"/>
      <c r="C4" s="39"/>
      <c r="D4" s="39"/>
      <c r="E4" s="39"/>
      <c r="F4" s="40"/>
      <c r="G4" s="14"/>
      <c r="H4" t="s">
        <v>252</v>
      </c>
      <c r="I4" t="str">
        <f>"Compute the entry ratio, r = [actual loss] / [expected loss], for each risk. Note they all have the same expected loss of "&amp;TEXT(K5,"$0,0")&amp;"."</f>
        <v>Compute the entry ratio, r = [actual loss] / [expected loss], for each risk. Note they all have the same expected loss of $100,000.</v>
      </c>
      <c r="R4" s="14"/>
    </row>
    <row r="5" spans="1:19" ht="15" customHeight="1" x14ac:dyDescent="0.3">
      <c r="A5" s="41" t="s">
        <v>144</v>
      </c>
      <c r="B5" s="36"/>
      <c r="C5" s="36" t="s">
        <v>770</v>
      </c>
      <c r="D5" s="36"/>
      <c r="E5" s="36"/>
      <c r="F5" s="37"/>
      <c r="G5" s="14"/>
      <c r="K5" s="241">
        <v>100000</v>
      </c>
      <c r="R5" s="14"/>
    </row>
    <row r="6" spans="1:19" x14ac:dyDescent="0.3">
      <c r="A6" s="45"/>
      <c r="B6" s="36"/>
      <c r="C6" s="36"/>
      <c r="D6" s="36"/>
      <c r="E6" s="36"/>
      <c r="F6" s="37"/>
      <c r="G6" s="14"/>
      <c r="I6" s="86" t="s">
        <v>323</v>
      </c>
      <c r="J6" s="211" t="s">
        <v>325</v>
      </c>
      <c r="K6" s="87" t="s">
        <v>772</v>
      </c>
      <c r="R6" s="14"/>
    </row>
    <row r="7" spans="1:19" ht="15" customHeight="1" x14ac:dyDescent="0.3">
      <c r="A7" s="45"/>
      <c r="B7" s="36"/>
      <c r="C7" s="333" t="s">
        <v>323</v>
      </c>
      <c r="D7" s="96" t="s">
        <v>747</v>
      </c>
      <c r="E7" s="36"/>
      <c r="F7" s="37"/>
      <c r="G7" s="14"/>
      <c r="I7" s="61">
        <f t="shared" ref="I7:I16" si="0">C8</f>
        <v>1</v>
      </c>
      <c r="J7" s="10">
        <f t="shared" ref="J7:J16" si="1">D8</f>
        <v>20000</v>
      </c>
      <c r="K7" s="346">
        <f t="shared" ref="K7:K16" si="2">J7/$K$5</f>
        <v>0.2</v>
      </c>
      <c r="R7" s="14"/>
    </row>
    <row r="8" spans="1:19" ht="15" customHeight="1" x14ac:dyDescent="0.3">
      <c r="A8" s="41"/>
      <c r="B8" s="39"/>
      <c r="C8" s="77">
        <v>1</v>
      </c>
      <c r="D8" s="146">
        <v>20000</v>
      </c>
      <c r="E8" s="36"/>
      <c r="F8" s="37"/>
      <c r="G8" s="14"/>
      <c r="I8" s="61">
        <f t="shared" si="0"/>
        <v>2</v>
      </c>
      <c r="J8" s="10">
        <f t="shared" si="1"/>
        <v>50000</v>
      </c>
      <c r="K8" s="346">
        <f t="shared" si="2"/>
        <v>0.5</v>
      </c>
      <c r="R8" s="14"/>
    </row>
    <row r="9" spans="1:19" x14ac:dyDescent="0.3">
      <c r="A9" s="41"/>
      <c r="B9" s="39"/>
      <c r="C9" s="77">
        <f t="shared" ref="C9:C17" si="3">C8+1</f>
        <v>2</v>
      </c>
      <c r="D9" s="146">
        <v>50000</v>
      </c>
      <c r="E9" s="36"/>
      <c r="F9" s="37"/>
      <c r="G9" s="14"/>
      <c r="I9" s="61">
        <f t="shared" si="0"/>
        <v>3</v>
      </c>
      <c r="J9" s="10">
        <f t="shared" si="1"/>
        <v>60000</v>
      </c>
      <c r="K9" s="346">
        <f t="shared" si="2"/>
        <v>0.6</v>
      </c>
      <c r="R9" s="14"/>
    </row>
    <row r="10" spans="1:19" x14ac:dyDescent="0.3">
      <c r="A10" s="38"/>
      <c r="B10" s="39"/>
      <c r="C10" s="77">
        <f t="shared" si="3"/>
        <v>3</v>
      </c>
      <c r="D10" s="146">
        <v>60000</v>
      </c>
      <c r="E10" s="36"/>
      <c r="F10" s="37"/>
      <c r="G10" s="14"/>
      <c r="I10" s="61">
        <f t="shared" si="0"/>
        <v>4</v>
      </c>
      <c r="J10" s="10">
        <f t="shared" si="1"/>
        <v>70000</v>
      </c>
      <c r="K10" s="346">
        <f t="shared" si="2"/>
        <v>0.7</v>
      </c>
      <c r="R10" s="14"/>
    </row>
    <row r="11" spans="1:19" x14ac:dyDescent="0.3">
      <c r="A11" s="38"/>
      <c r="B11" s="39"/>
      <c r="C11" s="77">
        <f t="shared" si="3"/>
        <v>4</v>
      </c>
      <c r="D11" s="146">
        <v>70000</v>
      </c>
      <c r="E11" s="36"/>
      <c r="F11" s="37"/>
      <c r="G11" s="14"/>
      <c r="I11" s="61">
        <f t="shared" si="0"/>
        <v>5</v>
      </c>
      <c r="J11" s="10">
        <f t="shared" si="1"/>
        <v>80000</v>
      </c>
      <c r="K11" s="346">
        <f t="shared" si="2"/>
        <v>0.8</v>
      </c>
      <c r="R11" s="14"/>
    </row>
    <row r="12" spans="1:19" x14ac:dyDescent="0.3">
      <c r="A12" s="38"/>
      <c r="B12" s="39"/>
      <c r="C12" s="77">
        <f t="shared" si="3"/>
        <v>5</v>
      </c>
      <c r="D12" s="146">
        <v>80000</v>
      </c>
      <c r="E12" s="36"/>
      <c r="F12" s="37"/>
      <c r="G12" s="14"/>
      <c r="I12" s="61">
        <f t="shared" si="0"/>
        <v>6</v>
      </c>
      <c r="J12" s="10">
        <f t="shared" si="1"/>
        <v>80000</v>
      </c>
      <c r="K12" s="346">
        <f t="shared" si="2"/>
        <v>0.8</v>
      </c>
      <c r="R12" s="14"/>
    </row>
    <row r="13" spans="1:19" x14ac:dyDescent="0.3">
      <c r="A13" s="38"/>
      <c r="B13" s="39"/>
      <c r="C13" s="77">
        <f t="shared" si="3"/>
        <v>6</v>
      </c>
      <c r="D13" s="146">
        <v>80000</v>
      </c>
      <c r="E13" s="36"/>
      <c r="F13" s="37"/>
      <c r="G13" s="14"/>
      <c r="I13" s="61">
        <f t="shared" si="0"/>
        <v>7</v>
      </c>
      <c r="J13" s="10">
        <f t="shared" si="1"/>
        <v>90000</v>
      </c>
      <c r="K13" s="346">
        <f t="shared" si="2"/>
        <v>0.9</v>
      </c>
      <c r="R13" s="14"/>
    </row>
    <row r="14" spans="1:19" x14ac:dyDescent="0.3">
      <c r="A14" s="38"/>
      <c r="B14" s="39"/>
      <c r="C14" s="77">
        <f t="shared" si="3"/>
        <v>7</v>
      </c>
      <c r="D14" s="146">
        <v>90000</v>
      </c>
      <c r="E14" s="36"/>
      <c r="F14" s="37"/>
      <c r="G14" s="14"/>
      <c r="I14" s="61">
        <f t="shared" si="0"/>
        <v>8</v>
      </c>
      <c r="J14" s="10">
        <f t="shared" si="1"/>
        <v>100000</v>
      </c>
      <c r="K14" s="346">
        <f t="shared" si="2"/>
        <v>1</v>
      </c>
      <c r="R14" s="14"/>
      <c r="S14" s="13"/>
    </row>
    <row r="15" spans="1:19" x14ac:dyDescent="0.3">
      <c r="A15" s="45"/>
      <c r="B15" s="36"/>
      <c r="C15" s="77">
        <f t="shared" si="3"/>
        <v>8</v>
      </c>
      <c r="D15" s="146">
        <v>100000</v>
      </c>
      <c r="E15" s="36"/>
      <c r="F15" s="37"/>
      <c r="G15" s="14"/>
      <c r="I15" s="61">
        <f t="shared" si="0"/>
        <v>9</v>
      </c>
      <c r="J15" s="10">
        <f t="shared" si="1"/>
        <v>150000</v>
      </c>
      <c r="K15" s="346">
        <f t="shared" si="2"/>
        <v>1.5</v>
      </c>
      <c r="R15" s="14"/>
    </row>
    <row r="16" spans="1:19" x14ac:dyDescent="0.3">
      <c r="A16" s="45"/>
      <c r="B16" s="36"/>
      <c r="C16" s="77">
        <f t="shared" si="3"/>
        <v>9</v>
      </c>
      <c r="D16" s="146">
        <v>150000</v>
      </c>
      <c r="E16" s="36"/>
      <c r="F16" s="37"/>
      <c r="G16" s="14"/>
      <c r="I16" s="65">
        <f t="shared" si="0"/>
        <v>10</v>
      </c>
      <c r="J16" s="110">
        <f t="shared" si="1"/>
        <v>300000</v>
      </c>
      <c r="K16" s="386">
        <f t="shared" si="2"/>
        <v>3</v>
      </c>
      <c r="R16" s="14"/>
    </row>
    <row r="17" spans="1:28" x14ac:dyDescent="0.3">
      <c r="A17" s="45"/>
      <c r="B17" s="36"/>
      <c r="C17" s="82">
        <f t="shared" si="3"/>
        <v>10</v>
      </c>
      <c r="D17" s="148">
        <v>300000</v>
      </c>
      <c r="E17" s="36"/>
      <c r="F17" s="37"/>
      <c r="G17" s="14"/>
      <c r="R17" s="14"/>
    </row>
    <row r="18" spans="1:28" x14ac:dyDescent="0.3">
      <c r="A18" s="45"/>
      <c r="B18" s="36"/>
      <c r="C18" s="36"/>
      <c r="D18" s="36"/>
      <c r="E18" s="36"/>
      <c r="F18" s="37"/>
      <c r="G18" s="14"/>
      <c r="H18" t="s">
        <v>754</v>
      </c>
      <c r="I18" t="s">
        <v>774</v>
      </c>
      <c r="R18" s="14"/>
    </row>
    <row r="19" spans="1:28" ht="15" customHeight="1" x14ac:dyDescent="0.3">
      <c r="A19" s="35" t="s">
        <v>173</v>
      </c>
      <c r="B19" s="36"/>
      <c r="C19" s="36" t="s">
        <v>773</v>
      </c>
      <c r="D19" s="36"/>
      <c r="E19" s="36"/>
      <c r="F19" s="37"/>
      <c r="G19" s="14"/>
      <c r="R19" s="14"/>
      <c r="S19" s="390" t="s">
        <v>771</v>
      </c>
    </row>
    <row r="20" spans="1:28" ht="15" thickBot="1" x14ac:dyDescent="0.35">
      <c r="A20" s="53"/>
      <c r="B20" s="54"/>
      <c r="C20" s="54"/>
      <c r="D20" s="54"/>
      <c r="E20" s="54"/>
      <c r="F20" s="55"/>
      <c r="G20" s="14"/>
      <c r="R20" s="14"/>
      <c r="S20" s="391">
        <v>0</v>
      </c>
      <c r="AB20" s="391">
        <v>1</v>
      </c>
    </row>
    <row r="21" spans="1:28" x14ac:dyDescent="0.3">
      <c r="G21" s="14"/>
      <c r="R21" s="14"/>
      <c r="S21" s="391">
        <v>0.1</v>
      </c>
      <c r="T21" s="391">
        <f>S21+10%</f>
        <v>0.2</v>
      </c>
      <c r="U21" s="391">
        <f t="shared" ref="U21:Z21" si="4">T21+10%</f>
        <v>0.30000000000000004</v>
      </c>
      <c r="V21" s="391">
        <f t="shared" si="4"/>
        <v>0.4</v>
      </c>
      <c r="W21" s="391">
        <f t="shared" si="4"/>
        <v>0.5</v>
      </c>
      <c r="X21" s="391">
        <f t="shared" si="4"/>
        <v>0.6</v>
      </c>
      <c r="Y21" s="391">
        <f t="shared" si="4"/>
        <v>0.7</v>
      </c>
      <c r="Z21" s="391">
        <f t="shared" si="4"/>
        <v>0.79999999999999993</v>
      </c>
      <c r="AA21" s="391">
        <f>Z21+10%</f>
        <v>0.89999999999999991</v>
      </c>
      <c r="AB21" s="391">
        <f>AA21+10%</f>
        <v>0.99999999999999989</v>
      </c>
    </row>
    <row r="22" spans="1:28" x14ac:dyDescent="0.3">
      <c r="G22" s="14"/>
      <c r="O22" s="13"/>
      <c r="P22" s="13"/>
      <c r="Q22" s="13"/>
      <c r="R22" s="14"/>
      <c r="S22" s="392">
        <f>K7</f>
        <v>0.2</v>
      </c>
      <c r="T22" s="392">
        <f t="shared" ref="T22:AB22" si="5">S22</f>
        <v>0.2</v>
      </c>
      <c r="U22" s="392">
        <f t="shared" si="5"/>
        <v>0.2</v>
      </c>
      <c r="V22" s="392">
        <f t="shared" si="5"/>
        <v>0.2</v>
      </c>
      <c r="W22" s="392">
        <f t="shared" si="5"/>
        <v>0.2</v>
      </c>
      <c r="X22" s="392">
        <f t="shared" si="5"/>
        <v>0.2</v>
      </c>
      <c r="Y22" s="392">
        <f t="shared" si="5"/>
        <v>0.2</v>
      </c>
      <c r="Z22" s="392">
        <f t="shared" si="5"/>
        <v>0.2</v>
      </c>
      <c r="AA22" s="392">
        <f t="shared" si="5"/>
        <v>0.2</v>
      </c>
      <c r="AB22" s="392">
        <f t="shared" si="5"/>
        <v>0.2</v>
      </c>
    </row>
    <row r="23" spans="1:28" ht="15" customHeight="1" x14ac:dyDescent="0.3">
      <c r="G23" s="14"/>
      <c r="O23" s="13"/>
      <c r="P23" s="13"/>
      <c r="Q23" s="13"/>
      <c r="R23" s="14"/>
      <c r="S23" s="391"/>
      <c r="T23" s="392">
        <f>$K8-SUM(T$22:T22)</f>
        <v>0.3</v>
      </c>
      <c r="U23" s="392">
        <f>$K8-SUM(U$22:U22)</f>
        <v>0.3</v>
      </c>
      <c r="V23" s="392">
        <f>$K8-SUM(V$22:V22)</f>
        <v>0.3</v>
      </c>
      <c r="W23" s="392">
        <f>$K8-SUM(W$22:W22)</f>
        <v>0.3</v>
      </c>
      <c r="X23" s="392">
        <f>$K8-SUM(X$22:X22)</f>
        <v>0.3</v>
      </c>
      <c r="Y23" s="392">
        <f>$K8-SUM(Y$22:Y22)</f>
        <v>0.3</v>
      </c>
      <c r="Z23" s="392">
        <f>$K8-SUM(Z$22:Z22)</f>
        <v>0.3</v>
      </c>
      <c r="AA23" s="392">
        <f>$K8-SUM(AA$22:AA22)</f>
        <v>0.3</v>
      </c>
      <c r="AB23" s="392">
        <f>$K8-SUM(AB$22:AB22)</f>
        <v>0.3</v>
      </c>
    </row>
    <row r="24" spans="1:28" ht="15" customHeight="1" x14ac:dyDescent="0.3">
      <c r="G24" s="14"/>
      <c r="O24" s="13"/>
      <c r="P24" s="13"/>
      <c r="Q24" s="13"/>
      <c r="R24" s="14"/>
      <c r="S24" s="391"/>
      <c r="T24" s="391"/>
      <c r="U24" s="392">
        <f>$K9-SUM(U$22:U23)</f>
        <v>9.9999999999999978E-2</v>
      </c>
      <c r="V24" s="392">
        <f>$K9-SUM(V$22:V23)</f>
        <v>9.9999999999999978E-2</v>
      </c>
      <c r="W24" s="392">
        <f>$K9-SUM(W$22:W23)</f>
        <v>9.9999999999999978E-2</v>
      </c>
      <c r="X24" s="392">
        <f>$K9-SUM(X$22:X23)</f>
        <v>9.9999999999999978E-2</v>
      </c>
      <c r="Y24" s="392">
        <f>$K9-SUM(Y$22:Y23)</f>
        <v>9.9999999999999978E-2</v>
      </c>
      <c r="Z24" s="392">
        <f>$K9-SUM(Z$22:Z23)</f>
        <v>9.9999999999999978E-2</v>
      </c>
      <c r="AA24" s="392">
        <f>$K9-SUM(AA$22:AA23)</f>
        <v>9.9999999999999978E-2</v>
      </c>
      <c r="AB24" s="392">
        <f>$K9-SUM(AB$22:AB23)</f>
        <v>9.9999999999999978E-2</v>
      </c>
    </row>
    <row r="25" spans="1:28" ht="15" customHeight="1" x14ac:dyDescent="0.3">
      <c r="G25" s="14"/>
      <c r="O25" s="13"/>
      <c r="P25" s="13"/>
      <c r="Q25" s="13"/>
      <c r="R25" s="14"/>
      <c r="S25" s="391"/>
      <c r="T25" s="391"/>
      <c r="U25" s="393"/>
      <c r="V25" s="392">
        <f>$K10-SUM(V$22:V24)</f>
        <v>9.9999999999999978E-2</v>
      </c>
      <c r="W25" s="392">
        <f>$K10-SUM(W$22:W24)</f>
        <v>9.9999999999999978E-2</v>
      </c>
      <c r="X25" s="392">
        <f>$K10-SUM(X$22:X24)</f>
        <v>9.9999999999999978E-2</v>
      </c>
      <c r="Y25" s="392">
        <f>$K10-SUM(Y$22:Y24)</f>
        <v>9.9999999999999978E-2</v>
      </c>
      <c r="Z25" s="392">
        <f>$K10-SUM(Z$22:Z24)</f>
        <v>9.9999999999999978E-2</v>
      </c>
      <c r="AA25" s="392">
        <f>$K10-SUM(AA$22:AA24)</f>
        <v>9.9999999999999978E-2</v>
      </c>
      <c r="AB25" s="392">
        <f>$K10-SUM(AB$22:AB24)</f>
        <v>9.9999999999999978E-2</v>
      </c>
    </row>
    <row r="26" spans="1:28" ht="15" customHeight="1" x14ac:dyDescent="0.3">
      <c r="G26" s="14"/>
      <c r="O26" s="13"/>
      <c r="P26" s="13"/>
      <c r="Q26" s="13"/>
      <c r="R26" s="14"/>
      <c r="S26" s="391"/>
      <c r="T26" s="391"/>
      <c r="U26" s="393"/>
      <c r="V26" s="393"/>
      <c r="W26" s="392">
        <f>$K11-SUM(W$22:W25)</f>
        <v>0.10000000000000009</v>
      </c>
      <c r="X26" s="392">
        <f>$K11-SUM(X$22:X25)</f>
        <v>0.10000000000000009</v>
      </c>
      <c r="Y26" s="392">
        <f>$K11-SUM(Y$22:Y25)</f>
        <v>0.10000000000000009</v>
      </c>
      <c r="Z26" s="392">
        <f>$K11-SUM(Z$22:Z25)</f>
        <v>0.10000000000000009</v>
      </c>
      <c r="AA26" s="392">
        <f>$K11-SUM(AA$22:AA25)</f>
        <v>0.10000000000000009</v>
      </c>
      <c r="AB26" s="392">
        <f>$K11-SUM(AB$22:AB25)</f>
        <v>0.10000000000000009</v>
      </c>
    </row>
    <row r="27" spans="1:28" ht="15" customHeight="1" x14ac:dyDescent="0.3">
      <c r="G27" s="14"/>
      <c r="O27" s="13"/>
      <c r="P27" s="13"/>
      <c r="Q27" s="13"/>
      <c r="R27" s="14"/>
      <c r="S27" s="391"/>
      <c r="T27" s="391"/>
      <c r="U27" s="393"/>
      <c r="V27" s="393"/>
      <c r="W27" s="393"/>
      <c r="X27" s="392">
        <f>$K12-SUM(X$22:X26)</f>
        <v>0</v>
      </c>
      <c r="Y27" s="392">
        <f>$K12-SUM(Y$22:Y26)</f>
        <v>0</v>
      </c>
      <c r="Z27" s="392">
        <f>$K12-SUM(Z$22:Z26)</f>
        <v>0</v>
      </c>
      <c r="AA27" s="392">
        <f>$K12-SUM(AA$22:AA26)</f>
        <v>0</v>
      </c>
      <c r="AB27" s="392">
        <f>$K12-SUM(AB$22:AB26)</f>
        <v>0</v>
      </c>
    </row>
    <row r="28" spans="1:28" ht="15" customHeight="1" x14ac:dyDescent="0.3">
      <c r="G28" s="14"/>
      <c r="O28" s="13"/>
      <c r="P28" s="13"/>
      <c r="Q28" s="13"/>
      <c r="R28" s="14"/>
      <c r="S28" s="391"/>
      <c r="T28" s="391"/>
      <c r="U28" s="393"/>
      <c r="V28" s="393"/>
      <c r="W28" s="393"/>
      <c r="X28" s="393"/>
      <c r="Y28" s="392">
        <f>$K13-SUM(Y$22:Y27)</f>
        <v>9.9999999999999978E-2</v>
      </c>
      <c r="Z28" s="392">
        <f>$K13-SUM(Z$22:Z27)</f>
        <v>9.9999999999999978E-2</v>
      </c>
      <c r="AA28" s="392">
        <f>$K13-SUM(AA$22:AA27)</f>
        <v>9.9999999999999978E-2</v>
      </c>
      <c r="AB28" s="392">
        <f>$K13-SUM(AB$22:AB27)</f>
        <v>9.9999999999999978E-2</v>
      </c>
    </row>
    <row r="29" spans="1:28" x14ac:dyDescent="0.3">
      <c r="G29" s="14"/>
      <c r="O29" s="13"/>
      <c r="P29" s="13"/>
      <c r="Q29" s="13"/>
      <c r="R29" s="14"/>
      <c r="S29" s="391"/>
      <c r="T29" s="391"/>
      <c r="U29" s="393"/>
      <c r="V29" s="393"/>
      <c r="W29" s="393"/>
      <c r="X29" s="393"/>
      <c r="Y29" s="393"/>
      <c r="Z29" s="392">
        <f>$K14-SUM(Z$22:Z28)</f>
        <v>9.9999999999999978E-2</v>
      </c>
      <c r="AA29" s="392">
        <f>$K14-SUM(AA$22:AA28)</f>
        <v>9.9999999999999978E-2</v>
      </c>
      <c r="AB29" s="392">
        <f>$K14-SUM(AB$22:AB28)</f>
        <v>9.9999999999999978E-2</v>
      </c>
    </row>
    <row r="30" spans="1:28" x14ac:dyDescent="0.3">
      <c r="G30" s="14"/>
      <c r="O30" s="13"/>
      <c r="P30" s="13"/>
      <c r="Q30" s="13"/>
      <c r="R30" s="14"/>
      <c r="S30" s="391"/>
      <c r="T30" s="391"/>
      <c r="U30" s="393"/>
      <c r="V30" s="393"/>
      <c r="W30" s="393"/>
      <c r="X30" s="393"/>
      <c r="Y30" s="393"/>
      <c r="Z30" s="393"/>
      <c r="AA30" s="392">
        <f>$K15-SUM(AA$22:AA29)</f>
        <v>0.5</v>
      </c>
      <c r="AB30" s="392">
        <f>$K15-SUM(AB$22:AB29)</f>
        <v>0.5</v>
      </c>
    </row>
    <row r="31" spans="1:28" x14ac:dyDescent="0.3">
      <c r="G31" s="14"/>
      <c r="O31" s="13"/>
      <c r="P31" s="13"/>
      <c r="Q31" s="13"/>
      <c r="R31" s="14"/>
      <c r="S31" s="391"/>
      <c r="T31" s="391"/>
      <c r="U31" s="393"/>
      <c r="V31" s="393"/>
      <c r="W31" s="393"/>
      <c r="X31" s="393"/>
      <c r="Y31" s="393"/>
      <c r="Z31" s="393"/>
      <c r="AA31" s="393"/>
      <c r="AB31" s="392">
        <f>$K16-SUM(AB$22:AB30)</f>
        <v>1.5</v>
      </c>
    </row>
    <row r="32" spans="1:28" x14ac:dyDescent="0.3">
      <c r="G32" s="14"/>
      <c r="O32" s="13"/>
      <c r="P32" s="13"/>
      <c r="Q32" s="13"/>
      <c r="R32" s="14"/>
      <c r="S32" s="13"/>
    </row>
    <row r="33" spans="1:19" x14ac:dyDescent="0.3">
      <c r="G33" s="14"/>
      <c r="O33" s="13"/>
      <c r="P33" s="13"/>
      <c r="Q33" s="13"/>
      <c r="R33" s="14"/>
      <c r="S33" s="13"/>
    </row>
    <row r="34" spans="1:19" x14ac:dyDescent="0.3">
      <c r="G34" s="14"/>
      <c r="O34" s="13"/>
      <c r="P34" s="13"/>
      <c r="Q34" s="13"/>
      <c r="R34" s="14"/>
      <c r="S34" s="13"/>
    </row>
    <row r="35" spans="1:19" x14ac:dyDescent="0.3">
      <c r="G35" s="14"/>
      <c r="H35" t="s">
        <v>759</v>
      </c>
      <c r="I35" t="s">
        <v>775</v>
      </c>
      <c r="O35" s="13"/>
      <c r="P35" s="13"/>
      <c r="Q35" s="13"/>
      <c r="R35" s="14"/>
      <c r="S35" s="13"/>
    </row>
    <row r="36" spans="1:19" x14ac:dyDescent="0.3">
      <c r="G36" s="14"/>
      <c r="H36" t="s">
        <v>174</v>
      </c>
      <c r="I36" t="s">
        <v>776</v>
      </c>
      <c r="O36" s="13"/>
      <c r="P36" s="13"/>
      <c r="Q36" s="13"/>
      <c r="R36" s="14"/>
      <c r="S36" s="13"/>
    </row>
    <row r="37" spans="1:19" x14ac:dyDescent="0.3">
      <c r="G37" s="14"/>
      <c r="H37" t="s">
        <v>183</v>
      </c>
      <c r="I37" t="s">
        <v>777</v>
      </c>
      <c r="O37" s="13"/>
      <c r="P37" s="13"/>
      <c r="Q37" s="13"/>
      <c r="R37" s="14"/>
      <c r="S37" s="13"/>
    </row>
    <row r="38" spans="1:19" x14ac:dyDescent="0.3">
      <c r="G38" s="14"/>
      <c r="H38" t="s">
        <v>778</v>
      </c>
      <c r="I38" t="s">
        <v>779</v>
      </c>
      <c r="O38" s="13"/>
      <c r="P38" s="13"/>
      <c r="Q38" s="13"/>
      <c r="R38" s="14"/>
      <c r="S38" s="13"/>
    </row>
    <row r="39" spans="1:19" x14ac:dyDescent="0.3">
      <c r="A39" s="13"/>
      <c r="B39" s="13"/>
      <c r="G39" s="14"/>
      <c r="H39" t="s">
        <v>780</v>
      </c>
      <c r="I39" t="s">
        <v>781</v>
      </c>
      <c r="O39" s="13"/>
      <c r="P39" s="13"/>
      <c r="Q39" s="13"/>
      <c r="R39" s="14"/>
      <c r="S39" s="13"/>
    </row>
    <row r="40" spans="1:19" x14ac:dyDescent="0.3">
      <c r="G40" s="14"/>
      <c r="H40" t="s">
        <v>782</v>
      </c>
      <c r="I40" t="s">
        <v>783</v>
      </c>
      <c r="O40" s="13"/>
      <c r="P40" s="13"/>
      <c r="Q40" s="13"/>
      <c r="R40" s="14"/>
      <c r="S40" s="13"/>
    </row>
    <row r="41" spans="1:19" x14ac:dyDescent="0.3">
      <c r="G41" s="14"/>
      <c r="I41" t="s">
        <v>784</v>
      </c>
      <c r="O41" s="13"/>
      <c r="P41" s="13"/>
      <c r="Q41" s="13"/>
      <c r="R41" s="14"/>
      <c r="S41" s="13"/>
    </row>
    <row r="42" spans="1:19" x14ac:dyDescent="0.3">
      <c r="G42" s="14"/>
      <c r="H42" t="s">
        <v>785</v>
      </c>
      <c r="I42" t="s">
        <v>764</v>
      </c>
      <c r="O42" s="13"/>
      <c r="P42" s="13"/>
      <c r="Q42" s="13"/>
      <c r="R42" s="14"/>
      <c r="S42" s="13"/>
    </row>
    <row r="43" spans="1:19" x14ac:dyDescent="0.3">
      <c r="G43" s="14"/>
      <c r="O43" s="13"/>
      <c r="P43" s="13"/>
      <c r="Q43" s="13"/>
      <c r="R43" s="14"/>
      <c r="S43" s="13"/>
    </row>
    <row r="44" spans="1:19" x14ac:dyDescent="0.3">
      <c r="G44" s="14"/>
      <c r="I44" s="86" t="s">
        <v>772</v>
      </c>
      <c r="J44" s="211" t="s">
        <v>786</v>
      </c>
      <c r="K44" s="211" t="s">
        <v>787</v>
      </c>
      <c r="L44" s="211" t="s">
        <v>788</v>
      </c>
      <c r="M44" s="211" t="s">
        <v>789</v>
      </c>
      <c r="N44" s="371" t="s">
        <v>768</v>
      </c>
      <c r="O44" s="372" t="s">
        <v>757</v>
      </c>
      <c r="P44" s="13"/>
      <c r="Q44" s="13"/>
      <c r="R44" s="14"/>
      <c r="S44" s="13"/>
    </row>
    <row r="45" spans="1:19" x14ac:dyDescent="0.3">
      <c r="G45" s="14"/>
      <c r="I45" s="394">
        <v>0</v>
      </c>
      <c r="J45" s="10">
        <f t="shared" ref="J45:J54" si="6">COUNTIF($K$7:$K$16,I45)</f>
        <v>0</v>
      </c>
      <c r="K45" s="10">
        <f t="shared" ref="K45:K54" si="7">COUNTIF($K$7:$K$16,"&gt;"&amp;I45)</f>
        <v>10</v>
      </c>
      <c r="L45" s="175">
        <f t="shared" ref="L45:L54" si="8">K45/COUNT($I$7:$I$16)</f>
        <v>1</v>
      </c>
      <c r="M45" s="395">
        <f t="shared" ref="M45:M52" si="9">I46-I45</f>
        <v>0.2</v>
      </c>
      <c r="N45" s="396">
        <f t="shared" ref="N45:N52" si="10">N46+M45*L45</f>
        <v>1</v>
      </c>
      <c r="O45" s="380">
        <f>N45+I45-1</f>
        <v>0</v>
      </c>
      <c r="P45" s="13"/>
      <c r="Q45" s="13"/>
      <c r="R45" s="14"/>
      <c r="S45" s="13"/>
    </row>
    <row r="46" spans="1:19" x14ac:dyDescent="0.3">
      <c r="G46" s="14"/>
      <c r="I46" s="397">
        <f>K7</f>
        <v>0.2</v>
      </c>
      <c r="J46" s="10">
        <f t="shared" si="6"/>
        <v>1</v>
      </c>
      <c r="K46" s="10">
        <f t="shared" si="7"/>
        <v>9</v>
      </c>
      <c r="L46" s="175">
        <f t="shared" si="8"/>
        <v>0.9</v>
      </c>
      <c r="M46" s="395">
        <f t="shared" si="9"/>
        <v>0.3</v>
      </c>
      <c r="N46" s="396">
        <f t="shared" si="10"/>
        <v>0.79999999999999993</v>
      </c>
      <c r="O46" s="380">
        <f t="shared" ref="O46:O54" si="11">N46+I46-1</f>
        <v>0</v>
      </c>
      <c r="P46" s="13"/>
      <c r="Q46" s="13"/>
      <c r="R46" s="14"/>
      <c r="S46" s="13"/>
    </row>
    <row r="47" spans="1:19" x14ac:dyDescent="0.3">
      <c r="G47" s="14"/>
      <c r="I47" s="397">
        <f>K8</f>
        <v>0.5</v>
      </c>
      <c r="J47" s="10">
        <f t="shared" si="6"/>
        <v>1</v>
      </c>
      <c r="K47" s="10">
        <f t="shared" si="7"/>
        <v>8</v>
      </c>
      <c r="L47" s="175">
        <f t="shared" si="8"/>
        <v>0.8</v>
      </c>
      <c r="M47" s="395">
        <f t="shared" si="9"/>
        <v>9.9999999999999978E-2</v>
      </c>
      <c r="N47" s="396">
        <f t="shared" si="10"/>
        <v>0.52999999999999992</v>
      </c>
      <c r="O47" s="380">
        <f t="shared" si="11"/>
        <v>2.9999999999999805E-2</v>
      </c>
      <c r="P47" s="13"/>
      <c r="Q47" s="13"/>
      <c r="R47" s="14"/>
      <c r="S47" s="13"/>
    </row>
    <row r="48" spans="1:19" x14ac:dyDescent="0.3">
      <c r="G48" s="14"/>
      <c r="I48" s="397">
        <f>K9</f>
        <v>0.6</v>
      </c>
      <c r="J48" s="10">
        <f t="shared" si="6"/>
        <v>1</v>
      </c>
      <c r="K48" s="10">
        <f t="shared" si="7"/>
        <v>7</v>
      </c>
      <c r="L48" s="175">
        <f t="shared" si="8"/>
        <v>0.7</v>
      </c>
      <c r="M48" s="395">
        <f t="shared" si="9"/>
        <v>9.9999999999999978E-2</v>
      </c>
      <c r="N48" s="396">
        <f t="shared" si="10"/>
        <v>0.44999999999999996</v>
      </c>
      <c r="O48" s="380">
        <f t="shared" si="11"/>
        <v>4.9999999999999822E-2</v>
      </c>
      <c r="P48" s="13"/>
      <c r="Q48" s="13"/>
      <c r="R48" s="14"/>
      <c r="S48" s="13"/>
    </row>
    <row r="49" spans="1:19" x14ac:dyDescent="0.3">
      <c r="G49" s="14"/>
      <c r="I49" s="397">
        <f>K10</f>
        <v>0.7</v>
      </c>
      <c r="J49" s="10">
        <f t="shared" si="6"/>
        <v>1</v>
      </c>
      <c r="K49" s="10">
        <f t="shared" si="7"/>
        <v>6</v>
      </c>
      <c r="L49" s="175">
        <f t="shared" si="8"/>
        <v>0.6</v>
      </c>
      <c r="M49" s="395">
        <f t="shared" si="9"/>
        <v>0.10000000000000009</v>
      </c>
      <c r="N49" s="396">
        <f t="shared" si="10"/>
        <v>0.38</v>
      </c>
      <c r="O49" s="380">
        <f t="shared" si="11"/>
        <v>8.0000000000000071E-2</v>
      </c>
      <c r="P49" s="13"/>
      <c r="Q49" s="13"/>
      <c r="R49" s="14"/>
      <c r="S49" s="13"/>
    </row>
    <row r="50" spans="1:19" x14ac:dyDescent="0.3">
      <c r="G50" s="14"/>
      <c r="I50" s="397">
        <f>K11</f>
        <v>0.8</v>
      </c>
      <c r="J50" s="10">
        <f t="shared" si="6"/>
        <v>2</v>
      </c>
      <c r="K50" s="10">
        <f t="shared" si="7"/>
        <v>4</v>
      </c>
      <c r="L50" s="175">
        <f t="shared" si="8"/>
        <v>0.4</v>
      </c>
      <c r="M50" s="395">
        <f t="shared" si="9"/>
        <v>9.9999999999999978E-2</v>
      </c>
      <c r="N50" s="396">
        <f t="shared" si="10"/>
        <v>0.31999999999999995</v>
      </c>
      <c r="O50" s="380">
        <f t="shared" si="11"/>
        <v>0.12000000000000011</v>
      </c>
      <c r="P50" s="13"/>
      <c r="Q50" s="13"/>
      <c r="R50" s="14"/>
      <c r="S50" s="13"/>
    </row>
    <row r="51" spans="1:19" x14ac:dyDescent="0.3">
      <c r="G51" s="14"/>
      <c r="I51" s="397">
        <f>K13</f>
        <v>0.9</v>
      </c>
      <c r="J51" s="10">
        <f t="shared" si="6"/>
        <v>1</v>
      </c>
      <c r="K51" s="10">
        <f t="shared" si="7"/>
        <v>3</v>
      </c>
      <c r="L51" s="175">
        <f t="shared" si="8"/>
        <v>0.3</v>
      </c>
      <c r="M51" s="395">
        <f t="shared" si="9"/>
        <v>9.9999999999999978E-2</v>
      </c>
      <c r="N51" s="396">
        <f t="shared" si="10"/>
        <v>0.27999999999999997</v>
      </c>
      <c r="O51" s="380">
        <f t="shared" si="11"/>
        <v>0.17999999999999994</v>
      </c>
      <c r="P51" s="13"/>
      <c r="Q51" s="13"/>
      <c r="R51" s="14"/>
      <c r="S51" s="13"/>
    </row>
    <row r="52" spans="1:19" x14ac:dyDescent="0.3">
      <c r="G52" s="14"/>
      <c r="H52" s="13"/>
      <c r="I52" s="397">
        <f>K14</f>
        <v>1</v>
      </c>
      <c r="J52" s="10">
        <f t="shared" si="6"/>
        <v>1</v>
      </c>
      <c r="K52" s="10">
        <f t="shared" si="7"/>
        <v>2</v>
      </c>
      <c r="L52" s="175">
        <f t="shared" si="8"/>
        <v>0.2</v>
      </c>
      <c r="M52" s="395">
        <f t="shared" si="9"/>
        <v>0.5</v>
      </c>
      <c r="N52" s="396">
        <f t="shared" si="10"/>
        <v>0.25</v>
      </c>
      <c r="O52" s="380">
        <f t="shared" si="11"/>
        <v>0.25</v>
      </c>
      <c r="P52" s="13"/>
      <c r="Q52" s="13"/>
      <c r="R52" s="14"/>
    </row>
    <row r="53" spans="1:19" x14ac:dyDescent="0.3">
      <c r="G53" s="14"/>
      <c r="H53" s="13"/>
      <c r="I53" s="397">
        <f>K15</f>
        <v>1.5</v>
      </c>
      <c r="J53" s="10">
        <f t="shared" si="6"/>
        <v>1</v>
      </c>
      <c r="K53" s="10">
        <f t="shared" si="7"/>
        <v>1</v>
      </c>
      <c r="L53" s="175">
        <f t="shared" si="8"/>
        <v>0.1</v>
      </c>
      <c r="M53" s="395">
        <f>I54-I53</f>
        <v>1.5</v>
      </c>
      <c r="N53" s="396">
        <f>N54+M53*L53</f>
        <v>0.15000000000000002</v>
      </c>
      <c r="O53" s="380">
        <f t="shared" si="11"/>
        <v>0.64999999999999991</v>
      </c>
      <c r="P53" s="13"/>
      <c r="Q53" s="13"/>
      <c r="R53" s="14"/>
    </row>
    <row r="54" spans="1:19" x14ac:dyDescent="0.3">
      <c r="G54" s="14"/>
      <c r="H54" s="13"/>
      <c r="I54" s="398">
        <f>K16</f>
        <v>3</v>
      </c>
      <c r="J54" s="110">
        <f t="shared" si="6"/>
        <v>1</v>
      </c>
      <c r="K54" s="110">
        <f t="shared" si="7"/>
        <v>0</v>
      </c>
      <c r="L54" s="399">
        <f t="shared" si="8"/>
        <v>0</v>
      </c>
      <c r="M54" s="240">
        <v>0</v>
      </c>
      <c r="N54" s="400">
        <v>0</v>
      </c>
      <c r="O54" s="385">
        <f t="shared" si="11"/>
        <v>2</v>
      </c>
      <c r="P54" s="13"/>
      <c r="Q54" s="13"/>
      <c r="R54" s="14"/>
    </row>
    <row r="55" spans="1:19" x14ac:dyDescent="0.3">
      <c r="G55" s="14"/>
      <c r="H55" s="13"/>
      <c r="L55" s="13"/>
      <c r="M55" s="13"/>
      <c r="N55" s="13"/>
      <c r="O55" s="13"/>
      <c r="P55" s="13"/>
      <c r="Q55" s="13"/>
      <c r="R55" s="14"/>
    </row>
    <row r="56" spans="1:19" x14ac:dyDescent="0.3">
      <c r="G56" s="14"/>
      <c r="H56" s="13" t="s">
        <v>790</v>
      </c>
      <c r="I56" s="13"/>
      <c r="J56" s="10"/>
      <c r="K56" s="13"/>
      <c r="L56" s="13"/>
      <c r="M56" s="13"/>
      <c r="N56" s="13"/>
      <c r="O56" s="13"/>
      <c r="P56" s="13"/>
      <c r="Q56" s="13"/>
      <c r="R56" s="14"/>
    </row>
    <row r="57" spans="1:19" x14ac:dyDescent="0.3">
      <c r="G57" s="14"/>
      <c r="H57" s="13" t="s">
        <v>791</v>
      </c>
      <c r="I57" s="13"/>
      <c r="J57" s="10"/>
      <c r="K57" s="13"/>
      <c r="L57" s="13"/>
      <c r="M57" s="13"/>
      <c r="N57" s="13"/>
      <c r="O57" s="13"/>
      <c r="P57" s="13"/>
      <c r="Q57" s="13"/>
      <c r="R57" s="14"/>
    </row>
    <row r="58" spans="1:19" x14ac:dyDescent="0.3">
      <c r="G58" s="14"/>
      <c r="H58" s="13" t="s">
        <v>792</v>
      </c>
      <c r="I58" s="13"/>
      <c r="J58" s="10"/>
      <c r="K58" s="13"/>
      <c r="L58" s="13"/>
      <c r="M58" s="13"/>
      <c r="N58" s="13"/>
      <c r="O58" s="13"/>
      <c r="P58" s="13"/>
      <c r="Q58" s="13"/>
      <c r="R58" s="14"/>
    </row>
    <row r="59" spans="1:19" x14ac:dyDescent="0.3">
      <c r="G59" s="14"/>
      <c r="H59" s="13" t="s">
        <v>793</v>
      </c>
      <c r="I59" s="13"/>
      <c r="J59" s="10"/>
      <c r="K59" s="13"/>
      <c r="L59" s="13"/>
      <c r="M59" s="13"/>
      <c r="N59" s="13"/>
      <c r="O59" s="13"/>
      <c r="P59" s="13"/>
      <c r="Q59" s="13"/>
      <c r="R59" s="14"/>
    </row>
    <row r="60" spans="1:19" x14ac:dyDescent="0.3">
      <c r="G60" s="14"/>
      <c r="R60" s="14"/>
    </row>
    <row r="61" spans="1:19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19" x14ac:dyDescent="0.3">
      <c r="C62" s="13"/>
      <c r="D62" s="13"/>
      <c r="E62" s="13"/>
      <c r="F62" s="13"/>
      <c r="G62" s="14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4"/>
    </row>
    <row r="63" spans="1:19" x14ac:dyDescent="0.3">
      <c r="C63" s="13"/>
      <c r="D63" s="13"/>
      <c r="E63" s="13"/>
      <c r="F63" s="13"/>
      <c r="G63" s="14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</row>
    <row r="64" spans="1:19" x14ac:dyDescent="0.3">
      <c r="C64" s="13"/>
      <c r="D64" s="13"/>
      <c r="E64" s="13"/>
      <c r="F64" s="13"/>
      <c r="G64" s="1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4"/>
    </row>
    <row r="65" spans="7:18" x14ac:dyDescent="0.3"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4"/>
    </row>
    <row r="66" spans="7:18" x14ac:dyDescent="0.3"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4"/>
    </row>
    <row r="67" spans="7:18" x14ac:dyDescent="0.3">
      <c r="G67" s="14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4"/>
    </row>
    <row r="68" spans="7:18" x14ac:dyDescent="0.3">
      <c r="G68" s="14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4"/>
    </row>
    <row r="69" spans="7:18" x14ac:dyDescent="0.3"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4"/>
    </row>
    <row r="70" spans="7:18" x14ac:dyDescent="0.3"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4"/>
    </row>
    <row r="71" spans="7:18" x14ac:dyDescent="0.3"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4"/>
    </row>
    <row r="72" spans="7:18" x14ac:dyDescent="0.3">
      <c r="G72" s="14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4"/>
    </row>
    <row r="73" spans="7:18" x14ac:dyDescent="0.3">
      <c r="G73" s="14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4"/>
    </row>
    <row r="74" spans="7:18" x14ac:dyDescent="0.3">
      <c r="G74" s="1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4"/>
    </row>
    <row r="75" spans="7:18" x14ac:dyDescent="0.3"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4"/>
    </row>
    <row r="76" spans="7:18" x14ac:dyDescent="0.3">
      <c r="G76" s="14"/>
      <c r="R76" s="14"/>
    </row>
    <row r="77" spans="7:18" x14ac:dyDescent="0.3">
      <c r="G77" s="14"/>
      <c r="R77" s="14"/>
    </row>
    <row r="78" spans="7:18" x14ac:dyDescent="0.3">
      <c r="G78" s="14"/>
      <c r="R78" s="14"/>
    </row>
    <row r="79" spans="7:18" x14ac:dyDescent="0.3">
      <c r="G79" s="14"/>
      <c r="R79" s="14"/>
    </row>
    <row r="80" spans="7:18" x14ac:dyDescent="0.3">
      <c r="G80" s="14"/>
      <c r="R80" s="14"/>
    </row>
    <row r="81" spans="7:18" x14ac:dyDescent="0.3">
      <c r="G81" s="14"/>
      <c r="R81" s="14"/>
    </row>
    <row r="82" spans="7:18" x14ac:dyDescent="0.3">
      <c r="G82" s="14"/>
      <c r="R82" s="14"/>
    </row>
    <row r="83" spans="7:18" x14ac:dyDescent="0.3">
      <c r="G83" s="14"/>
      <c r="R83" s="14"/>
    </row>
    <row r="84" spans="7:18" x14ac:dyDescent="0.3">
      <c r="G84" s="14"/>
      <c r="R84" s="14"/>
    </row>
    <row r="85" spans="7:18" x14ac:dyDescent="0.3">
      <c r="G85" s="14"/>
      <c r="R85" s="14"/>
    </row>
    <row r="86" spans="7:18" x14ac:dyDescent="0.3">
      <c r="G86" s="14"/>
      <c r="R86" s="14"/>
    </row>
    <row r="87" spans="7:18" x14ac:dyDescent="0.3">
      <c r="G87" s="14"/>
      <c r="R87" s="14"/>
    </row>
    <row r="88" spans="7:18" x14ac:dyDescent="0.3">
      <c r="G88" s="14"/>
      <c r="R88" s="14"/>
    </row>
    <row r="89" spans="7:18" x14ac:dyDescent="0.3">
      <c r="G89" s="14"/>
      <c r="R89" s="14"/>
    </row>
    <row r="90" spans="7:18" x14ac:dyDescent="0.3">
      <c r="G90" s="14"/>
      <c r="R90" s="14"/>
    </row>
    <row r="91" spans="7:18" x14ac:dyDescent="0.3">
      <c r="G91" s="14"/>
      <c r="R91" s="14"/>
    </row>
    <row r="92" spans="7:18" x14ac:dyDescent="0.3">
      <c r="G92" s="14"/>
      <c r="R92" s="14"/>
    </row>
    <row r="93" spans="7:18" x14ac:dyDescent="0.3">
      <c r="G93" s="14"/>
      <c r="R93" s="14"/>
    </row>
    <row r="94" spans="7:18" x14ac:dyDescent="0.3">
      <c r="G94" s="14"/>
      <c r="R94" s="14"/>
    </row>
    <row r="95" spans="7:18" x14ac:dyDescent="0.3">
      <c r="G95" s="14"/>
      <c r="R95" s="14"/>
    </row>
    <row r="96" spans="7:18" x14ac:dyDescent="0.3">
      <c r="G96" s="14"/>
      <c r="R96" s="14"/>
    </row>
    <row r="97" spans="7:18" x14ac:dyDescent="0.3">
      <c r="G97" s="14"/>
      <c r="R97" s="14"/>
    </row>
    <row r="98" spans="7:18" x14ac:dyDescent="0.3">
      <c r="G98" s="14"/>
      <c r="R98" s="14"/>
    </row>
    <row r="99" spans="7:18" x14ac:dyDescent="0.3">
      <c r="G99" s="14"/>
      <c r="R99" s="14"/>
    </row>
    <row r="100" spans="7:18" x14ac:dyDescent="0.3">
      <c r="G100" s="14"/>
      <c r="R100" s="14"/>
    </row>
    <row r="101" spans="7:18" x14ac:dyDescent="0.3">
      <c r="G101" s="14"/>
      <c r="R101" s="14"/>
    </row>
    <row r="102" spans="7:18" x14ac:dyDescent="0.3">
      <c r="G102" s="14"/>
      <c r="R102" s="14"/>
    </row>
    <row r="103" spans="7:18" x14ac:dyDescent="0.3">
      <c r="G103" s="14"/>
      <c r="R103" s="14"/>
    </row>
    <row r="104" spans="7:18" x14ac:dyDescent="0.3">
      <c r="G104" s="14"/>
      <c r="R104" s="14"/>
    </row>
    <row r="105" spans="7:18" x14ac:dyDescent="0.3">
      <c r="G105" s="14"/>
      <c r="R105" s="14"/>
    </row>
    <row r="106" spans="7:18" x14ac:dyDescent="0.3">
      <c r="G106" s="14"/>
      <c r="R106" s="14"/>
    </row>
    <row r="107" spans="7:18" x14ac:dyDescent="0.3">
      <c r="G107" s="14"/>
      <c r="R107" s="14"/>
    </row>
    <row r="108" spans="7:18" x14ac:dyDescent="0.3">
      <c r="G108" s="14"/>
      <c r="R108" s="14"/>
    </row>
    <row r="109" spans="7:18" x14ac:dyDescent="0.3">
      <c r="G109" s="14"/>
      <c r="R109" s="14"/>
    </row>
    <row r="110" spans="7:18" x14ac:dyDescent="0.3">
      <c r="G110" s="14"/>
      <c r="R110" s="14"/>
    </row>
    <row r="111" spans="7:18" x14ac:dyDescent="0.3">
      <c r="G111" s="14"/>
      <c r="R111" s="14"/>
    </row>
    <row r="112" spans="7:18" x14ac:dyDescent="0.3">
      <c r="G112" s="14"/>
      <c r="R112" s="14"/>
    </row>
    <row r="113" spans="1:18" x14ac:dyDescent="0.3">
      <c r="G113" s="14"/>
      <c r="R113" s="14"/>
    </row>
    <row r="114" spans="1:18" x14ac:dyDescent="0.3">
      <c r="G114" s="14"/>
      <c r="R114" s="14"/>
    </row>
    <row r="115" spans="1:18" x14ac:dyDescent="0.3">
      <c r="G115" s="14"/>
      <c r="R115" s="14"/>
    </row>
    <row r="116" spans="1:18" x14ac:dyDescent="0.3">
      <c r="G116" s="14"/>
      <c r="R116" s="14"/>
    </row>
    <row r="117" spans="1:18" x14ac:dyDescent="0.3">
      <c r="G117" s="14"/>
      <c r="R117" s="14"/>
    </row>
    <row r="118" spans="1:18" x14ac:dyDescent="0.3">
      <c r="G118" s="14"/>
      <c r="R118" s="14"/>
    </row>
    <row r="119" spans="1:18" x14ac:dyDescent="0.3">
      <c r="G119" s="14"/>
      <c r="R119" s="14"/>
    </row>
    <row r="120" spans="1:18" x14ac:dyDescent="0.3">
      <c r="G120" s="14"/>
      <c r="R120" s="14"/>
    </row>
    <row r="121" spans="1:18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1:18" x14ac:dyDescent="0.3">
      <c r="C122" s="13"/>
      <c r="D122" s="13"/>
      <c r="E122" s="13"/>
      <c r="F122" s="13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4"/>
    </row>
    <row r="123" spans="1:18" x14ac:dyDescent="0.3">
      <c r="C123" s="13"/>
      <c r="D123" s="13"/>
      <c r="E123" s="13"/>
      <c r="F123" s="13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4"/>
    </row>
    <row r="124" spans="1:18" x14ac:dyDescent="0.3">
      <c r="C124" s="13"/>
      <c r="D124" s="13"/>
      <c r="E124" s="13"/>
      <c r="F124" s="13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4"/>
    </row>
    <row r="125" spans="1:18" x14ac:dyDescent="0.3"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4"/>
    </row>
    <row r="126" spans="1:18" x14ac:dyDescent="0.3"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4"/>
    </row>
    <row r="127" spans="1:18" x14ac:dyDescent="0.3">
      <c r="G127" s="14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4"/>
    </row>
    <row r="128" spans="1:18" x14ac:dyDescent="0.3"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4"/>
    </row>
    <row r="129" spans="7:18" x14ac:dyDescent="0.3">
      <c r="G129" s="14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4"/>
    </row>
    <row r="130" spans="7:18" x14ac:dyDescent="0.3">
      <c r="G130" s="14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4"/>
    </row>
    <row r="131" spans="7:18" x14ac:dyDescent="0.3">
      <c r="G131" s="14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4"/>
    </row>
    <row r="132" spans="7:18" x14ac:dyDescent="0.3">
      <c r="G132" s="14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"/>
    </row>
    <row r="133" spans="7:18" x14ac:dyDescent="0.3">
      <c r="G133" s="14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/>
    </row>
    <row r="134" spans="7:18" x14ac:dyDescent="0.3">
      <c r="G134" s="1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"/>
    </row>
    <row r="135" spans="7:18" x14ac:dyDescent="0.3">
      <c r="G135" s="14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/>
    </row>
    <row r="136" spans="7:18" x14ac:dyDescent="0.3">
      <c r="G136" s="14"/>
      <c r="R136" s="14"/>
    </row>
    <row r="137" spans="7:18" x14ac:dyDescent="0.3">
      <c r="G137" s="14"/>
      <c r="R137" s="14"/>
    </row>
    <row r="138" spans="7:18" x14ac:dyDescent="0.3">
      <c r="G138" s="14"/>
      <c r="R138" s="14"/>
    </row>
    <row r="139" spans="7:18" x14ac:dyDescent="0.3">
      <c r="G139" s="14"/>
      <c r="R139" s="14"/>
    </row>
    <row r="140" spans="7:18" x14ac:dyDescent="0.3">
      <c r="G140" s="14"/>
      <c r="R140" s="14"/>
    </row>
    <row r="141" spans="7:18" x14ac:dyDescent="0.3">
      <c r="G141" s="14"/>
      <c r="R141" s="14"/>
    </row>
    <row r="142" spans="7:18" x14ac:dyDescent="0.3">
      <c r="G142" s="14"/>
      <c r="R142" s="14"/>
    </row>
    <row r="143" spans="7:18" x14ac:dyDescent="0.3">
      <c r="G143" s="14"/>
      <c r="R143" s="14"/>
    </row>
    <row r="144" spans="7:18" x14ac:dyDescent="0.3">
      <c r="G144" s="14"/>
      <c r="R144" s="14"/>
    </row>
    <row r="145" spans="7:18" x14ac:dyDescent="0.3">
      <c r="G145" s="14"/>
      <c r="R145" s="14"/>
    </row>
    <row r="146" spans="7:18" x14ac:dyDescent="0.3">
      <c r="G146" s="14"/>
      <c r="R146" s="14"/>
    </row>
    <row r="147" spans="7:18" x14ac:dyDescent="0.3">
      <c r="G147" s="14"/>
      <c r="R147" s="14"/>
    </row>
    <row r="148" spans="7:18" x14ac:dyDescent="0.3">
      <c r="G148" s="14"/>
      <c r="R148" s="14"/>
    </row>
    <row r="149" spans="7:18" x14ac:dyDescent="0.3">
      <c r="G149" s="14"/>
      <c r="R149" s="14"/>
    </row>
    <row r="150" spans="7:18" x14ac:dyDescent="0.3">
      <c r="G150" s="14"/>
      <c r="R150" s="14"/>
    </row>
    <row r="151" spans="7:18" x14ac:dyDescent="0.3">
      <c r="G151" s="14"/>
      <c r="R151" s="14"/>
    </row>
    <row r="152" spans="7:18" x14ac:dyDescent="0.3">
      <c r="G152" s="14"/>
      <c r="R152" s="14"/>
    </row>
    <row r="153" spans="7:18" x14ac:dyDescent="0.3">
      <c r="G153" s="14"/>
      <c r="R153" s="14"/>
    </row>
    <row r="154" spans="7:18" x14ac:dyDescent="0.3">
      <c r="G154" s="14"/>
      <c r="R154" s="14"/>
    </row>
    <row r="155" spans="7:18" x14ac:dyDescent="0.3">
      <c r="G155" s="14"/>
      <c r="R155" s="14"/>
    </row>
    <row r="156" spans="7:18" x14ac:dyDescent="0.3">
      <c r="G156" s="14"/>
      <c r="R156" s="14"/>
    </row>
    <row r="157" spans="7:18" x14ac:dyDescent="0.3">
      <c r="G157" s="14"/>
      <c r="R157" s="14"/>
    </row>
    <row r="158" spans="7:18" x14ac:dyDescent="0.3">
      <c r="G158" s="14"/>
      <c r="R158" s="14"/>
    </row>
    <row r="159" spans="7:18" x14ac:dyDescent="0.3">
      <c r="G159" s="14"/>
      <c r="R159" s="14"/>
    </row>
    <row r="160" spans="7:18" x14ac:dyDescent="0.3">
      <c r="G160" s="14"/>
      <c r="R160" s="14"/>
    </row>
    <row r="161" spans="7:18" x14ac:dyDescent="0.3">
      <c r="G161" s="14"/>
      <c r="R161" s="14"/>
    </row>
    <row r="162" spans="7:18" x14ac:dyDescent="0.3">
      <c r="G162" s="14"/>
      <c r="R162" s="14"/>
    </row>
    <row r="163" spans="7:18" x14ac:dyDescent="0.3">
      <c r="G163" s="14"/>
      <c r="R163" s="14"/>
    </row>
    <row r="164" spans="7:18" x14ac:dyDescent="0.3">
      <c r="G164" s="14"/>
      <c r="R164" s="14"/>
    </row>
    <row r="165" spans="7:18" x14ac:dyDescent="0.3">
      <c r="G165" s="14"/>
      <c r="R165" s="14"/>
    </row>
    <row r="166" spans="7:18" x14ac:dyDescent="0.3">
      <c r="G166" s="14"/>
      <c r="R166" s="14"/>
    </row>
    <row r="167" spans="7:18" x14ac:dyDescent="0.3">
      <c r="G167" s="14"/>
      <c r="R167" s="14"/>
    </row>
    <row r="168" spans="7:18" x14ac:dyDescent="0.3">
      <c r="G168" s="14"/>
      <c r="R168" s="14"/>
    </row>
    <row r="169" spans="7:18" x14ac:dyDescent="0.3">
      <c r="G169" s="14"/>
      <c r="R169" s="14"/>
    </row>
    <row r="170" spans="7:18" x14ac:dyDescent="0.3">
      <c r="G170" s="14"/>
      <c r="R170" s="14"/>
    </row>
    <row r="171" spans="7:18" x14ac:dyDescent="0.3">
      <c r="G171" s="14"/>
      <c r="R171" s="14"/>
    </row>
    <row r="172" spans="7:18" x14ac:dyDescent="0.3">
      <c r="G172" s="14"/>
      <c r="R172" s="14"/>
    </row>
    <row r="173" spans="7:18" x14ac:dyDescent="0.3">
      <c r="G173" s="14"/>
      <c r="R173" s="14"/>
    </row>
    <row r="174" spans="7:18" x14ac:dyDescent="0.3">
      <c r="G174" s="14"/>
      <c r="R174" s="14"/>
    </row>
    <row r="175" spans="7:18" x14ac:dyDescent="0.3">
      <c r="G175" s="14"/>
      <c r="R175" s="14"/>
    </row>
    <row r="176" spans="7:18" x14ac:dyDescent="0.3">
      <c r="G176" s="14"/>
      <c r="R176" s="14"/>
    </row>
    <row r="177" spans="1:18" x14ac:dyDescent="0.3">
      <c r="G177" s="14"/>
      <c r="R177" s="14"/>
    </row>
    <row r="178" spans="1:18" x14ac:dyDescent="0.3">
      <c r="G178" s="14"/>
      <c r="R178" s="14"/>
    </row>
    <row r="179" spans="1:18" x14ac:dyDescent="0.3">
      <c r="G179" s="14"/>
      <c r="R179" s="14"/>
    </row>
    <row r="180" spans="1:18" x14ac:dyDescent="0.3">
      <c r="G180" s="14"/>
      <c r="R180" s="14"/>
    </row>
    <row r="181" spans="1:18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</row>
    <row r="182" spans="1:18" x14ac:dyDescent="0.3">
      <c r="G182" s="14"/>
      <c r="R182" s="14"/>
    </row>
    <row r="183" spans="1:18" x14ac:dyDescent="0.3">
      <c r="G183" s="14"/>
      <c r="R183" s="14"/>
    </row>
    <row r="184" spans="1:18" x14ac:dyDescent="0.3">
      <c r="G184" s="14"/>
      <c r="R184" s="14"/>
    </row>
    <row r="185" spans="1:18" x14ac:dyDescent="0.3">
      <c r="G185" s="14"/>
      <c r="R185" s="14"/>
    </row>
    <row r="186" spans="1:18" x14ac:dyDescent="0.3">
      <c r="G186" s="14"/>
      <c r="R186" s="14"/>
    </row>
    <row r="187" spans="1:18" x14ac:dyDescent="0.3">
      <c r="G187" s="14"/>
      <c r="R187" s="14"/>
    </row>
    <row r="188" spans="1:18" x14ac:dyDescent="0.3">
      <c r="G188" s="14"/>
      <c r="R188" s="14"/>
    </row>
    <row r="189" spans="1:18" x14ac:dyDescent="0.3">
      <c r="G189" s="14"/>
      <c r="R189" s="14"/>
    </row>
  </sheetData>
  <mergeCells count="1">
    <mergeCell ref="E1:F1"/>
  </mergeCells>
  <hyperlinks>
    <hyperlink ref="E1" location="TOC!A1" display="Return to TOC" xr:uid="{8FE6E063-41CF-4C91-A7A8-0D8DD43B6679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6A62-2118-47F2-8F6F-0256A247A4B5}">
  <sheetPr codeName="Sheet74"/>
  <dimension ref="A1:W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9" customWidth="1"/>
    <col min="4" max="4" width="19.44140625" customWidth="1"/>
    <col min="5" max="5" width="18.6640625" customWidth="1"/>
    <col min="6" max="6" width="17.33203125" customWidth="1"/>
    <col min="7" max="7" width="12.5546875" bestFit="1" customWidth="1"/>
    <col min="8" max="8" width="2.6640625" customWidth="1"/>
    <col min="9" max="9" width="4.6640625" customWidth="1"/>
    <col min="10" max="10" width="15.6640625" customWidth="1"/>
    <col min="11" max="11" width="9.33203125" customWidth="1"/>
    <col min="12" max="12" width="10.109375" customWidth="1"/>
    <col min="13" max="13" width="11.109375" customWidth="1"/>
    <col min="14" max="14" width="8.33203125" customWidth="1"/>
    <col min="15" max="15" width="5.109375" customWidth="1"/>
    <col min="16" max="16" width="12.88671875" customWidth="1"/>
    <col min="17" max="17" width="8" customWidth="1"/>
    <col min="19" max="19" width="9.109375" customWidth="1"/>
    <col min="21" max="21" width="20.88671875" customWidth="1"/>
  </cols>
  <sheetData>
    <row r="1" spans="1:23" x14ac:dyDescent="0.3">
      <c r="A1" s="32" t="s">
        <v>137</v>
      </c>
      <c r="B1" s="33"/>
      <c r="C1" s="33" t="s">
        <v>126</v>
      </c>
      <c r="D1" s="34"/>
      <c r="E1" s="33"/>
      <c r="F1" s="772" t="s">
        <v>199</v>
      </c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794</v>
      </c>
      <c r="D2" s="36"/>
      <c r="E2" s="36"/>
      <c r="F2" s="36"/>
      <c r="G2" s="37"/>
      <c r="H2" s="10"/>
      <c r="I2" s="11" t="s">
        <v>796</v>
      </c>
      <c r="J2" t="s">
        <v>797</v>
      </c>
      <c r="V2" s="10"/>
    </row>
    <row r="3" spans="1:23" x14ac:dyDescent="0.3">
      <c r="A3" s="35" t="s">
        <v>141</v>
      </c>
      <c r="B3" s="36"/>
      <c r="C3" s="36" t="s">
        <v>795</v>
      </c>
      <c r="D3" s="36"/>
      <c r="E3" s="36"/>
      <c r="F3" s="36"/>
      <c r="G3" s="37"/>
      <c r="H3" s="10"/>
      <c r="J3" t="s">
        <v>798</v>
      </c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S4" s="13"/>
      <c r="T4" s="13"/>
      <c r="U4" s="13"/>
      <c r="V4" s="14"/>
      <c r="W4" s="13"/>
    </row>
    <row r="5" spans="1:23" ht="15" customHeight="1" x14ac:dyDescent="0.3">
      <c r="A5" s="41" t="s">
        <v>144</v>
      </c>
      <c r="B5" s="36"/>
      <c r="C5" s="36" t="s">
        <v>799</v>
      </c>
      <c r="D5" s="36"/>
      <c r="E5" s="36"/>
      <c r="F5" s="36"/>
      <c r="G5" s="37"/>
      <c r="H5" s="14"/>
      <c r="I5" s="16">
        <f>C16/C14</f>
        <v>2</v>
      </c>
      <c r="J5" t="str">
        <f>"Entry Ratio = "&amp;TEXT(C16,"$0,000") &amp;" / "&amp; TEXT(C14,"$0,000") &amp; " = "&amp;I5</f>
        <v>Entry Ratio = $40,000 / $20,000 = 2</v>
      </c>
      <c r="S5" s="13"/>
      <c r="T5" s="13"/>
      <c r="U5" s="13"/>
      <c r="V5" s="14"/>
      <c r="W5" s="13"/>
    </row>
    <row r="6" spans="1:23" x14ac:dyDescent="0.3">
      <c r="A6" s="45"/>
      <c r="B6" s="36"/>
      <c r="C6" s="36"/>
      <c r="D6" s="36"/>
      <c r="E6" s="36"/>
      <c r="F6" s="402"/>
      <c r="G6" s="403"/>
      <c r="H6" s="14"/>
      <c r="S6" s="13"/>
      <c r="T6" s="13"/>
      <c r="U6" s="13"/>
      <c r="V6" s="14"/>
      <c r="W6" s="13"/>
    </row>
    <row r="7" spans="1:23" ht="15" customHeight="1" x14ac:dyDescent="0.3">
      <c r="A7" s="45"/>
      <c r="B7" s="36"/>
      <c r="C7" s="404" t="s">
        <v>698</v>
      </c>
      <c r="D7" s="404" t="str">
        <f>TEXT(F8,"$0,000")&amp;" Deductible"</f>
        <v>$10,000 Deductible</v>
      </c>
      <c r="E7" s="404" t="str">
        <f>TEXT(F9,"$0,000")&amp;" Deductible"</f>
        <v>$20,000 Deductible</v>
      </c>
      <c r="F7" s="406"/>
      <c r="G7" s="201"/>
      <c r="H7" s="14"/>
      <c r="J7" t="s">
        <v>800</v>
      </c>
      <c r="S7" s="13"/>
      <c r="T7" s="13"/>
      <c r="U7" s="13"/>
      <c r="V7" s="14"/>
      <c r="W7" s="13"/>
    </row>
    <row r="8" spans="1:23" ht="15" customHeight="1" x14ac:dyDescent="0.3">
      <c r="A8" s="41"/>
      <c r="B8" s="39"/>
      <c r="C8" s="405">
        <v>1</v>
      </c>
      <c r="D8" s="401">
        <v>0.2</v>
      </c>
      <c r="E8" s="181">
        <v>0.22</v>
      </c>
      <c r="F8" s="407">
        <v>10000</v>
      </c>
      <c r="G8" s="201"/>
      <c r="H8" s="14"/>
      <c r="I8" s="16">
        <f>INDEX($D$8:$D$11,MATCH(I5,$C$8:$C$11,0))</f>
        <v>0.04</v>
      </c>
      <c r="J8" t="str">
        <f>"φ("&amp;I5&amp;") = "&amp; I8</f>
        <v>φ(2) = 0.04</v>
      </c>
      <c r="S8" s="13"/>
      <c r="T8" s="13"/>
      <c r="U8" s="13"/>
      <c r="V8" s="14"/>
      <c r="W8" s="13"/>
    </row>
    <row r="9" spans="1:23" x14ac:dyDescent="0.3">
      <c r="A9" s="41"/>
      <c r="B9" s="39"/>
      <c r="C9" s="405">
        <v>1.5</v>
      </c>
      <c r="D9" s="401">
        <v>0.1</v>
      </c>
      <c r="E9" s="181">
        <v>0.12</v>
      </c>
      <c r="F9" s="407">
        <v>20000</v>
      </c>
      <c r="G9" s="201"/>
      <c r="H9" s="14"/>
      <c r="S9" s="13"/>
      <c r="T9" s="13"/>
      <c r="U9" s="13"/>
      <c r="V9" s="14"/>
      <c r="W9" s="13"/>
    </row>
    <row r="10" spans="1:23" x14ac:dyDescent="0.3">
      <c r="A10" s="38"/>
      <c r="B10" s="39"/>
      <c r="C10" s="405">
        <v>2</v>
      </c>
      <c r="D10" s="181">
        <v>0.04</v>
      </c>
      <c r="E10" s="181">
        <v>0.05</v>
      </c>
      <c r="F10" s="406"/>
      <c r="G10" s="201"/>
      <c r="H10" s="14"/>
      <c r="I10" t="s">
        <v>801</v>
      </c>
      <c r="J10" t="s">
        <v>802</v>
      </c>
      <c r="P10" s="26" t="str">
        <f>TEXT(C14,"$0,000")&amp;" * φ("&amp;I5&amp;") = "</f>
        <v xml:space="preserve">$20,000 * φ(2) = </v>
      </c>
      <c r="Q10" s="261">
        <f>C14*I8</f>
        <v>800</v>
      </c>
      <c r="S10" s="13"/>
      <c r="T10" s="13"/>
      <c r="U10" s="13"/>
      <c r="V10" s="14"/>
      <c r="W10" s="13"/>
    </row>
    <row r="11" spans="1:23" x14ac:dyDescent="0.3">
      <c r="A11" s="38"/>
      <c r="B11" s="39"/>
      <c r="C11" s="405">
        <v>2.5</v>
      </c>
      <c r="D11" s="181">
        <v>0.02</v>
      </c>
      <c r="E11" s="181">
        <v>0.03</v>
      </c>
      <c r="F11" s="402"/>
      <c r="G11" s="403"/>
      <c r="H11" s="14"/>
      <c r="S11" s="13"/>
      <c r="T11" s="13"/>
      <c r="U11" s="13"/>
      <c r="V11" s="14"/>
      <c r="W11" s="13"/>
    </row>
    <row r="12" spans="1:23" x14ac:dyDescent="0.3">
      <c r="A12" s="38"/>
      <c r="B12" s="39"/>
      <c r="C12" s="36"/>
      <c r="D12" s="36"/>
      <c r="E12" s="36"/>
      <c r="F12" s="402"/>
      <c r="G12" s="403"/>
      <c r="H12" s="14"/>
      <c r="I12" t="s">
        <v>804</v>
      </c>
      <c r="J12" t="s">
        <v>805</v>
      </c>
      <c r="P12" s="26" t="str">
        <f>TEXT(C13,"$0,000")&amp;" - "&amp;TEXT(C14,"$0,000")&amp;" = "</f>
        <v xml:space="preserve">$40,000 - $20,000 = </v>
      </c>
      <c r="Q12" s="261">
        <f>C13-C14</f>
        <v>20000</v>
      </c>
      <c r="S12" s="13"/>
      <c r="T12" s="13"/>
      <c r="U12" s="13"/>
      <c r="V12" s="14"/>
      <c r="W12" s="13"/>
    </row>
    <row r="13" spans="1:23" x14ac:dyDescent="0.3">
      <c r="A13" s="38"/>
      <c r="B13" s="39"/>
      <c r="C13" s="332">
        <v>40000</v>
      </c>
      <c r="D13" s="36" t="s">
        <v>803</v>
      </c>
      <c r="E13" s="36"/>
      <c r="F13" s="402"/>
      <c r="G13" s="403"/>
      <c r="H13" s="14"/>
      <c r="S13" s="13"/>
      <c r="T13" s="13"/>
      <c r="U13" s="13"/>
      <c r="V13" s="14"/>
      <c r="W13" s="13"/>
    </row>
    <row r="14" spans="1:23" x14ac:dyDescent="0.3">
      <c r="A14" s="38"/>
      <c r="B14" s="39"/>
      <c r="C14" s="332">
        <v>20000</v>
      </c>
      <c r="D14" s="36" t="str">
        <f>"Expected primary loss at a per-occurrence limit of "&amp;TEXT(F8,"$0,000")</f>
        <v>Expected primary loss at a per-occurrence limit of $10,000</v>
      </c>
      <c r="E14" s="36"/>
      <c r="F14" s="36"/>
      <c r="G14" s="37"/>
      <c r="H14" s="14"/>
      <c r="I14" t="s">
        <v>806</v>
      </c>
      <c r="J14" t="s">
        <v>807</v>
      </c>
      <c r="M14" s="26" t="str">
        <f>TEXT(Q12,"$0,000")&amp;" + "&amp;TEXT(Q10,"$0")&amp;" ="</f>
        <v>$20,000 + $800 =</v>
      </c>
      <c r="N14" s="261">
        <f>Q12+Q10</f>
        <v>20800</v>
      </c>
      <c r="S14" s="13"/>
      <c r="T14" s="13"/>
      <c r="U14" s="13"/>
      <c r="V14" s="14"/>
      <c r="W14" s="13"/>
    </row>
    <row r="15" spans="1:23" x14ac:dyDescent="0.3">
      <c r="A15" s="45"/>
      <c r="B15" s="36"/>
      <c r="C15" s="332">
        <v>30000</v>
      </c>
      <c r="D15" s="36" t="str">
        <f>"Expected primary loss at a per-occurrence limit of "&amp;TEXT(F9,"$0,000")</f>
        <v>Expected primary loss at a per-occurrence limit of $20,000</v>
      </c>
      <c r="E15" s="36"/>
      <c r="F15" s="36"/>
      <c r="G15" s="37"/>
      <c r="H15" s="14"/>
      <c r="S15" s="13"/>
      <c r="T15" s="13"/>
      <c r="U15" s="13"/>
      <c r="V15" s="14"/>
      <c r="W15" s="13"/>
    </row>
    <row r="16" spans="1:23" x14ac:dyDescent="0.3">
      <c r="A16" s="45"/>
      <c r="B16" s="36"/>
      <c r="C16" s="332">
        <v>40000</v>
      </c>
      <c r="D16" s="36" t="s">
        <v>808</v>
      </c>
      <c r="E16" s="36"/>
      <c r="F16" s="36"/>
      <c r="G16" s="37"/>
      <c r="H16" s="14"/>
      <c r="S16" s="13"/>
      <c r="T16" s="13"/>
      <c r="U16" s="13"/>
      <c r="V16" s="14"/>
      <c r="W16" s="13"/>
    </row>
    <row r="17" spans="1:23" x14ac:dyDescent="0.3">
      <c r="A17" s="45"/>
      <c r="B17" s="36"/>
      <c r="C17" s="36"/>
      <c r="D17" s="36"/>
      <c r="E17" s="36"/>
      <c r="F17" s="36"/>
      <c r="G17" s="37"/>
      <c r="H17" s="14"/>
      <c r="I17" t="s">
        <v>809</v>
      </c>
      <c r="J17" t="str">
        <f>"We now repeat the process using the "&amp;TEXT(F9,"$0,000")&amp;" per-occurrence deductible."</f>
        <v>We now repeat the process using the $20,000 per-occurrence deductible.</v>
      </c>
      <c r="S17" s="13"/>
      <c r="T17" s="13"/>
      <c r="U17" s="13"/>
      <c r="V17" s="14"/>
      <c r="W17" s="13"/>
    </row>
    <row r="18" spans="1:23" x14ac:dyDescent="0.3">
      <c r="A18" s="35" t="s">
        <v>173</v>
      </c>
      <c r="B18" s="52" t="s">
        <v>796</v>
      </c>
      <c r="C18" s="36" t="str">
        <f>"Suppose a policy has a "&amp;TEXT(F8,"$0,000")&amp;" per-occurrence deductible. Calculate the following:"</f>
        <v>Suppose a policy has a $10,000 per-occurrence deductible. Calculate the following:</v>
      </c>
      <c r="D18" s="36"/>
      <c r="E18" s="36"/>
      <c r="F18" s="36"/>
      <c r="G18" s="37"/>
      <c r="H18" s="14"/>
      <c r="I18" s="16">
        <f>ROUND(C16/C15,4)</f>
        <v>1.3332999999999999</v>
      </c>
      <c r="J18" t="s">
        <v>810</v>
      </c>
      <c r="N18" s="26" t="str">
        <f>TEXT(C16,"$0,000")&amp;" / "&amp;TEXT(C15,"$0,000")&amp;" = "&amp;I18</f>
        <v>$40,000 / $30,000 = 1.3333</v>
      </c>
      <c r="S18" s="13"/>
      <c r="T18" s="13"/>
      <c r="U18" s="13"/>
      <c r="V18" s="14"/>
      <c r="W18" s="13"/>
    </row>
    <row r="19" spans="1:23" ht="15" customHeight="1" x14ac:dyDescent="0.3">
      <c r="A19" s="45"/>
      <c r="B19" s="52" t="s">
        <v>801</v>
      </c>
      <c r="C19" s="36" t="str">
        <f>"The cost of the "&amp;TEXT(C16,"$0,000")&amp;" aggregate deductible limit"</f>
        <v>The cost of the $40,000 aggregate deductible limit</v>
      </c>
      <c r="D19" s="36"/>
      <c r="E19" s="36"/>
      <c r="F19" s="36"/>
      <c r="G19" s="37"/>
      <c r="H19" s="14"/>
      <c r="S19" s="13"/>
      <c r="T19" s="13"/>
      <c r="U19" s="13"/>
      <c r="V19" s="14"/>
      <c r="W19" s="13"/>
    </row>
    <row r="20" spans="1:23" x14ac:dyDescent="0.3">
      <c r="A20" s="45"/>
      <c r="B20" s="52" t="s">
        <v>804</v>
      </c>
      <c r="C20" s="36" t="str">
        <f>"The cost of the "&amp;TEXT(F8,"$0,000")&amp;" per-occurrence deductible"</f>
        <v>The cost of the $10,000 per-occurrence deductible</v>
      </c>
      <c r="D20" s="36"/>
      <c r="E20" s="36"/>
      <c r="F20" s="36"/>
      <c r="G20" s="37"/>
      <c r="H20" s="14"/>
      <c r="I20" s="16">
        <f>INDEX($C$8:$C$11,MATCH(I18,C8:C11,1))</f>
        <v>1</v>
      </c>
      <c r="J20" t="str">
        <f>"Now look up the insurance charge in the Limited Table M. We'll need to use linear interpolation between r = "&amp;I20&amp;" and r = "&amp;I21&amp;"."</f>
        <v>Now look up the insurance charge in the Limited Table M. We'll need to use linear interpolation between r = 1 and r = 1.5.</v>
      </c>
      <c r="S20" s="13"/>
      <c r="T20" s="13"/>
      <c r="U20" s="13"/>
      <c r="V20" s="14"/>
      <c r="W20" s="13"/>
    </row>
    <row r="21" spans="1:23" x14ac:dyDescent="0.3">
      <c r="A21" s="45"/>
      <c r="B21" s="52" t="s">
        <v>806</v>
      </c>
      <c r="C21" s="36" t="s">
        <v>811</v>
      </c>
      <c r="D21" s="36"/>
      <c r="E21" s="36"/>
      <c r="F21" s="36"/>
      <c r="G21" s="37"/>
      <c r="H21" s="14"/>
      <c r="I21" s="16">
        <f>INDEX($C$8:$C$11,MATCH(I18,C8:C11,1)+1)</f>
        <v>1.5</v>
      </c>
      <c r="P21" s="13"/>
      <c r="Q21" s="13"/>
      <c r="R21" s="13"/>
      <c r="S21" s="13"/>
      <c r="T21" s="13"/>
      <c r="U21" s="13"/>
      <c r="V21" s="14"/>
      <c r="W21" s="13"/>
    </row>
    <row r="22" spans="1:23" x14ac:dyDescent="0.3">
      <c r="A22" s="45"/>
      <c r="B22" s="36"/>
      <c r="C22" s="36"/>
      <c r="D22" s="36"/>
      <c r="E22" s="36"/>
      <c r="F22" s="36"/>
      <c r="G22" s="37"/>
      <c r="H22" s="14"/>
      <c r="I22" s="16">
        <f>(INDEX($E$8:$E$11,MATCH(I21,$C$8:$C$11,0))-INDEX($E$8:$E$11,MATCH(I20,$C$8:$C$11,0)))/(I21-I20)</f>
        <v>-0.2</v>
      </c>
      <c r="J22" t="str">
        <f>"φ("&amp;I18&amp;") = "&amp;ROUND(I23,4)</f>
        <v>φ(1.3333) = 0.1533</v>
      </c>
      <c r="P22" s="13"/>
      <c r="Q22" s="13"/>
      <c r="R22" s="13"/>
      <c r="S22" s="13"/>
      <c r="T22" s="13"/>
      <c r="U22" s="13"/>
      <c r="V22" s="14"/>
      <c r="W22" s="13"/>
    </row>
    <row r="23" spans="1:23" ht="15" customHeight="1" x14ac:dyDescent="0.3">
      <c r="A23" s="45"/>
      <c r="B23" s="52" t="s">
        <v>809</v>
      </c>
      <c r="C23" s="36" t="str">
        <f>"Suppose a policy has a "&amp;TEXT(F9,"$0,000")&amp;" per-occurrence deductible. Calculate the following:"</f>
        <v>Suppose a policy has a $20,000 per-occurrence deductible. Calculate the following:</v>
      </c>
      <c r="D23" s="36"/>
      <c r="E23" s="36"/>
      <c r="F23" s="36"/>
      <c r="G23" s="37"/>
      <c r="H23" s="14"/>
      <c r="I23" s="16">
        <f>I22*(I18-I20)+INDEX($E$8:$E$11,MATCH(I20,$C$8:$C$11,0))</f>
        <v>0.15334000000000003</v>
      </c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3">
      <c r="A24" s="45"/>
      <c r="B24" s="52" t="s">
        <v>801</v>
      </c>
      <c r="C24" s="36" t="str">
        <f>"The cost of the "&amp;TEXT(C16,"$0,000")&amp;" aggregate deductible limit"</f>
        <v>The cost of the $40,000 aggregate deductible limit</v>
      </c>
      <c r="D24" s="36"/>
      <c r="E24" s="36"/>
      <c r="F24" s="36"/>
      <c r="G24" s="37"/>
      <c r="H24" s="14"/>
      <c r="I24" t="s">
        <v>801</v>
      </c>
      <c r="J24" t="s">
        <v>802</v>
      </c>
      <c r="Q24" s="26" t="str">
        <f>TEXT(C15,"$0,000")&amp;" * φ("&amp;I18&amp;") = "</f>
        <v xml:space="preserve">$30,000 * φ(1.3333) = </v>
      </c>
      <c r="R24" s="261">
        <f>C15*I23</f>
        <v>4600.2000000000007</v>
      </c>
      <c r="S24" s="13"/>
      <c r="T24" s="13"/>
      <c r="U24" s="13"/>
      <c r="V24" s="14"/>
      <c r="W24" s="13"/>
    </row>
    <row r="25" spans="1:23" ht="15" customHeight="1" x14ac:dyDescent="0.3">
      <c r="A25" s="45"/>
      <c r="B25" s="52" t="s">
        <v>804</v>
      </c>
      <c r="C25" s="36" t="str">
        <f>"The cost of the "&amp;TEXT(F9,"$0,000")&amp;" per-occurrence deductible"</f>
        <v>The cost of the $20,000 per-occurrence deductible</v>
      </c>
      <c r="D25" s="36"/>
      <c r="E25" s="36"/>
      <c r="F25" s="36"/>
      <c r="G25" s="37"/>
      <c r="H25" s="14"/>
      <c r="R25" s="13"/>
      <c r="S25" s="13"/>
      <c r="T25" s="13"/>
      <c r="U25" s="13"/>
      <c r="V25" s="14"/>
      <c r="W25" s="13"/>
    </row>
    <row r="26" spans="1:23" ht="15" customHeight="1" x14ac:dyDescent="0.3">
      <c r="A26" s="45"/>
      <c r="B26" s="52" t="s">
        <v>806</v>
      </c>
      <c r="C26" s="36" t="s">
        <v>811</v>
      </c>
      <c r="D26" s="36"/>
      <c r="E26" s="36"/>
      <c r="F26" s="36"/>
      <c r="G26" s="37"/>
      <c r="H26" s="14"/>
      <c r="I26" t="s">
        <v>804</v>
      </c>
      <c r="J26" t="s">
        <v>805</v>
      </c>
      <c r="P26" s="26" t="str">
        <f>TEXT(C13,"$0,000")&amp;" - "&amp;TEXT(C15,"$0,000")&amp;" = "</f>
        <v xml:space="preserve">$40,000 - $30,000 = </v>
      </c>
      <c r="Q26" s="261">
        <f>C13-C15</f>
        <v>10000</v>
      </c>
      <c r="R26" s="13"/>
      <c r="S26" s="13"/>
      <c r="T26" s="13"/>
      <c r="U26" s="13"/>
      <c r="V26" s="14"/>
      <c r="W26" s="13"/>
    </row>
    <row r="27" spans="1:23" ht="15" customHeight="1" thickBot="1" x14ac:dyDescent="0.35">
      <c r="A27" s="53"/>
      <c r="B27" s="54"/>
      <c r="C27" s="54"/>
      <c r="D27" s="54"/>
      <c r="E27" s="54"/>
      <c r="F27" s="54"/>
      <c r="G27" s="55"/>
      <c r="H27" s="14"/>
      <c r="R27" s="13"/>
      <c r="S27" s="13"/>
      <c r="T27" s="13"/>
      <c r="U27" s="13"/>
      <c r="V27" s="14"/>
      <c r="W27" s="13"/>
    </row>
    <row r="28" spans="1:23" ht="15" customHeight="1" x14ac:dyDescent="0.3">
      <c r="H28" s="14"/>
      <c r="I28" t="s">
        <v>806</v>
      </c>
      <c r="J28" t="s">
        <v>807</v>
      </c>
      <c r="M28" s="26" t="str">
        <f>TEXT(Q26,"$0,000")&amp;" + "&amp;TEXT(R24,"$0")&amp;" ="</f>
        <v>$10,000 + $4600 =</v>
      </c>
      <c r="N28" s="261">
        <f>Q26+R24</f>
        <v>14600.2</v>
      </c>
      <c r="R28" s="13"/>
      <c r="S28" s="13"/>
      <c r="T28" s="13"/>
      <c r="U28" s="13"/>
      <c r="V28" s="14"/>
      <c r="W28" s="13"/>
    </row>
    <row r="29" spans="1:23" x14ac:dyDescent="0.3">
      <c r="H29" s="14"/>
      <c r="V29" s="14"/>
      <c r="W29" s="13"/>
    </row>
    <row r="30" spans="1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P48" s="13"/>
      <c r="Q48" s="13"/>
      <c r="R48" s="13"/>
      <c r="S48" s="13"/>
      <c r="T48" s="13"/>
      <c r="U48" s="13"/>
      <c r="V48" s="14"/>
      <c r="W48" s="13"/>
    </row>
    <row r="49" spans="1:23" x14ac:dyDescent="0.3">
      <c r="H49" s="14"/>
      <c r="P49" s="13"/>
      <c r="Q49" s="13"/>
      <c r="R49" s="13"/>
      <c r="S49" s="13"/>
      <c r="T49" s="13"/>
      <c r="U49" s="13"/>
      <c r="V49" s="14"/>
      <c r="W49" s="13"/>
    </row>
    <row r="50" spans="1:23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3" x14ac:dyDescent="0.3">
      <c r="C51" s="13"/>
      <c r="D51" s="13"/>
      <c r="E51" s="13"/>
      <c r="F51" s="13"/>
      <c r="G51" s="13"/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</row>
    <row r="52" spans="1:23" x14ac:dyDescent="0.3">
      <c r="C52" s="13"/>
      <c r="D52" s="13"/>
      <c r="E52" s="13"/>
      <c r="F52" s="13"/>
      <c r="G52" s="13"/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3">
      <c r="C53" s="13"/>
      <c r="D53" s="13"/>
      <c r="E53" s="13"/>
      <c r="F53" s="13"/>
      <c r="G53" s="13"/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3"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3"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3"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3"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3">
      <c r="H58" s="14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3">
      <c r="H59" s="14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3">
      <c r="H60" s="14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3">
      <c r="H61" s="14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</row>
    <row r="62" spans="1:23" x14ac:dyDescent="0.3">
      <c r="H62" s="14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3">
      <c r="H63" s="1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3">
      <c r="H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3">
      <c r="H65" s="14"/>
      <c r="V65" s="14"/>
    </row>
    <row r="66" spans="8:22" x14ac:dyDescent="0.3">
      <c r="H66" s="14"/>
      <c r="V66" s="14"/>
    </row>
    <row r="67" spans="8:22" x14ac:dyDescent="0.3">
      <c r="H67" s="14"/>
      <c r="V67" s="14"/>
    </row>
    <row r="68" spans="8:22" x14ac:dyDescent="0.3">
      <c r="H68" s="14"/>
      <c r="V68" s="14"/>
    </row>
    <row r="69" spans="8:22" x14ac:dyDescent="0.3">
      <c r="H69" s="14"/>
      <c r="V69" s="14"/>
    </row>
    <row r="70" spans="8:22" x14ac:dyDescent="0.3">
      <c r="H70" s="14"/>
      <c r="V70" s="14"/>
    </row>
    <row r="71" spans="8:22" x14ac:dyDescent="0.3">
      <c r="H71" s="14"/>
      <c r="V71" s="14"/>
    </row>
    <row r="72" spans="8:22" x14ac:dyDescent="0.3">
      <c r="H72" s="14"/>
      <c r="V72" s="14"/>
    </row>
    <row r="73" spans="8:22" x14ac:dyDescent="0.3">
      <c r="H73" s="14"/>
      <c r="V73" s="14"/>
    </row>
    <row r="74" spans="8:22" x14ac:dyDescent="0.3">
      <c r="H74" s="14"/>
      <c r="V74" s="14"/>
    </row>
    <row r="75" spans="8:22" x14ac:dyDescent="0.3">
      <c r="H75" s="14"/>
      <c r="V75" s="14"/>
    </row>
    <row r="76" spans="8:22" x14ac:dyDescent="0.3">
      <c r="H76" s="14"/>
      <c r="V76" s="14"/>
    </row>
    <row r="77" spans="8:22" x14ac:dyDescent="0.3">
      <c r="H77" s="14"/>
      <c r="V77" s="14"/>
    </row>
    <row r="78" spans="8:22" x14ac:dyDescent="0.3">
      <c r="H78" s="14"/>
      <c r="V78" s="14"/>
    </row>
    <row r="79" spans="8:22" x14ac:dyDescent="0.3">
      <c r="H79" s="14"/>
      <c r="V79" s="14"/>
    </row>
    <row r="80" spans="8:22" x14ac:dyDescent="0.3">
      <c r="H80" s="14"/>
      <c r="V80" s="14"/>
    </row>
    <row r="81" spans="8:22" x14ac:dyDescent="0.3">
      <c r="H81" s="14"/>
      <c r="V81" s="14"/>
    </row>
    <row r="82" spans="8:22" x14ac:dyDescent="0.3">
      <c r="H82" s="14"/>
      <c r="V82" s="14"/>
    </row>
    <row r="83" spans="8:22" x14ac:dyDescent="0.3">
      <c r="H83" s="14"/>
      <c r="V83" s="14"/>
    </row>
    <row r="84" spans="8:22" x14ac:dyDescent="0.3">
      <c r="H84" s="14"/>
      <c r="V84" s="14"/>
    </row>
    <row r="85" spans="8:22" x14ac:dyDescent="0.3">
      <c r="H85" s="14"/>
      <c r="V85" s="14"/>
    </row>
    <row r="86" spans="8:22" x14ac:dyDescent="0.3">
      <c r="H86" s="14"/>
      <c r="V86" s="14"/>
    </row>
    <row r="87" spans="8:22" x14ac:dyDescent="0.3">
      <c r="H87" s="14"/>
      <c r="V87" s="14"/>
    </row>
    <row r="88" spans="8:22" x14ac:dyDescent="0.3">
      <c r="H88" s="14"/>
      <c r="V88" s="14"/>
    </row>
    <row r="89" spans="8:22" x14ac:dyDescent="0.3">
      <c r="H89" s="14"/>
      <c r="V89" s="14"/>
    </row>
    <row r="90" spans="8:22" x14ac:dyDescent="0.3">
      <c r="H90" s="14"/>
      <c r="V90" s="14"/>
    </row>
    <row r="91" spans="8:22" x14ac:dyDescent="0.3">
      <c r="H91" s="14"/>
      <c r="V91" s="14"/>
    </row>
    <row r="92" spans="8:22" x14ac:dyDescent="0.3">
      <c r="H92" s="14"/>
      <c r="V92" s="14"/>
    </row>
    <row r="93" spans="8:22" x14ac:dyDescent="0.3">
      <c r="H93" s="14"/>
      <c r="V93" s="14"/>
    </row>
    <row r="94" spans="8:22" x14ac:dyDescent="0.3">
      <c r="H94" s="14"/>
      <c r="V94" s="14"/>
    </row>
    <row r="95" spans="8:22" x14ac:dyDescent="0.3">
      <c r="H95" s="14"/>
      <c r="V95" s="14"/>
    </row>
    <row r="96" spans="8:22" x14ac:dyDescent="0.3">
      <c r="H96" s="14"/>
      <c r="V96" s="14"/>
    </row>
    <row r="97" spans="1:22" x14ac:dyDescent="0.3">
      <c r="H97" s="14"/>
      <c r="V97" s="14"/>
    </row>
    <row r="98" spans="1:22" x14ac:dyDescent="0.3">
      <c r="H98" s="14"/>
      <c r="V98" s="14"/>
    </row>
    <row r="99" spans="1:22" x14ac:dyDescent="0.3">
      <c r="H99" s="14"/>
      <c r="V99" s="14"/>
    </row>
    <row r="100" spans="1:22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x14ac:dyDescent="0.3">
      <c r="C101" s="13"/>
      <c r="D101" s="13"/>
      <c r="E101" s="13"/>
      <c r="F101" s="13"/>
      <c r="G101" s="13"/>
      <c r="H101" s="1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4"/>
    </row>
    <row r="102" spans="1:22" x14ac:dyDescent="0.3">
      <c r="C102" s="13"/>
      <c r="D102" s="13"/>
      <c r="E102" s="13"/>
      <c r="F102" s="13"/>
      <c r="G102" s="13"/>
      <c r="H102" s="1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4"/>
    </row>
    <row r="103" spans="1:22" x14ac:dyDescent="0.3">
      <c r="C103" s="13"/>
      <c r="D103" s="13"/>
      <c r="E103" s="13"/>
      <c r="F103" s="13"/>
      <c r="G103" s="13"/>
      <c r="H103" s="1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4"/>
    </row>
    <row r="104" spans="1:22" x14ac:dyDescent="0.3">
      <c r="H104" s="1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4"/>
    </row>
    <row r="105" spans="1:22" x14ac:dyDescent="0.3">
      <c r="H105" s="1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4"/>
    </row>
    <row r="106" spans="1:22" x14ac:dyDescent="0.3">
      <c r="H106" s="1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4"/>
    </row>
    <row r="107" spans="1:22" x14ac:dyDescent="0.3">
      <c r="H107" s="1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4"/>
    </row>
    <row r="108" spans="1:22" x14ac:dyDescent="0.3">
      <c r="H108" s="1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4"/>
    </row>
    <row r="109" spans="1:22" x14ac:dyDescent="0.3">
      <c r="H109" s="1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4"/>
    </row>
    <row r="110" spans="1:22" x14ac:dyDescent="0.3">
      <c r="H110" s="1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4"/>
    </row>
    <row r="111" spans="1:22" x14ac:dyDescent="0.3">
      <c r="H111" s="1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4"/>
    </row>
    <row r="112" spans="1:22" x14ac:dyDescent="0.3">
      <c r="H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4"/>
    </row>
    <row r="113" spans="8:22" x14ac:dyDescent="0.3">
      <c r="H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4"/>
    </row>
    <row r="114" spans="8:22" x14ac:dyDescent="0.3">
      <c r="H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4"/>
    </row>
    <row r="115" spans="8:22" x14ac:dyDescent="0.3">
      <c r="H115" s="14"/>
      <c r="V115" s="14"/>
    </row>
    <row r="116" spans="8:22" x14ac:dyDescent="0.3">
      <c r="H116" s="14"/>
      <c r="V116" s="14"/>
    </row>
    <row r="117" spans="8:22" x14ac:dyDescent="0.3">
      <c r="H117" s="14"/>
      <c r="V117" s="14"/>
    </row>
    <row r="118" spans="8:22" x14ac:dyDescent="0.3">
      <c r="H118" s="14"/>
      <c r="V118" s="14"/>
    </row>
    <row r="119" spans="8:22" x14ac:dyDescent="0.3">
      <c r="H119" s="14"/>
      <c r="V119" s="14"/>
    </row>
    <row r="120" spans="8:22" x14ac:dyDescent="0.3">
      <c r="H120" s="14"/>
      <c r="V120" s="14"/>
    </row>
    <row r="121" spans="8:22" x14ac:dyDescent="0.3">
      <c r="H121" s="14"/>
      <c r="V121" s="14"/>
    </row>
    <row r="122" spans="8:22" x14ac:dyDescent="0.3">
      <c r="H122" s="14"/>
      <c r="V122" s="14"/>
    </row>
    <row r="123" spans="8:22" x14ac:dyDescent="0.3">
      <c r="H123" s="14"/>
      <c r="V123" s="14"/>
    </row>
    <row r="124" spans="8:22" x14ac:dyDescent="0.3">
      <c r="H124" s="14"/>
      <c r="V124" s="14"/>
    </row>
    <row r="125" spans="8:22" x14ac:dyDescent="0.3">
      <c r="H125" s="14"/>
      <c r="V125" s="14"/>
    </row>
    <row r="126" spans="8:22" x14ac:dyDescent="0.3">
      <c r="H126" s="14"/>
      <c r="V126" s="14"/>
    </row>
    <row r="127" spans="8:22" x14ac:dyDescent="0.3">
      <c r="H127" s="14"/>
      <c r="V127" s="14"/>
    </row>
    <row r="128" spans="8:22" x14ac:dyDescent="0.3">
      <c r="H128" s="14"/>
      <c r="V128" s="14"/>
    </row>
    <row r="129" spans="8:22" x14ac:dyDescent="0.3">
      <c r="H129" s="14"/>
      <c r="V129" s="14"/>
    </row>
    <row r="130" spans="8:22" x14ac:dyDescent="0.3">
      <c r="H130" s="14"/>
      <c r="V130" s="14"/>
    </row>
    <row r="131" spans="8:22" x14ac:dyDescent="0.3">
      <c r="H131" s="14"/>
      <c r="V131" s="14"/>
    </row>
    <row r="132" spans="8:22" x14ac:dyDescent="0.3">
      <c r="H132" s="14"/>
      <c r="V132" s="14"/>
    </row>
    <row r="133" spans="8:22" x14ac:dyDescent="0.3">
      <c r="H133" s="14"/>
      <c r="V133" s="14"/>
    </row>
    <row r="134" spans="8:22" x14ac:dyDescent="0.3">
      <c r="H134" s="14"/>
      <c r="V134" s="14"/>
    </row>
    <row r="135" spans="8:22" x14ac:dyDescent="0.3">
      <c r="H135" s="14"/>
      <c r="V135" s="14"/>
    </row>
    <row r="136" spans="8:22" x14ac:dyDescent="0.3">
      <c r="H136" s="14"/>
      <c r="V136" s="14"/>
    </row>
    <row r="137" spans="8:22" x14ac:dyDescent="0.3">
      <c r="H137" s="14"/>
      <c r="V137" s="14"/>
    </row>
    <row r="138" spans="8:22" x14ac:dyDescent="0.3">
      <c r="H138" s="14"/>
      <c r="V138" s="14"/>
    </row>
    <row r="139" spans="8:22" x14ac:dyDescent="0.3">
      <c r="H139" s="14"/>
      <c r="V139" s="14"/>
    </row>
    <row r="140" spans="8:22" x14ac:dyDescent="0.3">
      <c r="H140" s="14"/>
      <c r="V140" s="14"/>
    </row>
    <row r="141" spans="8:22" x14ac:dyDescent="0.3">
      <c r="H141" s="14"/>
      <c r="V141" s="14"/>
    </row>
    <row r="142" spans="8:22" x14ac:dyDescent="0.3">
      <c r="H142" s="14"/>
      <c r="V142" s="14"/>
    </row>
    <row r="143" spans="8:22" x14ac:dyDescent="0.3">
      <c r="H143" s="14"/>
      <c r="V143" s="14"/>
    </row>
    <row r="144" spans="8:22" x14ac:dyDescent="0.3">
      <c r="H144" s="14"/>
      <c r="V144" s="14"/>
    </row>
    <row r="145" spans="1:22" x14ac:dyDescent="0.3">
      <c r="H145" s="14"/>
      <c r="V145" s="14"/>
    </row>
    <row r="146" spans="1:22" x14ac:dyDescent="0.3">
      <c r="H146" s="14"/>
      <c r="V146" s="14"/>
    </row>
    <row r="147" spans="1:22" x14ac:dyDescent="0.3">
      <c r="H147" s="14"/>
      <c r="V147" s="14"/>
    </row>
    <row r="148" spans="1:22" x14ac:dyDescent="0.3">
      <c r="H148" s="14"/>
      <c r="V148" s="14"/>
    </row>
    <row r="149" spans="1:22" x14ac:dyDescent="0.3">
      <c r="H149" s="14"/>
      <c r="V149" s="14"/>
    </row>
    <row r="150" spans="1:22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x14ac:dyDescent="0.3">
      <c r="H151" s="14"/>
      <c r="V151" s="14"/>
    </row>
    <row r="152" spans="1:22" x14ac:dyDescent="0.3">
      <c r="H152" s="14"/>
      <c r="V152" s="14"/>
    </row>
    <row r="153" spans="1:22" x14ac:dyDescent="0.3">
      <c r="H153" s="14"/>
      <c r="V153" s="14"/>
    </row>
    <row r="154" spans="1:22" x14ac:dyDescent="0.3">
      <c r="H154" s="14"/>
      <c r="V154" s="14"/>
    </row>
    <row r="155" spans="1:22" x14ac:dyDescent="0.3">
      <c r="H155" s="14"/>
      <c r="V155" s="14"/>
    </row>
    <row r="156" spans="1:22" x14ac:dyDescent="0.3">
      <c r="H156" s="14"/>
      <c r="V156" s="14"/>
    </row>
    <row r="157" spans="1:22" x14ac:dyDescent="0.3">
      <c r="H157" s="14"/>
      <c r="V157" s="14"/>
    </row>
    <row r="158" spans="1:22" x14ac:dyDescent="0.3">
      <c r="H158" s="14"/>
      <c r="V158" s="14"/>
    </row>
  </sheetData>
  <mergeCells count="1">
    <mergeCell ref="F1:G1"/>
  </mergeCells>
  <hyperlinks>
    <hyperlink ref="F1" location="TOC!A1" display="Return to TOC" xr:uid="{964851CE-51EF-4954-83F0-2958FFAD75E9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75D7-9551-4F48-AFBF-95D2B397C6A8}">
  <sheetPr codeName="Sheet75"/>
  <dimension ref="A1:W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5.5546875" customWidth="1"/>
    <col min="3" max="3" width="7.5546875" customWidth="1"/>
    <col min="4" max="4" width="22.88671875" customWidth="1"/>
    <col min="5" max="5" width="17.6640625" customWidth="1"/>
    <col min="6" max="6" width="12.33203125" customWidth="1"/>
    <col min="7" max="7" width="12.5546875" bestFit="1" customWidth="1"/>
    <col min="8" max="8" width="2.6640625" customWidth="1"/>
    <col min="9" max="9" width="9.33203125" customWidth="1"/>
    <col min="10" max="10" width="11.5546875" customWidth="1"/>
    <col min="11" max="11" width="6.44140625" customWidth="1"/>
    <col min="12" max="12" width="9.33203125" customWidth="1"/>
    <col min="13" max="13" width="11.88671875" customWidth="1"/>
    <col min="14" max="14" width="2.88671875" customWidth="1"/>
    <col min="15" max="15" width="4.33203125" customWidth="1"/>
    <col min="16" max="16" width="6.33203125" customWidth="1"/>
    <col min="17" max="17" width="24.33203125" customWidth="1"/>
    <col min="19" max="19" width="9.109375" customWidth="1"/>
    <col min="21" max="21" width="12.109375" customWidth="1"/>
  </cols>
  <sheetData>
    <row r="1" spans="1:23" x14ac:dyDescent="0.3">
      <c r="A1" s="32" t="s">
        <v>137</v>
      </c>
      <c r="B1" s="33"/>
      <c r="C1" s="33" t="s">
        <v>127</v>
      </c>
      <c r="D1" s="34"/>
      <c r="E1" s="33"/>
      <c r="F1" s="772" t="s">
        <v>199</v>
      </c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812</v>
      </c>
      <c r="D2" s="36"/>
      <c r="E2" s="36"/>
      <c r="F2" s="36"/>
      <c r="G2" s="37"/>
      <c r="H2" s="10"/>
      <c r="I2" t="str">
        <f>"First we need to know the maximum entry ratio for the unlimited distribution. The unlimited loss distribution has an expected loss of "&amp;B6/2</f>
        <v>First we need to know the maximum entry ratio for the unlimited distribution. The unlimited loss distribution has an expected loss of 250</v>
      </c>
      <c r="V2" s="10"/>
    </row>
    <row r="3" spans="1:23" x14ac:dyDescent="0.3">
      <c r="A3" s="35" t="s">
        <v>141</v>
      </c>
      <c r="B3" s="36"/>
      <c r="C3" s="36" t="s">
        <v>813</v>
      </c>
      <c r="D3" s="36"/>
      <c r="E3" s="36"/>
      <c r="F3" s="36"/>
      <c r="G3" s="37"/>
      <c r="H3" s="10"/>
      <c r="I3" t="str">
        <f>"So its maximum entry ratio is "&amp;B6&amp;" / "&amp; B6/2 &amp;" = 2."</f>
        <v>So its maximum entry ratio is 500 / 250 = 2.</v>
      </c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I4" t="str">
        <f>"Similiarly, we get the minimum entry ratio for the unlimited distribution as " &amp;A6&amp;" / "&amp;B6/2&amp;" = "&amp;2*A6/B6</f>
        <v>Similiarly, we get the minimum entry ratio for the unlimited distribution as 0 / 250 = 0</v>
      </c>
      <c r="S4" s="13"/>
      <c r="T4" s="13"/>
      <c r="U4" s="13"/>
      <c r="V4" s="14"/>
      <c r="W4" s="13"/>
    </row>
    <row r="5" spans="1:23" ht="15" customHeight="1" x14ac:dyDescent="0.3">
      <c r="A5" s="41" t="s">
        <v>144</v>
      </c>
      <c r="B5" s="36"/>
      <c r="C5" s="36" t="s">
        <v>814</v>
      </c>
      <c r="D5" s="36"/>
      <c r="E5" s="36"/>
      <c r="F5" s="36"/>
      <c r="G5" s="37"/>
      <c r="H5" s="14"/>
      <c r="I5" t="str">
        <f>"Since the unlimited loss distribution is continuous and uniform, we know its Lee diagram will be a straight line from (0,"&amp;2*A6/B6&amp;") to (1,2)"</f>
        <v>Since the unlimited loss distribution is continuous and uniform, we know its Lee diagram will be a straight line from (0,0) to (1,2)</v>
      </c>
      <c r="S5" s="13"/>
      <c r="T5" s="13"/>
      <c r="U5" s="13"/>
      <c r="V5" s="14"/>
      <c r="W5" s="13"/>
    </row>
    <row r="6" spans="1:23" x14ac:dyDescent="0.3">
      <c r="A6" s="373">
        <v>0</v>
      </c>
      <c r="B6" s="42">
        <v>500</v>
      </c>
      <c r="C6" s="36" t="str">
        <f>"• Its unlimited loss distribution is continuous and uniform on the interval ["&amp; A6 &amp; ", "&amp; B6&amp;"]"</f>
        <v>• Its unlimited loss distribution is continuous and uniform on the interval [0, 500]</v>
      </c>
      <c r="D6" s="36"/>
      <c r="E6" s="36"/>
      <c r="F6" s="36"/>
      <c r="G6" s="37"/>
      <c r="H6" s="14"/>
      <c r="S6" s="13"/>
      <c r="T6" s="13"/>
      <c r="U6" s="13"/>
      <c r="V6" s="14"/>
      <c r="W6" s="13"/>
    </row>
    <row r="7" spans="1:23" ht="15" customHeight="1" x14ac:dyDescent="0.3">
      <c r="A7" s="373">
        <v>0</v>
      </c>
      <c r="B7" s="42">
        <v>400</v>
      </c>
      <c r="C7" s="36" t="str">
        <f>"• Its limited loss distribution is continuous and uniform on the interval ["&amp;A7&amp;", "&amp;B7&amp;"]"</f>
        <v>• Its limited loss distribution is continuous and uniform on the interval [0, 400]</v>
      </c>
      <c r="D7" s="36"/>
      <c r="E7" s="36"/>
      <c r="F7" s="36"/>
      <c r="G7" s="37"/>
      <c r="H7" s="14"/>
      <c r="I7" t="s">
        <v>815</v>
      </c>
      <c r="S7" s="13"/>
      <c r="T7" s="13"/>
      <c r="U7" s="13"/>
      <c r="V7" s="14"/>
      <c r="W7" s="13"/>
    </row>
    <row r="8" spans="1:23" ht="15" customHeight="1" x14ac:dyDescent="0.3">
      <c r="A8" s="41"/>
      <c r="B8" s="248">
        <v>1.5</v>
      </c>
      <c r="C8" s="36" t="str">
        <f>"• Its entry ratio is "&amp;B8&amp;" times the expected unlimited loss."</f>
        <v>• Its entry ratio is 1.5 times the expected unlimited loss.</v>
      </c>
      <c r="D8" s="36"/>
      <c r="E8" s="36"/>
      <c r="F8" s="36"/>
      <c r="G8" s="37"/>
      <c r="H8" s="14"/>
      <c r="S8" s="13"/>
      <c r="T8" s="13"/>
      <c r="U8" s="13"/>
      <c r="V8" s="14"/>
      <c r="W8" s="13"/>
    </row>
    <row r="9" spans="1:23" x14ac:dyDescent="0.3">
      <c r="A9" s="41"/>
      <c r="B9" s="39"/>
      <c r="C9" s="36"/>
      <c r="D9" s="36"/>
      <c r="E9" s="36"/>
      <c r="F9" s="36"/>
      <c r="G9" s="37"/>
      <c r="H9" s="14"/>
      <c r="I9" t="s">
        <v>816</v>
      </c>
      <c r="S9" s="13"/>
      <c r="T9" s="13"/>
      <c r="U9" s="13"/>
      <c r="V9" s="14"/>
      <c r="W9" s="13"/>
    </row>
    <row r="10" spans="1:23" x14ac:dyDescent="0.3">
      <c r="A10" s="35" t="s">
        <v>173</v>
      </c>
      <c r="B10" s="39"/>
      <c r="C10" s="36" t="s">
        <v>817</v>
      </c>
      <c r="D10" s="36"/>
      <c r="E10" s="36"/>
      <c r="F10" s="36"/>
      <c r="G10" s="37"/>
      <c r="H10" s="14"/>
      <c r="I10" t="str">
        <f>"The minimum entry ratio for the limited loss distribution is "&amp;A7&amp;" / " &amp;B6/2&amp;" = "&amp;2*A7/B6</f>
        <v>The minimum entry ratio for the limited loss distribution is 0 / 250 = 0</v>
      </c>
      <c r="S10" s="13"/>
      <c r="T10" s="13"/>
      <c r="U10" s="13"/>
      <c r="V10" s="14"/>
      <c r="W10" s="13"/>
    </row>
    <row r="11" spans="1:23" x14ac:dyDescent="0.3">
      <c r="A11" s="38"/>
      <c r="B11" s="39" t="s">
        <v>818</v>
      </c>
      <c r="C11" s="412" t="str">
        <f>"φ("&amp;B8&amp;")"</f>
        <v>φ(1.5)</v>
      </c>
      <c r="D11" s="36"/>
      <c r="E11" s="36"/>
      <c r="F11" s="36"/>
      <c r="G11" s="37"/>
      <c r="H11" s="14"/>
      <c r="I11" t="str">
        <f>"The maximum entry ratio for the limited loss distribution is "&amp;B7&amp; " / " &amp;B6/2&amp; " = "&amp;2*B7/B6</f>
        <v>The maximum entry ratio for the limited loss distribution is 400 / 250 = 1.6</v>
      </c>
      <c r="S11" s="13"/>
      <c r="T11" s="13"/>
      <c r="U11" s="13"/>
      <c r="V11" s="14"/>
      <c r="W11" s="13"/>
    </row>
    <row r="12" spans="1:23" x14ac:dyDescent="0.3">
      <c r="A12" s="38"/>
      <c r="B12" s="39"/>
      <c r="C12" s="36"/>
      <c r="D12" s="36"/>
      <c r="E12" s="36"/>
      <c r="F12" s="36"/>
      <c r="G12" s="37"/>
      <c r="H12" s="14"/>
      <c r="S12" s="13"/>
      <c r="T12" s="13"/>
      <c r="U12" s="13"/>
      <c r="V12" s="14"/>
      <c r="W12" s="13"/>
    </row>
    <row r="13" spans="1:23" x14ac:dyDescent="0.3">
      <c r="A13" s="38"/>
      <c r="B13" s="39" t="s">
        <v>819</v>
      </c>
      <c r="C13" s="412" t="str">
        <f>"ϕ("&amp;B8&amp;")"</f>
        <v>ϕ(1.5)</v>
      </c>
      <c r="D13" s="36"/>
      <c r="E13" s="36"/>
      <c r="F13" s="36"/>
      <c r="G13" s="37"/>
      <c r="H13" s="14"/>
      <c r="I13" t="s">
        <v>820</v>
      </c>
      <c r="S13" s="13"/>
      <c r="T13" s="13"/>
      <c r="U13" s="13"/>
      <c r="V13" s="14"/>
      <c r="W13" s="13"/>
    </row>
    <row r="14" spans="1:23" ht="15" thickBot="1" x14ac:dyDescent="0.35">
      <c r="A14" s="188"/>
      <c r="B14" s="189"/>
      <c r="C14" s="54"/>
      <c r="D14" s="54"/>
      <c r="E14" s="54"/>
      <c r="F14" s="54"/>
      <c r="G14" s="55"/>
      <c r="H14" s="14"/>
      <c r="Q14" s="408" t="s">
        <v>821</v>
      </c>
      <c r="V14" s="14"/>
      <c r="W14" s="13"/>
    </row>
    <row r="15" spans="1:23" x14ac:dyDescent="0.3">
      <c r="H15" s="14"/>
      <c r="Q15" s="408" t="s">
        <v>822</v>
      </c>
      <c r="S15" s="13"/>
      <c r="T15" s="13"/>
      <c r="U15" s="13"/>
      <c r="V15" s="14"/>
      <c r="W15" s="13"/>
    </row>
    <row r="16" spans="1:23" x14ac:dyDescent="0.3">
      <c r="H16" s="14"/>
      <c r="Q16" s="408" t="s">
        <v>823</v>
      </c>
      <c r="S16" s="13"/>
      <c r="T16" s="13"/>
      <c r="U16" s="13"/>
      <c r="V16" s="14"/>
      <c r="W16" s="13"/>
    </row>
    <row r="17" spans="8:23" x14ac:dyDescent="0.3">
      <c r="H17" s="14"/>
      <c r="Q17" s="408" t="s">
        <v>824</v>
      </c>
      <c r="S17" s="13"/>
      <c r="T17" s="13"/>
      <c r="U17" s="13"/>
      <c r="V17" s="14"/>
      <c r="W17" s="13"/>
    </row>
    <row r="18" spans="8:23" x14ac:dyDescent="0.3">
      <c r="H18" s="14"/>
      <c r="Q18" s="408" t="s">
        <v>825</v>
      </c>
      <c r="S18" s="13"/>
      <c r="T18" s="13"/>
      <c r="U18" s="13"/>
      <c r="V18" s="14"/>
      <c r="W18" s="13"/>
    </row>
    <row r="19" spans="8:23" ht="15" customHeight="1" x14ac:dyDescent="0.3">
      <c r="H19" s="14"/>
      <c r="Q19" s="408" t="s">
        <v>826</v>
      </c>
      <c r="S19" s="13"/>
      <c r="T19" s="13"/>
      <c r="U19" s="13"/>
      <c r="V19" s="14"/>
      <c r="W19" s="13"/>
    </row>
    <row r="20" spans="8:23" x14ac:dyDescent="0.3">
      <c r="H20" s="14"/>
      <c r="Q20" s="408" t="s">
        <v>827</v>
      </c>
      <c r="S20" s="13"/>
      <c r="T20" s="13"/>
      <c r="U20" s="13"/>
      <c r="V20" s="14"/>
      <c r="W20" s="13"/>
    </row>
    <row r="21" spans="8:23" x14ac:dyDescent="0.3">
      <c r="H21" s="14"/>
      <c r="Q21" s="408" t="s">
        <v>828</v>
      </c>
      <c r="S21" s="13"/>
      <c r="T21" s="13"/>
      <c r="U21" s="13"/>
      <c r="V21" s="14"/>
      <c r="W21" s="13"/>
    </row>
    <row r="22" spans="8:23" x14ac:dyDescent="0.3">
      <c r="H22" s="14"/>
      <c r="P22" s="13"/>
      <c r="Q22" s="409" t="s">
        <v>829</v>
      </c>
      <c r="R22" s="13"/>
      <c r="S22" s="13"/>
      <c r="T22" s="13"/>
      <c r="U22" s="13"/>
      <c r="V22" s="14"/>
      <c r="W22" s="13"/>
    </row>
    <row r="23" spans="8:23" ht="15" customHeight="1" x14ac:dyDescent="0.35">
      <c r="H23" s="14"/>
      <c r="P23" s="13"/>
      <c r="Q23" s="409" t="s">
        <v>830</v>
      </c>
      <c r="R23" s="13"/>
      <c r="S23" s="13"/>
      <c r="T23" s="13"/>
      <c r="U23" s="13"/>
      <c r="V23" s="14"/>
      <c r="W23" s="13"/>
    </row>
    <row r="24" spans="8:23" ht="15" customHeight="1" x14ac:dyDescent="0.3">
      <c r="H24" s="14"/>
      <c r="P24" s="13"/>
      <c r="Q24" s="409" t="s">
        <v>831</v>
      </c>
      <c r="R24" s="13"/>
      <c r="S24" s="13"/>
      <c r="T24" s="13"/>
      <c r="U24" s="13"/>
      <c r="V24" s="14"/>
      <c r="W24" s="13"/>
    </row>
    <row r="25" spans="8:23" ht="15" customHeight="1" x14ac:dyDescent="0.3">
      <c r="H25" s="14"/>
      <c r="P25" s="13"/>
      <c r="Q25" s="13"/>
      <c r="R25" s="13"/>
      <c r="S25" s="13"/>
      <c r="T25" s="13"/>
      <c r="U25" s="13"/>
      <c r="V25" s="14"/>
      <c r="W25" s="13"/>
    </row>
    <row r="26" spans="8:23" ht="15" customHeight="1" x14ac:dyDescent="0.3">
      <c r="H26" s="14"/>
      <c r="P26" s="13"/>
      <c r="Q26" s="13"/>
      <c r="R26" s="13"/>
      <c r="S26" s="13"/>
      <c r="T26" s="13"/>
      <c r="U26" s="13"/>
      <c r="V26" s="14"/>
      <c r="W26" s="13"/>
    </row>
    <row r="27" spans="8:23" ht="15" customHeight="1" x14ac:dyDescent="0.3">
      <c r="H27" s="14"/>
      <c r="P27" s="13"/>
      <c r="Q27" s="13"/>
      <c r="R27" s="13"/>
      <c r="S27" s="13"/>
      <c r="T27" s="13"/>
      <c r="U27" s="13"/>
      <c r="V27" s="14"/>
      <c r="W27" s="13"/>
    </row>
    <row r="28" spans="8:23" ht="15" customHeight="1" x14ac:dyDescent="0.3">
      <c r="H28" s="14"/>
      <c r="P28" s="13"/>
      <c r="Q28" s="13"/>
      <c r="R28" s="13"/>
      <c r="S28" s="13"/>
      <c r="T28" s="13"/>
      <c r="U28" s="13"/>
      <c r="V28" s="14"/>
      <c r="W28" s="13"/>
    </row>
    <row r="29" spans="8:23" x14ac:dyDescent="0.3">
      <c r="H29" s="14"/>
      <c r="P29" s="13"/>
      <c r="Q29" s="13"/>
      <c r="R29" s="13"/>
      <c r="S29" s="13"/>
      <c r="T29" s="13"/>
      <c r="U29" s="13"/>
      <c r="V29" s="14"/>
      <c r="W29" s="13"/>
    </row>
    <row r="30" spans="8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8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8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I36" t="str">
        <f>"From the Lee diagram we can deduce the areas which represent the Table L insurance charge and savings at an entry ratio of "&amp;B8</f>
        <v>From the Lee diagram we can deduce the areas which represent the Table L insurance charge and savings at an entry ratio of 1.5</v>
      </c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I38" t="s">
        <v>832</v>
      </c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I39" t="s">
        <v>833</v>
      </c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I41" t="s">
        <v>834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I42" t="s">
        <v>835</v>
      </c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I44" s="410" t="str">
        <f>"φ("&amp;B8&amp;") ="</f>
        <v>φ(1.5) =</v>
      </c>
      <c r="J44" t="str">
        <f>"1 - 0.5*1*"&amp;2*B7/B6&amp;" + 0.5*( 1 - "&amp;B8&amp; " / "&amp; 2*B7/B6&amp;" ) * ( "&amp;2*B7/B6 &amp;" - "&amp;B8&amp;") = "&amp;J45</f>
        <v>1 - 0.5*1*1.6 + 0.5*( 1 - 1.5 / 1.6 ) * ( 1.6 - 1.5) = 0.203125</v>
      </c>
      <c r="O44" s="29"/>
      <c r="P44" s="411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J45" s="16">
        <f>ROUND(1-0.5*1*2*B7/B6+0.5*(1-B8*B6/(2*B7))*(2*B7/B6-B8),6)</f>
        <v>0.203125</v>
      </c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I46" t="s">
        <v>836</v>
      </c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I48" s="410" t="str">
        <f>"ϕ("&amp;B8&amp;") ="</f>
        <v>ϕ(1.5) =</v>
      </c>
      <c r="J48" s="11" t="str">
        <f>J45&amp;" + "&amp;B8&amp;" - 1 = "&amp;J45+B8-1</f>
        <v>0.203125 + 1.5 - 1 = 0.703125</v>
      </c>
      <c r="L48" s="29"/>
      <c r="P48" s="13"/>
      <c r="Q48" s="13"/>
      <c r="R48" s="13"/>
      <c r="S48" s="13"/>
      <c r="T48" s="13"/>
      <c r="U48" s="13"/>
      <c r="V48" s="14"/>
      <c r="W48" s="13"/>
    </row>
    <row r="49" spans="8:23" x14ac:dyDescent="0.3">
      <c r="H49" s="14"/>
      <c r="Q49" s="13"/>
      <c r="R49" s="13"/>
      <c r="S49" s="13"/>
      <c r="T49" s="13"/>
      <c r="U49" s="13"/>
      <c r="V49" s="14"/>
      <c r="W49" s="13"/>
    </row>
  </sheetData>
  <mergeCells count="1">
    <mergeCell ref="F1:G1"/>
  </mergeCells>
  <hyperlinks>
    <hyperlink ref="F1" location="TOC!A1" display="Return to TOC" xr:uid="{1479B995-48EA-4C67-9F4D-EEBF4EE51B7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2D8D-C258-4E21-B0F9-7807FB5295C8}">
  <sheetPr codeName="Sheet76"/>
  <dimension ref="A1:Y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88671875" customWidth="1"/>
    <col min="4" max="4" width="28.6640625" customWidth="1"/>
    <col min="5" max="5" width="17.6640625" customWidth="1"/>
    <col min="6" max="6" width="12.33203125" customWidth="1"/>
    <col min="7" max="7" width="12.5546875" bestFit="1" customWidth="1"/>
    <col min="9" max="9" width="9.109375" customWidth="1"/>
    <col min="10" max="10" width="2.6640625" customWidth="1"/>
    <col min="11" max="11" width="5.6640625" customWidth="1"/>
    <col min="12" max="13" width="9.33203125" customWidth="1"/>
    <col min="14" max="14" width="10.6640625" customWidth="1"/>
    <col min="15" max="15" width="9.33203125" customWidth="1"/>
    <col min="16" max="16" width="9.88671875" customWidth="1"/>
    <col min="17" max="18" width="9.33203125" customWidth="1"/>
    <col min="19" max="20" width="9.109375" customWidth="1"/>
    <col min="22" max="22" width="9.109375" customWidth="1"/>
    <col min="24" max="24" width="10" customWidth="1"/>
  </cols>
  <sheetData>
    <row r="1" spans="1:25" x14ac:dyDescent="0.3">
      <c r="A1" s="32" t="s">
        <v>137</v>
      </c>
      <c r="B1" s="33"/>
      <c r="C1" s="33" t="s">
        <v>29</v>
      </c>
      <c r="D1" s="34"/>
      <c r="E1" s="33"/>
      <c r="F1" s="33"/>
      <c r="G1" s="33"/>
      <c r="H1" s="772" t="s">
        <v>199</v>
      </c>
      <c r="I1" s="773"/>
      <c r="K1" s="12" t="s">
        <v>140</v>
      </c>
    </row>
    <row r="2" spans="1:25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7"/>
      <c r="K2" t="s">
        <v>142</v>
      </c>
    </row>
    <row r="3" spans="1:25" x14ac:dyDescent="0.3">
      <c r="A3" s="35" t="s">
        <v>141</v>
      </c>
      <c r="B3" s="36"/>
      <c r="C3" s="36" t="s">
        <v>21</v>
      </c>
      <c r="D3" s="36"/>
      <c r="E3" s="36"/>
      <c r="F3" s="36"/>
      <c r="G3" s="36"/>
      <c r="H3" s="36"/>
      <c r="I3" s="37"/>
      <c r="K3" t="s">
        <v>143</v>
      </c>
    </row>
    <row r="4" spans="1:25" ht="15.6" x14ac:dyDescent="0.35">
      <c r="A4" s="38"/>
      <c r="B4" s="39"/>
      <c r="C4" s="39"/>
      <c r="D4" s="39"/>
      <c r="E4" s="39"/>
      <c r="F4" s="39"/>
      <c r="G4" s="39"/>
      <c r="H4" s="39"/>
      <c r="I4" s="40"/>
      <c r="J4" s="13"/>
      <c r="K4" t="s">
        <v>147</v>
      </c>
      <c r="U4" s="13"/>
      <c r="V4" s="13"/>
      <c r="W4" s="13"/>
      <c r="Y4" s="13"/>
    </row>
    <row r="5" spans="1:25" ht="15" customHeight="1" x14ac:dyDescent="0.3">
      <c r="A5" s="41" t="s">
        <v>144</v>
      </c>
      <c r="B5" s="42">
        <v>25</v>
      </c>
      <c r="C5" s="17" t="s">
        <v>145</v>
      </c>
      <c r="D5" s="43" t="s">
        <v>146</v>
      </c>
      <c r="E5" s="44" t="s">
        <v>197</v>
      </c>
      <c r="F5" s="36"/>
      <c r="G5" s="36"/>
      <c r="H5" s="36"/>
      <c r="I5" s="37"/>
      <c r="K5" t="s">
        <v>150</v>
      </c>
      <c r="U5" s="13"/>
      <c r="V5" s="13"/>
      <c r="W5" s="13"/>
      <c r="Y5" s="13"/>
    </row>
    <row r="6" spans="1:25" ht="15.6" x14ac:dyDescent="0.35">
      <c r="A6" s="45"/>
      <c r="B6" s="42">
        <v>35</v>
      </c>
      <c r="C6" s="20" t="s">
        <v>148</v>
      </c>
      <c r="D6" s="46" t="s">
        <v>149</v>
      </c>
      <c r="E6" s="44" t="s">
        <v>198</v>
      </c>
      <c r="F6" s="36"/>
      <c r="G6" s="36"/>
      <c r="H6" s="36"/>
      <c r="I6" s="37"/>
      <c r="K6" t="s">
        <v>153</v>
      </c>
      <c r="U6" s="13"/>
      <c r="V6" s="13"/>
      <c r="W6" s="13"/>
      <c r="Y6" s="13"/>
    </row>
    <row r="7" spans="1:25" ht="15" customHeight="1" x14ac:dyDescent="0.35">
      <c r="A7" s="45"/>
      <c r="B7" s="42">
        <v>1</v>
      </c>
      <c r="C7" s="20" t="s">
        <v>151</v>
      </c>
      <c r="D7" s="46" t="s">
        <v>152</v>
      </c>
      <c r="E7" s="36"/>
      <c r="F7" s="36"/>
      <c r="G7" s="36"/>
      <c r="H7" s="36"/>
      <c r="I7" s="37"/>
      <c r="U7" s="13"/>
      <c r="V7" s="13"/>
      <c r="W7" s="13"/>
      <c r="Y7" s="13"/>
    </row>
    <row r="8" spans="1:25" ht="15" customHeight="1" x14ac:dyDescent="0.3">
      <c r="A8" s="41"/>
      <c r="B8" s="39"/>
      <c r="C8" s="20" t="s">
        <v>154</v>
      </c>
      <c r="D8" s="46" t="s">
        <v>155</v>
      </c>
      <c r="E8" s="36"/>
      <c r="F8" s="36"/>
      <c r="G8" s="36"/>
      <c r="H8" s="36"/>
      <c r="I8" s="37"/>
      <c r="K8" t="s">
        <v>159</v>
      </c>
      <c r="U8" s="13"/>
      <c r="V8" s="13"/>
      <c r="W8" s="13"/>
      <c r="Y8" s="13"/>
    </row>
    <row r="9" spans="1:25" ht="15.6" x14ac:dyDescent="0.35">
      <c r="A9" s="41"/>
      <c r="B9" s="39"/>
      <c r="C9" s="22" t="s">
        <v>156</v>
      </c>
      <c r="D9" s="47" t="s">
        <v>157</v>
      </c>
      <c r="E9" s="44" t="s">
        <v>158</v>
      </c>
      <c r="F9" s="36"/>
      <c r="G9" s="36"/>
      <c r="H9" s="36"/>
      <c r="I9" s="37"/>
      <c r="K9" t="s">
        <v>161</v>
      </c>
      <c r="U9" s="13"/>
      <c r="V9" s="13"/>
      <c r="W9" s="13"/>
      <c r="Y9" s="13"/>
    </row>
    <row r="10" spans="1:25" ht="15.6" x14ac:dyDescent="0.35">
      <c r="A10" s="38"/>
      <c r="B10" s="39"/>
      <c r="C10" s="36"/>
      <c r="D10" s="36"/>
      <c r="E10" s="44" t="s">
        <v>160</v>
      </c>
      <c r="F10" s="36"/>
      <c r="G10" s="36"/>
      <c r="H10" s="36"/>
      <c r="I10" s="37"/>
      <c r="K10" t="s">
        <v>162</v>
      </c>
      <c r="U10" s="13"/>
      <c r="V10" s="13"/>
      <c r="W10" s="13"/>
      <c r="Y10" s="13"/>
    </row>
    <row r="11" spans="1:25" x14ac:dyDescent="0.3">
      <c r="A11" s="38"/>
      <c r="B11" s="39"/>
      <c r="C11" s="36"/>
      <c r="D11" s="36"/>
      <c r="E11" s="36"/>
      <c r="F11" s="36"/>
      <c r="G11" s="36"/>
      <c r="H11" s="36"/>
      <c r="I11" s="37"/>
      <c r="U11" s="13"/>
      <c r="V11" s="13"/>
      <c r="W11" s="13"/>
      <c r="Y11" s="13"/>
    </row>
    <row r="12" spans="1:25" x14ac:dyDescent="0.3">
      <c r="A12" s="38"/>
      <c r="B12" s="39"/>
      <c r="C12" s="48" t="s">
        <v>163</v>
      </c>
      <c r="D12" s="49" t="s">
        <v>164</v>
      </c>
      <c r="E12" s="44" t="s">
        <v>165</v>
      </c>
      <c r="F12" s="36"/>
      <c r="G12" s="36"/>
      <c r="H12" s="36"/>
      <c r="I12" s="37"/>
      <c r="K12" t="s">
        <v>167</v>
      </c>
      <c r="U12" s="13"/>
      <c r="V12" s="13"/>
      <c r="W12" s="13"/>
      <c r="Y12" s="13"/>
    </row>
    <row r="13" spans="1:25" ht="15" x14ac:dyDescent="0.35">
      <c r="A13" s="38"/>
      <c r="B13" s="39"/>
      <c r="C13" s="20">
        <v>5.8</v>
      </c>
      <c r="D13" s="50" t="s">
        <v>166</v>
      </c>
      <c r="E13" s="36"/>
      <c r="F13" s="36"/>
      <c r="G13" s="36"/>
      <c r="H13" s="36"/>
      <c r="I13" s="37"/>
      <c r="U13" s="13"/>
      <c r="V13" s="13"/>
      <c r="W13" s="13"/>
      <c r="Y13" s="13"/>
    </row>
    <row r="14" spans="1:25" ht="15" x14ac:dyDescent="0.35">
      <c r="A14" s="38"/>
      <c r="B14" s="39"/>
      <c r="C14" s="20">
        <v>0.1</v>
      </c>
      <c r="D14" s="50" t="s">
        <v>168</v>
      </c>
      <c r="E14" s="36"/>
      <c r="F14" s="36"/>
      <c r="G14" s="36"/>
      <c r="H14" s="36"/>
      <c r="I14" s="37"/>
      <c r="K14" t="s">
        <v>170</v>
      </c>
      <c r="U14" s="13"/>
      <c r="V14" s="13"/>
      <c r="W14" s="13"/>
      <c r="Y14" s="13"/>
    </row>
    <row r="15" spans="1:25" ht="15" x14ac:dyDescent="0.35">
      <c r="A15" s="45"/>
      <c r="B15" s="36"/>
      <c r="C15" s="20">
        <v>-0.15</v>
      </c>
      <c r="D15" s="50" t="s">
        <v>169</v>
      </c>
      <c r="E15" s="36"/>
      <c r="F15" s="36"/>
      <c r="G15" s="36"/>
      <c r="H15" s="36"/>
      <c r="I15" s="37"/>
      <c r="U15" s="13"/>
      <c r="V15" s="13"/>
      <c r="W15" s="13"/>
      <c r="Y15" s="13"/>
    </row>
    <row r="16" spans="1:25" x14ac:dyDescent="0.3">
      <c r="A16" s="45"/>
      <c r="B16" s="36"/>
      <c r="C16" s="22">
        <v>0.3</v>
      </c>
      <c r="D16" s="51" t="s">
        <v>171</v>
      </c>
      <c r="E16" s="36"/>
      <c r="F16" s="36"/>
      <c r="G16" s="36"/>
      <c r="H16" s="36"/>
      <c r="I16" s="37"/>
      <c r="K16" t="s">
        <v>172</v>
      </c>
      <c r="U16" s="13"/>
      <c r="V16" s="13"/>
      <c r="W16" s="13"/>
      <c r="Y16" s="13"/>
    </row>
    <row r="17" spans="1:25" ht="15.6" x14ac:dyDescent="0.35">
      <c r="A17" s="45"/>
      <c r="B17" s="36"/>
      <c r="C17" s="36"/>
      <c r="D17" s="36"/>
      <c r="E17" s="36"/>
      <c r="F17" s="36"/>
      <c r="G17" s="36"/>
      <c r="H17" s="36"/>
      <c r="I17" s="37"/>
      <c r="K17" t="s">
        <v>176</v>
      </c>
      <c r="L17" s="26" t="s">
        <v>177</v>
      </c>
      <c r="M17" t="str">
        <f>TEXT(C13,"0.#")&amp;" + " &amp;TEXT(C14,"0.#0")&amp;" * " &amp;TEXT(B5,"#")&amp; " + "&amp;TEXT(C15,"0.#0")&amp;" * " &amp;TEXT(MOD(B7,2),"0")</f>
        <v>5.8 + 0.10 * 25 + -0.15 * 1</v>
      </c>
      <c r="P17" s="19" t="str">
        <f>"&lt;= Remember this driver is "&amp;IF(B7=1,"married","unmarried")&amp;" so marital status = "&amp;B7</f>
        <v>&lt;= Remember this driver is married so marital status = 1</v>
      </c>
      <c r="U17" s="13"/>
      <c r="V17" s="13"/>
      <c r="W17" s="13"/>
      <c r="Y17" s="13"/>
    </row>
    <row r="18" spans="1:25" x14ac:dyDescent="0.3">
      <c r="A18" s="35" t="s">
        <v>173</v>
      </c>
      <c r="B18" s="36" t="s">
        <v>174</v>
      </c>
      <c r="C18" s="36" t="s">
        <v>175</v>
      </c>
      <c r="D18" s="36"/>
      <c r="E18" s="36"/>
      <c r="F18" s="36"/>
      <c r="G18" s="36"/>
      <c r="H18" s="36"/>
      <c r="I18" s="37"/>
      <c r="L18" s="27" t="s">
        <v>179</v>
      </c>
      <c r="M18" s="11">
        <f>C13+C14*B5+C15*MOD(B7,2)</f>
        <v>8.15</v>
      </c>
      <c r="U18" s="13"/>
      <c r="V18" s="13"/>
      <c r="W18" s="13"/>
      <c r="Y18" s="13"/>
    </row>
    <row r="19" spans="1:25" ht="15" customHeight="1" x14ac:dyDescent="0.3">
      <c r="A19" s="45"/>
      <c r="B19" s="52" t="s">
        <v>178</v>
      </c>
      <c r="C19" s="36" t="str">
        <f>"A "&amp;B5&amp;"-year old "&amp;IF(B7=1,"married","unmarried")&amp;" driver"</f>
        <v>A 25-year old married driver</v>
      </c>
      <c r="D19" s="36"/>
      <c r="E19" s="36"/>
      <c r="F19" s="36"/>
      <c r="G19" s="36"/>
      <c r="H19" s="36"/>
      <c r="I19" s="37"/>
      <c r="L19" t="s">
        <v>181</v>
      </c>
      <c r="U19" s="13"/>
      <c r="V19" s="13"/>
      <c r="W19" s="13"/>
      <c r="Y19" s="13"/>
    </row>
    <row r="20" spans="1:25" ht="15.6" x14ac:dyDescent="0.35">
      <c r="A20" s="45"/>
      <c r="B20" s="52" t="s">
        <v>180</v>
      </c>
      <c r="C20" s="36" t="str">
        <f>"A "&amp;B6&amp;"-year old "&amp;IF(B7=0,"married","unmarried")&amp;" driver"</f>
        <v>A 35-year old unmarried driver</v>
      </c>
      <c r="D20" s="36"/>
      <c r="E20" s="36"/>
      <c r="F20" s="36"/>
      <c r="G20" s="36"/>
      <c r="H20" s="36"/>
      <c r="I20" s="37"/>
      <c r="L20" s="26" t="s">
        <v>182</v>
      </c>
      <c r="M20" s="28">
        <f>EXP(M18)</f>
        <v>3463.3790654794548</v>
      </c>
      <c r="O20" s="19" t="str">
        <f>"&lt;= This is the predicted average loss cost for a claim for the set of "&amp;IF(B7=1,"married","unmarried")&amp;" "&amp;B5 &amp;"-year old drivers"</f>
        <v>&lt;= This is the predicted average loss cost for a claim for the set of married 25-year old drivers</v>
      </c>
      <c r="U20" s="13"/>
      <c r="V20" s="13"/>
      <c r="W20" s="13"/>
      <c r="Y20" s="13"/>
    </row>
    <row r="21" spans="1:25" x14ac:dyDescent="0.3">
      <c r="A21" s="45"/>
      <c r="B21" s="36"/>
      <c r="C21" s="36"/>
      <c r="D21" s="36"/>
      <c r="E21" s="36"/>
      <c r="F21" s="36"/>
      <c r="G21" s="36"/>
      <c r="H21" s="36"/>
      <c r="I21" s="37"/>
      <c r="R21" s="13"/>
      <c r="S21" s="13"/>
      <c r="T21" s="13"/>
      <c r="U21" s="13"/>
      <c r="V21" s="13"/>
      <c r="W21" s="13"/>
      <c r="Y21" s="13"/>
    </row>
    <row r="22" spans="1:25" ht="15.6" x14ac:dyDescent="0.35">
      <c r="A22" s="45"/>
      <c r="B22" s="36" t="s">
        <v>183</v>
      </c>
      <c r="C22" s="36" t="s">
        <v>184</v>
      </c>
      <c r="D22" s="36"/>
      <c r="E22" s="36"/>
      <c r="F22" s="36"/>
      <c r="G22" s="36"/>
      <c r="H22" s="36"/>
      <c r="I22" s="37"/>
      <c r="K22" t="s">
        <v>185</v>
      </c>
      <c r="L22" s="26" t="s">
        <v>177</v>
      </c>
      <c r="M22" t="str">
        <f>TEXT(C13,"0.#")&amp;" + " &amp;TEXT(C14,"0.#0")&amp;" * " &amp;TEXT(B6,"#")&amp; " + "&amp;TEXT(C15,"0.#0")&amp;" * "&amp;TEXT(MOD(B7+1,2),"0")</f>
        <v>5.8 + 0.10 * 35 + -0.15 * 0</v>
      </c>
      <c r="R22" s="13"/>
      <c r="S22" s="13"/>
      <c r="T22" s="13"/>
      <c r="U22" s="13"/>
      <c r="V22" s="13"/>
      <c r="W22" s="13"/>
      <c r="Y22" s="13"/>
    </row>
    <row r="23" spans="1:25" ht="15" customHeight="1" x14ac:dyDescent="0.3">
      <c r="A23" s="45"/>
      <c r="B23" s="52" t="s">
        <v>178</v>
      </c>
      <c r="C23" s="36" t="str">
        <f>"A "&amp;B5&amp;"-year old "&amp;IF(B7=1,"married","unmarried")&amp;" driver"</f>
        <v>A 25-year old married driver</v>
      </c>
      <c r="D23" s="36"/>
      <c r="E23" s="36"/>
      <c r="F23" s="36"/>
      <c r="G23" s="36"/>
      <c r="H23" s="36"/>
      <c r="I23" s="37"/>
      <c r="L23" s="27" t="s">
        <v>179</v>
      </c>
      <c r="M23" s="11">
        <f>C13+C14*B6+C15*MOD(B7+1,2)</f>
        <v>9.3000000000000007</v>
      </c>
      <c r="R23" s="13"/>
      <c r="S23" s="13"/>
      <c r="T23" s="13"/>
      <c r="U23" s="13"/>
      <c r="V23" s="13"/>
      <c r="W23" s="13"/>
      <c r="Y23" s="13"/>
    </row>
    <row r="24" spans="1:25" ht="15" customHeight="1" x14ac:dyDescent="0.3">
      <c r="A24" s="45"/>
      <c r="B24" s="52" t="s">
        <v>180</v>
      </c>
      <c r="C24" s="36" t="str">
        <f>"A "&amp;B6&amp;"-year old "&amp;IF(B7=0,"married","unmarried")&amp;" driver"</f>
        <v>A 35-year old unmarried driver</v>
      </c>
      <c r="D24" s="36"/>
      <c r="E24" s="36"/>
      <c r="F24" s="36"/>
      <c r="G24" s="36"/>
      <c r="H24" s="36"/>
      <c r="I24" s="37"/>
      <c r="L24" t="s">
        <v>181</v>
      </c>
      <c r="R24" s="13"/>
      <c r="S24" s="13"/>
      <c r="T24" s="13"/>
      <c r="U24" s="13"/>
      <c r="V24" s="13"/>
      <c r="W24" s="13"/>
      <c r="Y24" s="13"/>
    </row>
    <row r="25" spans="1:25" ht="15" customHeight="1" thickBot="1" x14ac:dyDescent="0.4">
      <c r="A25" s="53"/>
      <c r="B25" s="54"/>
      <c r="C25" s="54"/>
      <c r="D25" s="54"/>
      <c r="E25" s="54"/>
      <c r="F25" s="54"/>
      <c r="G25" s="54"/>
      <c r="H25" s="54"/>
      <c r="I25" s="55"/>
      <c r="L25" s="26" t="s">
        <v>182</v>
      </c>
      <c r="M25" s="28">
        <f>EXP(M23)</f>
        <v>10938.019208165191</v>
      </c>
      <c r="O25" s="19" t="str">
        <f>"&lt;= This is the predicted average loss cost for a claim for the set of "&amp;IF(MOD(B7+1,2)=1,"married","unmarried")&amp; " "&amp; B6&amp;"-year old drivers"</f>
        <v>&lt;= This is the predicted average loss cost for a claim for the set of unmarried 35-year old drivers</v>
      </c>
      <c r="R25" s="13"/>
      <c r="S25" s="13"/>
      <c r="T25" s="13"/>
      <c r="U25" s="13"/>
      <c r="V25" s="13"/>
      <c r="W25" s="13"/>
      <c r="Y25" s="13"/>
    </row>
    <row r="26" spans="1:25" ht="15" customHeight="1" x14ac:dyDescent="0.3">
      <c r="R26" s="13"/>
      <c r="S26" s="13"/>
      <c r="T26" s="13"/>
      <c r="U26" s="13"/>
      <c r="V26" s="13"/>
      <c r="W26" s="13"/>
      <c r="Y26" s="13"/>
    </row>
    <row r="27" spans="1:25" ht="15" customHeight="1" x14ac:dyDescent="0.3">
      <c r="K27" t="s">
        <v>186</v>
      </c>
      <c r="R27" s="13"/>
      <c r="S27" s="13"/>
      <c r="T27" s="13"/>
      <c r="U27" s="13"/>
      <c r="V27" s="13"/>
      <c r="W27" s="13"/>
      <c r="Y27" s="13"/>
    </row>
    <row r="28" spans="1:25" ht="15" customHeight="1" x14ac:dyDescent="0.35">
      <c r="K28" t="s">
        <v>187</v>
      </c>
      <c r="N28" s="26" t="s">
        <v>182</v>
      </c>
      <c r="O28" t="str">
        <f>TEXT(EXP(C13),"#.#0")&amp;" * "&amp;TEXT(EXP(C14*B5),"#.##0")&amp;" * "&amp;TEXT(EXP(C15*MOD(B7,2)),"0.##0")</f>
        <v>330.30 * 12.182 * 0.861</v>
      </c>
      <c r="R28" s="13"/>
      <c r="S28" s="13"/>
      <c r="T28" s="13"/>
      <c r="U28" s="13"/>
      <c r="V28" s="13"/>
      <c r="W28" s="13"/>
      <c r="Y28" s="13"/>
    </row>
    <row r="29" spans="1:25" x14ac:dyDescent="0.3">
      <c r="R29" s="13"/>
      <c r="S29" s="13"/>
      <c r="T29" s="13"/>
      <c r="U29" s="13"/>
      <c r="V29" s="13"/>
      <c r="W29" s="13"/>
      <c r="Y29" s="13"/>
    </row>
    <row r="30" spans="1:25" x14ac:dyDescent="0.3">
      <c r="K30" t="s">
        <v>188</v>
      </c>
      <c r="R30" s="13"/>
      <c r="S30" s="13"/>
      <c r="T30" s="13"/>
      <c r="U30" s="13"/>
      <c r="V30" s="13"/>
      <c r="W30" s="13"/>
      <c r="Y30" s="13"/>
    </row>
    <row r="31" spans="1:25" x14ac:dyDescent="0.3">
      <c r="K31" t="str">
        <f>TEXT(EXP(C13),"#.#0")</f>
        <v>330.30</v>
      </c>
      <c r="L31" t="s">
        <v>189</v>
      </c>
      <c r="R31" s="13"/>
      <c r="S31" s="13"/>
      <c r="T31" s="13"/>
      <c r="U31" s="13"/>
      <c r="V31" s="13"/>
      <c r="W31" s="13"/>
      <c r="Y31" s="13"/>
    </row>
    <row r="32" spans="1:25" x14ac:dyDescent="0.3">
      <c r="K32" t="str">
        <f>TEXT(EXP(C14*B5),"#.##0")</f>
        <v>12.182</v>
      </c>
      <c r="L32" t="str">
        <f>"is the factor for a driver aged "&amp;B5</f>
        <v>is the factor for a driver aged 25</v>
      </c>
      <c r="R32" s="13"/>
      <c r="S32" s="13"/>
      <c r="T32" s="13"/>
      <c r="U32" s="13"/>
      <c r="V32" s="13"/>
      <c r="W32" s="13"/>
      <c r="Y32" s="13"/>
    </row>
    <row r="33" spans="1:25" x14ac:dyDescent="0.3">
      <c r="K33" t="str">
        <f>TEXT(EXP(C15*MOD(B7,2)),"0.##0")</f>
        <v>0.861</v>
      </c>
      <c r="L33" t="str">
        <f>"is the factor for a"&amp;IF(B7=1, " married", "n unmarried") &amp;" driver"</f>
        <v>is the factor for a married driver</v>
      </c>
      <c r="R33" s="13"/>
      <c r="S33" s="13"/>
      <c r="T33" s="13"/>
      <c r="U33" s="13"/>
      <c r="V33" s="13"/>
      <c r="W33" s="13"/>
      <c r="Y33" s="13"/>
    </row>
    <row r="34" spans="1:25" x14ac:dyDescent="0.3">
      <c r="R34" s="13"/>
      <c r="S34" s="13"/>
      <c r="T34" s="13"/>
      <c r="U34" s="13"/>
      <c r="V34" s="13"/>
      <c r="W34" s="13"/>
      <c r="Y34" s="13"/>
    </row>
    <row r="35" spans="1:25" x14ac:dyDescent="0.3">
      <c r="K35" t="s">
        <v>190</v>
      </c>
      <c r="R35" s="13"/>
      <c r="S35" s="13"/>
      <c r="T35" s="13"/>
      <c r="U35" s="13"/>
      <c r="V35" s="13"/>
      <c r="W35" s="13"/>
      <c r="Y35" s="13"/>
    </row>
    <row r="36" spans="1:25" x14ac:dyDescent="0.3">
      <c r="K36" t="str">
        <f>"a.) i.) The severity distribution for the set of "&amp;IF(B7=1,"married","unmarried")&amp;" "&amp;B5&amp;"-year old drivers follows a Gamma distribution with μ = "&amp;TEXT(ROUND(M20,2),"#,###.#0")&amp;" and φ = "&amp;C16</f>
        <v>a.) i.) The severity distribution for the set of married 25-year old drivers follows a Gamma distribution with μ = 3,463.38 and φ = 0.3</v>
      </c>
      <c r="R36" s="13"/>
      <c r="S36" s="13"/>
      <c r="T36" s="13"/>
      <c r="U36" s="13"/>
      <c r="V36" s="13"/>
      <c r="W36" s="13"/>
      <c r="Y36" s="13"/>
    </row>
    <row r="37" spans="1:25" x14ac:dyDescent="0.3">
      <c r="K37" t="str">
        <f>"a.) ii.) The severity distribution for the set of "&amp;IF(MOD(B7+1,2)=1,"married","unmarried")&amp;" "&amp;B6&amp;"-year old drivers follows a Gamma distribution with μ = "&amp;TEXT(ROUND(M25,2),"#,###.#0")&amp;" and φ = "&amp;C16</f>
        <v>a.) ii.) The severity distribution for the set of unmarried 35-year old drivers follows a Gamma distribution with μ = 10,938.02 and φ = 0.3</v>
      </c>
      <c r="R37" s="13"/>
      <c r="S37" s="13"/>
      <c r="T37" s="13"/>
      <c r="U37" s="13"/>
      <c r="V37" s="13"/>
      <c r="W37" s="13"/>
      <c r="Y37" s="13"/>
    </row>
    <row r="38" spans="1:25" x14ac:dyDescent="0.3">
      <c r="R38" s="13"/>
      <c r="S38" s="13"/>
      <c r="T38" s="13"/>
      <c r="U38" s="13"/>
      <c r="V38" s="13"/>
      <c r="W38" s="13"/>
      <c r="Y38" s="13"/>
    </row>
    <row r="39" spans="1:25" x14ac:dyDescent="0.3">
      <c r="A39" s="13"/>
      <c r="B39" s="13"/>
      <c r="K39" t="str">
        <f>"Notice in both cases we have φ = "&amp;C16&amp;". This is because φ is assumed to be constant across the entire data set."</f>
        <v>Notice in both cases we have φ = 0.3. This is because φ is assumed to be constant across the entire data set.</v>
      </c>
      <c r="Y39" s="13"/>
    </row>
    <row r="40" spans="1:25" x14ac:dyDescent="0.3">
      <c r="Y40" s="13"/>
    </row>
    <row r="41" spans="1:25" x14ac:dyDescent="0.3">
      <c r="K41" t="s">
        <v>191</v>
      </c>
      <c r="R41" s="13"/>
      <c r="S41" s="13"/>
      <c r="T41" s="13"/>
      <c r="U41" s="13"/>
      <c r="V41" s="13"/>
      <c r="W41" s="13"/>
      <c r="Y41" s="13"/>
    </row>
    <row r="42" spans="1:25" ht="16.2" x14ac:dyDescent="0.3">
      <c r="K42" t="s">
        <v>192</v>
      </c>
      <c r="R42" s="13"/>
      <c r="S42" s="13"/>
      <c r="T42" s="13"/>
      <c r="U42" s="13"/>
      <c r="V42" s="13"/>
      <c r="W42" s="13"/>
      <c r="Y42" s="13"/>
    </row>
    <row r="43" spans="1:25" x14ac:dyDescent="0.3">
      <c r="R43" s="13"/>
      <c r="S43" s="13"/>
      <c r="T43" s="13"/>
      <c r="U43" s="13"/>
      <c r="V43" s="13"/>
      <c r="W43" s="13"/>
      <c r="Y43" s="13"/>
    </row>
    <row r="44" spans="1:25" x14ac:dyDescent="0.3">
      <c r="K44" t="s">
        <v>193</v>
      </c>
      <c r="L44" s="26"/>
      <c r="M44" t="str">
        <f>TEXT(C16,"0.#")&amp;" * " &amp;TEXT(M20,"#,###.#0")&amp;" ^2     ="</f>
        <v>0.3 * 3,463.38 ^2     =</v>
      </c>
      <c r="O44" s="29" t="str">
        <f>TEXT(ROUND(C16*M20^2,2),"#,###.#0")</f>
        <v>3,598,498.37</v>
      </c>
      <c r="P44" s="29"/>
      <c r="R44" s="13"/>
      <c r="S44" s="13"/>
      <c r="T44" s="13"/>
      <c r="U44" s="13"/>
      <c r="V44" s="13"/>
      <c r="W44" s="13"/>
      <c r="Y44" s="13"/>
    </row>
    <row r="45" spans="1:25" x14ac:dyDescent="0.3">
      <c r="K45" t="s">
        <v>194</v>
      </c>
      <c r="M45" t="str">
        <f>TEXT(C16,"0.#")&amp;" * " &amp;TEXT(M25,"#,###.#0")&amp;" ^2   ="</f>
        <v>0.3 * 10,938.02 ^2   =</v>
      </c>
      <c r="O45" s="29" t="str">
        <f>TEXT(ROUND(C16*M25^2,2),"#,###.#0")</f>
        <v>35,892,079.26</v>
      </c>
      <c r="P45" s="29"/>
      <c r="R45" s="13"/>
      <c r="S45" s="13"/>
      <c r="T45" s="13"/>
      <c r="U45" s="13"/>
      <c r="V45" s="13"/>
      <c r="W45" s="13"/>
      <c r="Y45" s="13"/>
    </row>
    <row r="46" spans="1:25" x14ac:dyDescent="0.3">
      <c r="R46" s="13"/>
      <c r="S46" s="13"/>
      <c r="T46" s="13"/>
      <c r="U46" s="13"/>
      <c r="V46" s="13"/>
      <c r="W46" s="13"/>
      <c r="Y46" s="13"/>
    </row>
    <row r="47" spans="1:25" ht="15.6" x14ac:dyDescent="0.35">
      <c r="K47" t="s">
        <v>195</v>
      </c>
      <c r="R47" s="13"/>
      <c r="S47" s="13"/>
      <c r="T47" s="13"/>
      <c r="U47" s="13"/>
      <c r="V47" s="13"/>
      <c r="W47" s="13"/>
      <c r="Y47" s="13"/>
    </row>
    <row r="48" spans="1:25" x14ac:dyDescent="0.3">
      <c r="R48" s="13"/>
      <c r="S48" s="13"/>
      <c r="T48" s="13"/>
      <c r="U48" s="13"/>
      <c r="V48" s="13"/>
      <c r="W48" s="13"/>
      <c r="Y48" s="13"/>
    </row>
    <row r="49" spans="25:25" x14ac:dyDescent="0.3">
      <c r="Y49" s="13"/>
    </row>
  </sheetData>
  <mergeCells count="1">
    <mergeCell ref="H1:I1"/>
  </mergeCells>
  <hyperlinks>
    <hyperlink ref="H1" location="TOC!A1" display="Return to TOC" xr:uid="{C24D3F22-9F7C-49C1-8D26-ABBCFBF31D55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4B41-C466-4193-87DF-8707D9FC1287}">
  <sheetPr codeName="Sheet63"/>
  <dimension ref="A1:V18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23.33203125" bestFit="1" customWidth="1"/>
    <col min="5" max="5" width="21.109375" bestFit="1" customWidth="1"/>
    <col min="6" max="6" width="9.33203125" customWidth="1"/>
    <col min="7" max="7" width="2.6640625" customWidth="1"/>
    <col min="8" max="8" width="4.6640625" customWidth="1"/>
    <col min="9" max="9" width="13.109375" customWidth="1"/>
    <col min="10" max="10" width="15.6640625" customWidth="1"/>
    <col min="11" max="11" width="13.6640625" bestFit="1" customWidth="1"/>
    <col min="12" max="12" width="12.6640625" bestFit="1" customWidth="1"/>
    <col min="13" max="13" width="13.44140625" bestFit="1" customWidth="1"/>
    <col min="14" max="14" width="9.6640625" customWidth="1"/>
    <col min="15" max="16" width="9.109375" customWidth="1"/>
    <col min="18" max="18" width="9.109375" customWidth="1"/>
    <col min="20" max="20" width="7.6640625" customWidth="1"/>
  </cols>
  <sheetData>
    <row r="1" spans="1:22" x14ac:dyDescent="0.3">
      <c r="A1" s="32" t="s">
        <v>137</v>
      </c>
      <c r="B1" s="33"/>
      <c r="C1" s="33" t="s">
        <v>127</v>
      </c>
      <c r="D1" s="34"/>
      <c r="E1" s="772" t="s">
        <v>199</v>
      </c>
      <c r="F1" s="773"/>
      <c r="G1" s="10"/>
      <c r="H1" s="12" t="s">
        <v>140</v>
      </c>
      <c r="U1" s="10"/>
    </row>
    <row r="2" spans="1:22" x14ac:dyDescent="0.3">
      <c r="A2" s="35" t="s">
        <v>138</v>
      </c>
      <c r="B2" s="36"/>
      <c r="C2" s="36" t="s">
        <v>267</v>
      </c>
      <c r="D2" s="36"/>
      <c r="E2" s="36"/>
      <c r="F2" s="37"/>
      <c r="G2" s="10"/>
      <c r="H2" t="s">
        <v>244</v>
      </c>
      <c r="I2" t="s">
        <v>838</v>
      </c>
      <c r="U2" s="10"/>
    </row>
    <row r="3" spans="1:22" x14ac:dyDescent="0.3">
      <c r="A3" s="35" t="s">
        <v>141</v>
      </c>
      <c r="B3" s="36"/>
      <c r="C3" s="36" t="s">
        <v>837</v>
      </c>
      <c r="D3" s="36"/>
      <c r="E3" s="36"/>
      <c r="F3" s="37"/>
      <c r="G3" s="10"/>
      <c r="U3" s="10"/>
    </row>
    <row r="4" spans="1:22" x14ac:dyDescent="0.3">
      <c r="A4" s="38"/>
      <c r="B4" s="39"/>
      <c r="C4" s="39"/>
      <c r="D4" s="39"/>
      <c r="E4" s="39"/>
      <c r="F4" s="40"/>
      <c r="G4" s="14"/>
      <c r="I4" t="s">
        <v>840</v>
      </c>
      <c r="R4" s="13"/>
      <c r="S4" s="13"/>
      <c r="U4" s="14"/>
      <c r="V4" s="13"/>
    </row>
    <row r="5" spans="1:22" ht="15" customHeight="1" x14ac:dyDescent="0.3">
      <c r="A5" s="41" t="s">
        <v>144</v>
      </c>
      <c r="B5" s="36"/>
      <c r="C5" s="36" t="s">
        <v>839</v>
      </c>
      <c r="D5" s="36"/>
      <c r="E5" s="36"/>
      <c r="F5" s="37"/>
      <c r="G5" s="14"/>
      <c r="I5" t="str">
        <f>"So the excess ratio is k = ("&amp;TEXT(D18,"$0,0")&amp;" - " &amp;TEXT(E18,"$0,0")&amp;") / "&amp;TEXT(D18,"$0,0") &amp; " = "&amp;I6</f>
        <v>So the excess ratio is k = ($100,000 - $92,000) / $100,000 = 0.08</v>
      </c>
      <c r="R5" s="13"/>
      <c r="S5" s="13"/>
      <c r="T5" s="13"/>
      <c r="U5" s="14"/>
      <c r="V5" s="13"/>
    </row>
    <row r="6" spans="1:22" x14ac:dyDescent="0.3">
      <c r="A6" s="45"/>
      <c r="B6" s="36"/>
      <c r="C6" s="418"/>
      <c r="D6" s="419" t="s">
        <v>301</v>
      </c>
      <c r="E6" s="420"/>
      <c r="F6" s="37"/>
      <c r="G6" s="14"/>
      <c r="I6" s="413">
        <f>ROUND((D18-E18)/D18,2)</f>
        <v>0.08</v>
      </c>
      <c r="R6" s="13"/>
      <c r="S6" s="13"/>
      <c r="T6" s="13"/>
      <c r="U6" s="14"/>
      <c r="V6" s="13"/>
    </row>
    <row r="7" spans="1:22" ht="15" customHeight="1" x14ac:dyDescent="0.3">
      <c r="A7" s="45"/>
      <c r="B7" s="36"/>
      <c r="C7" s="22" t="s">
        <v>323</v>
      </c>
      <c r="D7" s="82" t="s">
        <v>841</v>
      </c>
      <c r="E7" s="185" t="s">
        <v>842</v>
      </c>
      <c r="F7" s="37"/>
      <c r="G7" s="14"/>
      <c r="H7" t="s">
        <v>252</v>
      </c>
      <c r="I7" t="s">
        <v>843</v>
      </c>
      <c r="R7" s="13"/>
      <c r="S7" s="13"/>
      <c r="T7" s="13"/>
      <c r="U7" s="14"/>
      <c r="V7" s="13"/>
    </row>
    <row r="8" spans="1:22" ht="15" customHeight="1" x14ac:dyDescent="0.3">
      <c r="A8" s="41"/>
      <c r="B8" s="39"/>
      <c r="C8" s="17">
        <v>1</v>
      </c>
      <c r="D8" s="414">
        <v>20000</v>
      </c>
      <c r="E8" s="145">
        <v>20000</v>
      </c>
      <c r="F8" s="37"/>
      <c r="G8" s="14"/>
      <c r="R8" s="13"/>
      <c r="S8" s="13"/>
      <c r="T8" s="13"/>
      <c r="U8" s="14"/>
      <c r="V8" s="13"/>
    </row>
    <row r="9" spans="1:22" x14ac:dyDescent="0.3">
      <c r="A9" s="41"/>
      <c r="B9" s="39"/>
      <c r="C9" s="20">
        <f>C8+1</f>
        <v>2</v>
      </c>
      <c r="D9" s="415">
        <v>50000</v>
      </c>
      <c r="E9" s="146">
        <v>50000</v>
      </c>
      <c r="F9" s="37"/>
      <c r="G9" s="14"/>
      <c r="I9" t="s">
        <v>844</v>
      </c>
      <c r="R9" s="13"/>
      <c r="S9" s="13"/>
      <c r="T9" s="13"/>
      <c r="U9" s="14"/>
      <c r="V9" s="13"/>
    </row>
    <row r="10" spans="1:22" x14ac:dyDescent="0.3">
      <c r="A10" s="38"/>
      <c r="B10" s="39"/>
      <c r="C10" s="20">
        <f t="shared" ref="C10:C17" si="0">C9+1</f>
        <v>3</v>
      </c>
      <c r="D10" s="415">
        <v>60000</v>
      </c>
      <c r="E10" s="146">
        <v>60000</v>
      </c>
      <c r="F10" s="37"/>
      <c r="G10" s="14"/>
      <c r="R10" s="13"/>
      <c r="S10" s="13"/>
      <c r="T10" s="13"/>
      <c r="U10" s="14"/>
      <c r="V10" s="13"/>
    </row>
    <row r="11" spans="1:22" x14ac:dyDescent="0.3">
      <c r="A11" s="38"/>
      <c r="B11" s="39"/>
      <c r="C11" s="20">
        <f t="shared" si="0"/>
        <v>4</v>
      </c>
      <c r="D11" s="415">
        <v>70000</v>
      </c>
      <c r="E11" s="146">
        <v>70000</v>
      </c>
      <c r="F11" s="37"/>
      <c r="G11" s="14"/>
      <c r="R11" s="13"/>
      <c r="S11" s="13"/>
      <c r="T11" s="13"/>
      <c r="U11" s="14"/>
      <c r="V11" s="13"/>
    </row>
    <row r="12" spans="1:22" x14ac:dyDescent="0.3">
      <c r="A12" s="38"/>
      <c r="B12" s="39"/>
      <c r="C12" s="20">
        <f t="shared" si="0"/>
        <v>5</v>
      </c>
      <c r="D12" s="415">
        <v>80000</v>
      </c>
      <c r="E12" s="146">
        <v>80000</v>
      </c>
      <c r="F12" s="37"/>
      <c r="G12" s="14"/>
      <c r="I12" s="203"/>
      <c r="J12" s="269" t="s">
        <v>845</v>
      </c>
      <c r="K12" s="269" t="s">
        <v>846</v>
      </c>
      <c r="L12" s="158" t="s">
        <v>847</v>
      </c>
      <c r="R12" s="13"/>
      <c r="S12" s="13"/>
      <c r="T12" s="13"/>
      <c r="U12" s="14"/>
      <c r="V12" s="13"/>
    </row>
    <row r="13" spans="1:22" x14ac:dyDescent="0.3">
      <c r="A13" s="38"/>
      <c r="B13" s="39"/>
      <c r="C13" s="20">
        <f t="shared" si="0"/>
        <v>6</v>
      </c>
      <c r="D13" s="415">
        <v>80000</v>
      </c>
      <c r="E13" s="146">
        <v>80000</v>
      </c>
      <c r="F13" s="37"/>
      <c r="G13" s="14"/>
      <c r="I13" s="65" t="s">
        <v>323</v>
      </c>
      <c r="J13" s="110" t="s">
        <v>848</v>
      </c>
      <c r="K13" s="110" t="s">
        <v>848</v>
      </c>
      <c r="L13" s="102" t="s">
        <v>849</v>
      </c>
      <c r="R13" s="13"/>
      <c r="S13" s="13"/>
      <c r="T13" s="13"/>
      <c r="U13" s="14"/>
      <c r="V13" s="13"/>
    </row>
    <row r="14" spans="1:22" x14ac:dyDescent="0.3">
      <c r="A14" s="38"/>
      <c r="B14" s="39"/>
      <c r="C14" s="20">
        <f t="shared" si="0"/>
        <v>7</v>
      </c>
      <c r="D14" s="415">
        <v>90000</v>
      </c>
      <c r="E14" s="146">
        <v>90000</v>
      </c>
      <c r="F14" s="37"/>
      <c r="G14" s="14"/>
      <c r="I14" s="61">
        <v>1</v>
      </c>
      <c r="J14" s="14">
        <f t="shared" ref="J14:J23" si="1">D8</f>
        <v>20000</v>
      </c>
      <c r="K14" s="14">
        <f t="shared" ref="K14:K23" si="2">E8</f>
        <v>20000</v>
      </c>
      <c r="L14" s="421">
        <f>K14/$D$18</f>
        <v>0.2</v>
      </c>
      <c r="R14" s="13"/>
      <c r="S14" s="13"/>
      <c r="T14" s="13"/>
      <c r="U14" s="14"/>
      <c r="V14" s="13"/>
    </row>
    <row r="15" spans="1:22" x14ac:dyDescent="0.3">
      <c r="A15" s="45"/>
      <c r="B15" s="36"/>
      <c r="C15" s="20">
        <f t="shared" si="0"/>
        <v>8</v>
      </c>
      <c r="D15" s="415">
        <v>100000</v>
      </c>
      <c r="E15" s="146">
        <v>100000</v>
      </c>
      <c r="F15" s="37"/>
      <c r="G15" s="14"/>
      <c r="I15" s="61">
        <f t="shared" ref="I15:I23" si="3">I14+1</f>
        <v>2</v>
      </c>
      <c r="J15" s="14">
        <f t="shared" si="1"/>
        <v>50000</v>
      </c>
      <c r="K15" s="14">
        <f t="shared" si="2"/>
        <v>50000</v>
      </c>
      <c r="L15" s="421">
        <f t="shared" ref="L15:L23" si="4">K15/$D$18</f>
        <v>0.5</v>
      </c>
      <c r="R15" s="13"/>
      <c r="S15" s="13"/>
      <c r="T15" s="13"/>
      <c r="U15" s="14"/>
      <c r="V15" s="13"/>
    </row>
    <row r="16" spans="1:22" x14ac:dyDescent="0.3">
      <c r="A16" s="45"/>
      <c r="B16" s="36"/>
      <c r="C16" s="20">
        <f t="shared" si="0"/>
        <v>9</v>
      </c>
      <c r="D16" s="415">
        <v>150000</v>
      </c>
      <c r="E16" s="146">
        <v>120000</v>
      </c>
      <c r="F16" s="37"/>
      <c r="G16" s="14"/>
      <c r="I16" s="61">
        <f t="shared" si="3"/>
        <v>3</v>
      </c>
      <c r="J16" s="14">
        <f t="shared" si="1"/>
        <v>60000</v>
      </c>
      <c r="K16" s="14">
        <f t="shared" si="2"/>
        <v>60000</v>
      </c>
      <c r="L16" s="421">
        <f t="shared" si="4"/>
        <v>0.6</v>
      </c>
      <c r="R16" s="13"/>
      <c r="S16" s="13"/>
      <c r="T16" s="13"/>
      <c r="U16" s="14"/>
      <c r="V16" s="13"/>
    </row>
    <row r="17" spans="1:22" x14ac:dyDescent="0.3">
      <c r="A17" s="45"/>
      <c r="B17" s="36"/>
      <c r="C17" s="20">
        <f t="shared" si="0"/>
        <v>10</v>
      </c>
      <c r="D17" s="415">
        <v>300000</v>
      </c>
      <c r="E17" s="146">
        <v>250000</v>
      </c>
      <c r="F17" s="37"/>
      <c r="G17" s="14"/>
      <c r="I17" s="61">
        <f t="shared" si="3"/>
        <v>4</v>
      </c>
      <c r="J17" s="14">
        <f t="shared" si="1"/>
        <v>70000</v>
      </c>
      <c r="K17" s="14">
        <f t="shared" si="2"/>
        <v>70000</v>
      </c>
      <c r="L17" s="421">
        <f t="shared" si="4"/>
        <v>0.7</v>
      </c>
      <c r="R17" s="13"/>
      <c r="S17" s="13"/>
      <c r="T17" s="13"/>
      <c r="U17" s="14"/>
      <c r="V17" s="13"/>
    </row>
    <row r="18" spans="1:22" x14ac:dyDescent="0.3">
      <c r="A18" s="45"/>
      <c r="B18" s="36"/>
      <c r="C18" s="48" t="s">
        <v>694</v>
      </c>
      <c r="D18" s="416">
        <f>AVERAGE(D8:D17)</f>
        <v>100000</v>
      </c>
      <c r="E18" s="417">
        <f>AVERAGE(E8:E17)</f>
        <v>92000</v>
      </c>
      <c r="F18" s="37"/>
      <c r="G18" s="14"/>
      <c r="I18" s="61">
        <f t="shared" si="3"/>
        <v>5</v>
      </c>
      <c r="J18" s="14">
        <f t="shared" si="1"/>
        <v>80000</v>
      </c>
      <c r="K18" s="14">
        <f t="shared" si="2"/>
        <v>80000</v>
      </c>
      <c r="L18" s="421">
        <f t="shared" si="4"/>
        <v>0.8</v>
      </c>
      <c r="R18" s="13"/>
      <c r="S18" s="13"/>
      <c r="T18" s="13"/>
      <c r="U18" s="14"/>
      <c r="V18" s="13"/>
    </row>
    <row r="19" spans="1:22" ht="15" customHeight="1" x14ac:dyDescent="0.3">
      <c r="A19" s="45"/>
      <c r="B19" s="36"/>
      <c r="C19" s="36"/>
      <c r="D19" s="36"/>
      <c r="E19" s="36"/>
      <c r="F19" s="37"/>
      <c r="G19" s="14"/>
      <c r="I19" s="61">
        <f t="shared" si="3"/>
        <v>6</v>
      </c>
      <c r="J19" s="14">
        <f t="shared" si="1"/>
        <v>80000</v>
      </c>
      <c r="K19" s="14">
        <f t="shared" si="2"/>
        <v>80000</v>
      </c>
      <c r="L19" s="421">
        <f t="shared" si="4"/>
        <v>0.8</v>
      </c>
      <c r="R19" s="13"/>
      <c r="S19" s="13"/>
      <c r="T19" s="13"/>
      <c r="U19" s="14"/>
      <c r="V19" s="13"/>
    </row>
    <row r="20" spans="1:22" x14ac:dyDescent="0.3">
      <c r="A20" s="35" t="s">
        <v>173</v>
      </c>
      <c r="B20" s="36"/>
      <c r="C20" s="36" t="s">
        <v>850</v>
      </c>
      <c r="D20" s="36"/>
      <c r="E20" s="36"/>
      <c r="F20" s="37"/>
      <c r="G20" s="14"/>
      <c r="I20" s="61">
        <f t="shared" si="3"/>
        <v>7</v>
      </c>
      <c r="J20" s="14">
        <f t="shared" si="1"/>
        <v>90000</v>
      </c>
      <c r="K20" s="14">
        <f t="shared" si="2"/>
        <v>90000</v>
      </c>
      <c r="L20" s="421">
        <f t="shared" si="4"/>
        <v>0.9</v>
      </c>
      <c r="R20" s="13"/>
      <c r="S20" s="13"/>
      <c r="T20" s="13"/>
      <c r="U20" s="14"/>
      <c r="V20" s="13"/>
    </row>
    <row r="21" spans="1:22" ht="15" thickBot="1" x14ac:dyDescent="0.35">
      <c r="A21" s="53"/>
      <c r="B21" s="54"/>
      <c r="C21" s="54"/>
      <c r="D21" s="54"/>
      <c r="E21" s="54"/>
      <c r="F21" s="55"/>
      <c r="G21" s="14"/>
      <c r="I21" s="61">
        <f t="shared" si="3"/>
        <v>8</v>
      </c>
      <c r="J21" s="14">
        <f t="shared" si="1"/>
        <v>100000</v>
      </c>
      <c r="K21" s="14">
        <f t="shared" si="2"/>
        <v>100000</v>
      </c>
      <c r="L21" s="421">
        <f t="shared" si="4"/>
        <v>1</v>
      </c>
      <c r="O21" s="13"/>
      <c r="P21" s="13"/>
      <c r="Q21" s="13"/>
      <c r="R21" s="13"/>
      <c r="S21" s="13"/>
      <c r="T21" s="13"/>
      <c r="U21" s="14"/>
      <c r="V21" s="13"/>
    </row>
    <row r="22" spans="1:22" x14ac:dyDescent="0.3">
      <c r="G22" s="14"/>
      <c r="I22" s="61">
        <f t="shared" si="3"/>
        <v>9</v>
      </c>
      <c r="J22" s="14">
        <f t="shared" si="1"/>
        <v>150000</v>
      </c>
      <c r="K22" s="14">
        <f t="shared" si="2"/>
        <v>120000</v>
      </c>
      <c r="L22" s="421">
        <f t="shared" si="4"/>
        <v>1.2</v>
      </c>
      <c r="O22" s="13"/>
      <c r="P22" s="13"/>
      <c r="Q22" s="13"/>
      <c r="R22" s="13"/>
      <c r="S22" s="13"/>
      <c r="T22" s="13"/>
      <c r="U22" s="14"/>
      <c r="V22" s="13"/>
    </row>
    <row r="23" spans="1:22" ht="15" customHeight="1" x14ac:dyDescent="0.3">
      <c r="G23" s="14"/>
      <c r="I23" s="65">
        <f t="shared" si="3"/>
        <v>10</v>
      </c>
      <c r="J23" s="240">
        <f t="shared" si="1"/>
        <v>300000</v>
      </c>
      <c r="K23" s="240">
        <f t="shared" si="2"/>
        <v>250000</v>
      </c>
      <c r="L23" s="422">
        <f t="shared" si="4"/>
        <v>2.5</v>
      </c>
      <c r="O23" s="13"/>
      <c r="P23" s="13"/>
      <c r="Q23" s="13"/>
      <c r="R23" s="13"/>
      <c r="S23" s="13"/>
      <c r="T23" s="13"/>
      <c r="U23" s="14"/>
      <c r="V23" s="13"/>
    </row>
    <row r="24" spans="1:22" ht="15" customHeight="1" x14ac:dyDescent="0.3">
      <c r="G24" s="14"/>
      <c r="O24" s="13"/>
      <c r="P24" s="13"/>
      <c r="Q24" s="13"/>
      <c r="R24" s="13"/>
      <c r="S24" s="13"/>
      <c r="T24" s="13"/>
      <c r="U24" s="14"/>
      <c r="V24" s="13"/>
    </row>
    <row r="25" spans="1:22" ht="15" customHeight="1" x14ac:dyDescent="0.3">
      <c r="G25" s="14"/>
      <c r="H25" t="s">
        <v>754</v>
      </c>
      <c r="I25" t="s">
        <v>851</v>
      </c>
      <c r="O25" s="13"/>
      <c r="P25" s="13"/>
      <c r="Q25" s="13"/>
      <c r="R25" s="13"/>
      <c r="S25" s="13"/>
      <c r="T25" s="13"/>
      <c r="U25" s="14"/>
      <c r="V25" s="13"/>
    </row>
    <row r="26" spans="1:22" ht="15" customHeight="1" x14ac:dyDescent="0.3">
      <c r="G26" s="14"/>
      <c r="I26" s="253" t="s">
        <v>852</v>
      </c>
      <c r="J26" s="211" t="s">
        <v>786</v>
      </c>
      <c r="K26" s="211" t="s">
        <v>787</v>
      </c>
      <c r="L26" s="254" t="s">
        <v>788</v>
      </c>
      <c r="M26" s="211" t="s">
        <v>789</v>
      </c>
      <c r="N26" s="239"/>
      <c r="O26" s="423"/>
      <c r="P26" s="13"/>
      <c r="Q26" s="13"/>
      <c r="R26" s="13"/>
      <c r="S26" s="13"/>
      <c r="T26" s="13"/>
      <c r="U26" s="14"/>
      <c r="V26" s="13"/>
    </row>
    <row r="27" spans="1:22" x14ac:dyDescent="0.3">
      <c r="G27" s="14"/>
      <c r="I27" s="260">
        <v>0</v>
      </c>
      <c r="J27" s="10">
        <f t="shared" ref="J27:J36" si="5">COUNTIF($L$14:$L$23,I27)</f>
        <v>0</v>
      </c>
      <c r="K27" s="424">
        <f>COUNT($L$14:$L$23)-SUM(J27:$J$27)</f>
        <v>10</v>
      </c>
      <c r="L27" s="175">
        <f t="shared" ref="L27:L36" si="6">K27/COUNT($L$14:$L$23)</f>
        <v>1</v>
      </c>
      <c r="M27" s="425">
        <f t="shared" ref="M27:M34" si="7">I28-I27</f>
        <v>0.2</v>
      </c>
      <c r="N27" s="425">
        <f t="shared" ref="N27:N34" si="8">N28+M27*L27</f>
        <v>0.91999999999999993</v>
      </c>
      <c r="O27" s="426">
        <f t="shared" ref="O27:O36" si="9">N27+$I$6</f>
        <v>0.99999999999999989</v>
      </c>
      <c r="P27" s="13"/>
      <c r="Q27" s="13"/>
      <c r="R27" s="13"/>
      <c r="S27" s="13"/>
      <c r="T27" s="13"/>
      <c r="U27" s="14"/>
      <c r="V27" s="13"/>
    </row>
    <row r="28" spans="1:22" ht="15" customHeight="1" x14ac:dyDescent="0.3">
      <c r="G28" s="14"/>
      <c r="I28" s="260">
        <f>MIN(L14:L23)</f>
        <v>0.2</v>
      </c>
      <c r="J28" s="10">
        <f t="shared" si="5"/>
        <v>1</v>
      </c>
      <c r="K28" s="424">
        <f>COUNT($L$14:$L$23)-SUM(J$27:$J28)</f>
        <v>9</v>
      </c>
      <c r="L28" s="175">
        <f t="shared" si="6"/>
        <v>0.9</v>
      </c>
      <c r="M28" s="425">
        <f t="shared" si="7"/>
        <v>0.3</v>
      </c>
      <c r="N28" s="425">
        <f t="shared" si="8"/>
        <v>0.72</v>
      </c>
      <c r="O28" s="426">
        <f t="shared" si="9"/>
        <v>0.79999999999999993</v>
      </c>
      <c r="P28" s="13"/>
      <c r="Q28" s="13"/>
      <c r="R28" s="13"/>
      <c r="S28" s="13"/>
      <c r="T28" s="13"/>
      <c r="U28" s="14"/>
      <c r="V28" s="13"/>
    </row>
    <row r="29" spans="1:22" x14ac:dyDescent="0.3">
      <c r="G29" s="14"/>
      <c r="I29" s="260">
        <f t="shared" ref="I29:I36" si="10">INDEX($L$14:$L$23,MATCH(I28,$L$14:$L$23,1)+1)</f>
        <v>0.5</v>
      </c>
      <c r="J29" s="10">
        <f t="shared" si="5"/>
        <v>1</v>
      </c>
      <c r="K29" s="424">
        <f>COUNT($L$14:$L$23)-SUM(J$27:$J29)</f>
        <v>8</v>
      </c>
      <c r="L29" s="175">
        <f t="shared" si="6"/>
        <v>0.8</v>
      </c>
      <c r="M29" s="425">
        <f t="shared" si="7"/>
        <v>9.9999999999999978E-2</v>
      </c>
      <c r="N29" s="425">
        <f t="shared" si="8"/>
        <v>0.44999999999999996</v>
      </c>
      <c r="O29" s="426">
        <f t="shared" si="9"/>
        <v>0.52999999999999992</v>
      </c>
      <c r="P29" s="13"/>
      <c r="Q29" s="13"/>
      <c r="R29" s="13"/>
      <c r="S29" s="13"/>
      <c r="T29" s="13"/>
      <c r="U29" s="14"/>
      <c r="V29" s="13"/>
    </row>
    <row r="30" spans="1:22" x14ac:dyDescent="0.3">
      <c r="G30" s="14"/>
      <c r="I30" s="260">
        <f t="shared" si="10"/>
        <v>0.6</v>
      </c>
      <c r="J30" s="10">
        <f t="shared" si="5"/>
        <v>1</v>
      </c>
      <c r="K30" s="424">
        <f>COUNT($L$14:$L$23)-SUM(J$27:$J30)</f>
        <v>7</v>
      </c>
      <c r="L30" s="175">
        <f t="shared" si="6"/>
        <v>0.7</v>
      </c>
      <c r="M30" s="425">
        <f t="shared" si="7"/>
        <v>9.9999999999999978E-2</v>
      </c>
      <c r="N30" s="425">
        <f t="shared" si="8"/>
        <v>0.37</v>
      </c>
      <c r="O30" s="426">
        <f t="shared" si="9"/>
        <v>0.45</v>
      </c>
      <c r="P30" s="13"/>
      <c r="Q30" s="13"/>
      <c r="R30" s="13"/>
      <c r="S30" s="13"/>
      <c r="T30" s="13"/>
      <c r="U30" s="14"/>
      <c r="V30" s="13"/>
    </row>
    <row r="31" spans="1:22" x14ac:dyDescent="0.3">
      <c r="G31" s="14"/>
      <c r="I31" s="260">
        <f t="shared" si="10"/>
        <v>0.7</v>
      </c>
      <c r="J31" s="10">
        <f t="shared" si="5"/>
        <v>1</v>
      </c>
      <c r="K31" s="424">
        <f>COUNT($L$14:$L$23)-SUM(J$27:$J31)</f>
        <v>6</v>
      </c>
      <c r="L31" s="175">
        <f t="shared" si="6"/>
        <v>0.6</v>
      </c>
      <c r="M31" s="425">
        <f t="shared" si="7"/>
        <v>0.10000000000000009</v>
      </c>
      <c r="N31" s="425">
        <f t="shared" si="8"/>
        <v>0.30000000000000004</v>
      </c>
      <c r="O31" s="426">
        <f t="shared" si="9"/>
        <v>0.38000000000000006</v>
      </c>
      <c r="P31" s="13"/>
      <c r="Q31" s="13"/>
      <c r="R31" s="13"/>
      <c r="S31" s="13"/>
      <c r="T31" s="13"/>
      <c r="U31" s="14"/>
      <c r="V31" s="13"/>
    </row>
    <row r="32" spans="1:22" x14ac:dyDescent="0.3">
      <c r="G32" s="14"/>
      <c r="I32" s="260">
        <f t="shared" si="10"/>
        <v>0.8</v>
      </c>
      <c r="J32" s="10">
        <f t="shared" si="5"/>
        <v>2</v>
      </c>
      <c r="K32" s="424">
        <f>COUNT($L$14:$L$23)-SUM(J$27:$J32)</f>
        <v>4</v>
      </c>
      <c r="L32" s="175">
        <f t="shared" si="6"/>
        <v>0.4</v>
      </c>
      <c r="M32" s="425">
        <f t="shared" si="7"/>
        <v>9.9999999999999978E-2</v>
      </c>
      <c r="N32" s="425">
        <f t="shared" si="8"/>
        <v>0.24</v>
      </c>
      <c r="O32" s="426">
        <f t="shared" si="9"/>
        <v>0.32</v>
      </c>
      <c r="P32" s="13"/>
      <c r="Q32" s="13"/>
      <c r="R32" s="13"/>
      <c r="S32" s="13"/>
      <c r="T32" s="13"/>
      <c r="U32" s="14"/>
      <c r="V32" s="13"/>
    </row>
    <row r="33" spans="1:22" x14ac:dyDescent="0.3">
      <c r="G33" s="14"/>
      <c r="I33" s="260">
        <f t="shared" si="10"/>
        <v>0.9</v>
      </c>
      <c r="J33" s="10">
        <f t="shared" si="5"/>
        <v>1</v>
      </c>
      <c r="K33" s="424">
        <f>COUNT($L$14:$L$23)-SUM(J$27:$J33)</f>
        <v>3</v>
      </c>
      <c r="L33" s="175">
        <f t="shared" si="6"/>
        <v>0.3</v>
      </c>
      <c r="M33" s="425">
        <f t="shared" si="7"/>
        <v>9.9999999999999978E-2</v>
      </c>
      <c r="N33" s="425">
        <f t="shared" si="8"/>
        <v>0.19999999999999998</v>
      </c>
      <c r="O33" s="426">
        <f t="shared" si="9"/>
        <v>0.27999999999999997</v>
      </c>
      <c r="P33" s="13"/>
      <c r="Q33" s="13"/>
      <c r="R33" s="13"/>
      <c r="S33" s="13"/>
      <c r="T33" s="13"/>
      <c r="U33" s="14"/>
      <c r="V33" s="13"/>
    </row>
    <row r="34" spans="1:22" x14ac:dyDescent="0.3">
      <c r="G34" s="14"/>
      <c r="I34" s="260">
        <f t="shared" si="10"/>
        <v>1</v>
      </c>
      <c r="J34" s="10">
        <f t="shared" si="5"/>
        <v>1</v>
      </c>
      <c r="K34" s="424">
        <f>COUNT($L$14:$L$23)-SUM(J$27:$J34)</f>
        <v>2</v>
      </c>
      <c r="L34" s="175">
        <f t="shared" si="6"/>
        <v>0.2</v>
      </c>
      <c r="M34" s="425">
        <f t="shared" si="7"/>
        <v>0.19999999999999996</v>
      </c>
      <c r="N34" s="425">
        <f t="shared" si="8"/>
        <v>0.16999999999999998</v>
      </c>
      <c r="O34" s="426">
        <f t="shared" si="9"/>
        <v>0.25</v>
      </c>
      <c r="P34" s="13"/>
      <c r="Q34" s="13"/>
      <c r="R34" s="13"/>
      <c r="S34" s="13"/>
      <c r="T34" s="13"/>
      <c r="U34" s="14"/>
      <c r="V34" s="13"/>
    </row>
    <row r="35" spans="1:22" x14ac:dyDescent="0.3">
      <c r="G35" s="14"/>
      <c r="I35" s="260">
        <f t="shared" si="10"/>
        <v>1.2</v>
      </c>
      <c r="J35" s="10">
        <f t="shared" si="5"/>
        <v>1</v>
      </c>
      <c r="K35" s="424">
        <f>COUNT($L$14:$L$23)-SUM(J$27:$J35)</f>
        <v>1</v>
      </c>
      <c r="L35" s="175">
        <f t="shared" si="6"/>
        <v>0.1</v>
      </c>
      <c r="M35" s="425">
        <f>I36-I35</f>
        <v>1.3</v>
      </c>
      <c r="N35" s="425">
        <f>N36+M35*L35</f>
        <v>0.13</v>
      </c>
      <c r="O35" s="426">
        <f t="shared" si="9"/>
        <v>0.21000000000000002</v>
      </c>
      <c r="P35" s="13"/>
      <c r="Q35" s="13"/>
      <c r="R35" s="13"/>
      <c r="S35" s="13"/>
      <c r="T35" s="13"/>
      <c r="U35" s="14"/>
      <c r="V35" s="13"/>
    </row>
    <row r="36" spans="1:22" x14ac:dyDescent="0.3">
      <c r="G36" s="14"/>
      <c r="I36" s="263">
        <f t="shared" si="10"/>
        <v>2.5</v>
      </c>
      <c r="J36" s="110">
        <f t="shared" si="5"/>
        <v>1</v>
      </c>
      <c r="K36" s="427">
        <f>COUNT($L$14:$L$23)-SUM(J$27:$J36)</f>
        <v>0</v>
      </c>
      <c r="L36" s="399">
        <f t="shared" si="6"/>
        <v>0</v>
      </c>
      <c r="M36" s="428">
        <v>0</v>
      </c>
      <c r="N36" s="428">
        <v>0</v>
      </c>
      <c r="O36" s="429">
        <f t="shared" si="9"/>
        <v>0.08</v>
      </c>
      <c r="P36" s="13"/>
      <c r="Q36" s="13"/>
      <c r="R36" s="13"/>
      <c r="S36" s="13"/>
      <c r="T36" s="13"/>
      <c r="U36" s="14"/>
      <c r="V36" s="13"/>
    </row>
    <row r="37" spans="1:22" x14ac:dyDescent="0.3">
      <c r="G37" s="14"/>
      <c r="O37" s="13"/>
      <c r="P37" s="13"/>
      <c r="Q37" s="13"/>
      <c r="R37" s="13"/>
      <c r="S37" s="13"/>
      <c r="T37" s="13"/>
      <c r="U37" s="14"/>
      <c r="V37" s="13"/>
    </row>
    <row r="38" spans="1:22" x14ac:dyDescent="0.3">
      <c r="G38" s="14"/>
      <c r="I38" t="s">
        <v>853</v>
      </c>
      <c r="O38" s="13"/>
      <c r="P38" s="13"/>
      <c r="Q38" s="13"/>
      <c r="R38" s="13"/>
      <c r="S38" s="13"/>
      <c r="T38" s="13"/>
      <c r="U38" s="14"/>
      <c r="V38" s="13"/>
    </row>
    <row r="39" spans="1:22" x14ac:dyDescent="0.3">
      <c r="A39" s="13"/>
      <c r="B39" s="13"/>
      <c r="G39" s="14"/>
      <c r="J39" t="s">
        <v>854</v>
      </c>
      <c r="O39" s="13"/>
      <c r="P39" s="13"/>
      <c r="Q39" s="13"/>
      <c r="R39" s="13"/>
      <c r="S39" s="13"/>
      <c r="T39" s="13"/>
      <c r="U39" s="14"/>
      <c r="V39" s="13"/>
    </row>
    <row r="40" spans="1:22" x14ac:dyDescent="0.3">
      <c r="G40" s="14"/>
      <c r="O40" s="13"/>
      <c r="P40" s="13"/>
      <c r="Q40" s="13"/>
      <c r="R40" s="13"/>
      <c r="S40" s="13"/>
      <c r="T40" s="13"/>
      <c r="U40" s="14"/>
      <c r="V40" s="13"/>
    </row>
    <row r="41" spans="1:22" x14ac:dyDescent="0.3">
      <c r="G41" s="14"/>
      <c r="H41" t="s">
        <v>759</v>
      </c>
      <c r="I41" t="s">
        <v>855</v>
      </c>
      <c r="O41" s="13"/>
      <c r="P41" s="13"/>
      <c r="Q41" s="13"/>
      <c r="R41" s="13"/>
      <c r="S41" s="13"/>
      <c r="T41" s="13"/>
      <c r="U41" s="14"/>
      <c r="V41" s="13"/>
    </row>
    <row r="42" spans="1:22" x14ac:dyDescent="0.3">
      <c r="G42" s="14"/>
      <c r="I42" s="430" t="s">
        <v>856</v>
      </c>
      <c r="J42" s="431"/>
      <c r="K42" s="432"/>
      <c r="O42" s="13"/>
      <c r="P42" s="13"/>
      <c r="Q42" s="13"/>
      <c r="R42" s="13"/>
      <c r="S42" s="13"/>
      <c r="T42" s="13"/>
      <c r="U42" s="14"/>
      <c r="V42" s="13"/>
    </row>
    <row r="43" spans="1:22" x14ac:dyDescent="0.3">
      <c r="G43" s="14"/>
      <c r="I43" s="433">
        <f t="shared" ref="I43:I52" si="11">I27</f>
        <v>0</v>
      </c>
      <c r="J43" s="396">
        <f t="shared" ref="J43:J52" si="12">O27</f>
        <v>0.99999999999999989</v>
      </c>
      <c r="K43" s="380">
        <f>J43+I43-1</f>
        <v>0</v>
      </c>
      <c r="O43" s="13"/>
      <c r="P43" s="13"/>
      <c r="Q43" s="13"/>
      <c r="R43" s="13"/>
      <c r="S43" s="13"/>
      <c r="T43" s="13"/>
      <c r="U43" s="14"/>
      <c r="V43" s="13"/>
    </row>
    <row r="44" spans="1:22" x14ac:dyDescent="0.3">
      <c r="G44" s="14"/>
      <c r="I44" s="433">
        <f t="shared" si="11"/>
        <v>0.2</v>
      </c>
      <c r="J44" s="396">
        <f t="shared" si="12"/>
        <v>0.79999999999999993</v>
      </c>
      <c r="K44" s="380">
        <f t="shared" ref="K44:K52" si="13">J44+I44-1</f>
        <v>0</v>
      </c>
      <c r="O44" s="13"/>
      <c r="P44" s="13"/>
      <c r="Q44" s="13"/>
      <c r="R44" s="13"/>
      <c r="S44" s="13"/>
      <c r="T44" s="13"/>
      <c r="U44" s="14"/>
      <c r="V44" s="13"/>
    </row>
    <row r="45" spans="1:22" x14ac:dyDescent="0.3">
      <c r="G45" s="14"/>
      <c r="I45" s="433">
        <f t="shared" si="11"/>
        <v>0.5</v>
      </c>
      <c r="J45" s="396">
        <f t="shared" si="12"/>
        <v>0.52999999999999992</v>
      </c>
      <c r="K45" s="380">
        <f t="shared" si="13"/>
        <v>2.9999999999999805E-2</v>
      </c>
      <c r="O45" s="13"/>
      <c r="P45" s="13"/>
      <c r="Q45" s="13"/>
      <c r="R45" s="13"/>
      <c r="S45" s="13"/>
      <c r="T45" s="13"/>
      <c r="U45" s="14"/>
      <c r="V45" s="13"/>
    </row>
    <row r="46" spans="1:22" x14ac:dyDescent="0.3">
      <c r="G46" s="14"/>
      <c r="I46" s="433">
        <f t="shared" si="11"/>
        <v>0.6</v>
      </c>
      <c r="J46" s="396">
        <f t="shared" si="12"/>
        <v>0.45</v>
      </c>
      <c r="K46" s="380">
        <f t="shared" si="13"/>
        <v>5.0000000000000044E-2</v>
      </c>
      <c r="O46" s="13"/>
      <c r="P46" s="13"/>
      <c r="Q46" s="13"/>
      <c r="R46" s="13"/>
      <c r="S46" s="13"/>
      <c r="T46" s="13"/>
      <c r="U46" s="14"/>
      <c r="V46" s="13"/>
    </row>
    <row r="47" spans="1:22" x14ac:dyDescent="0.3">
      <c r="G47" s="14"/>
      <c r="I47" s="433">
        <f t="shared" si="11"/>
        <v>0.7</v>
      </c>
      <c r="J47" s="396">
        <f t="shared" si="12"/>
        <v>0.38000000000000006</v>
      </c>
      <c r="K47" s="380">
        <f t="shared" si="13"/>
        <v>8.0000000000000071E-2</v>
      </c>
      <c r="O47" s="13"/>
      <c r="P47" s="13"/>
      <c r="Q47" s="13"/>
      <c r="R47" s="13"/>
      <c r="S47" s="13"/>
      <c r="T47" s="13"/>
      <c r="U47" s="14"/>
      <c r="V47" s="13"/>
    </row>
    <row r="48" spans="1:22" x14ac:dyDescent="0.3">
      <c r="G48" s="14"/>
      <c r="I48" s="433">
        <f t="shared" si="11"/>
        <v>0.8</v>
      </c>
      <c r="J48" s="396">
        <f t="shared" si="12"/>
        <v>0.32</v>
      </c>
      <c r="K48" s="380">
        <f t="shared" si="13"/>
        <v>0.12000000000000011</v>
      </c>
      <c r="O48" s="13"/>
      <c r="P48" s="13"/>
      <c r="Q48" s="13"/>
      <c r="R48" s="13"/>
      <c r="S48" s="13"/>
      <c r="T48" s="13"/>
      <c r="U48" s="14"/>
      <c r="V48" s="13"/>
    </row>
    <row r="49" spans="7:22" x14ac:dyDescent="0.3">
      <c r="G49" s="14"/>
      <c r="I49" s="433">
        <f t="shared" si="11"/>
        <v>0.9</v>
      </c>
      <c r="J49" s="396">
        <f t="shared" si="12"/>
        <v>0.27999999999999997</v>
      </c>
      <c r="K49" s="380">
        <f t="shared" si="13"/>
        <v>0.17999999999999994</v>
      </c>
      <c r="O49" s="13"/>
      <c r="P49" s="13"/>
      <c r="Q49" s="13"/>
      <c r="R49" s="13"/>
      <c r="S49" s="13"/>
      <c r="T49" s="13"/>
      <c r="U49" s="14"/>
      <c r="V49" s="13"/>
    </row>
    <row r="50" spans="7:22" x14ac:dyDescent="0.3">
      <c r="G50" s="14"/>
      <c r="I50" s="433">
        <f t="shared" si="11"/>
        <v>1</v>
      </c>
      <c r="J50" s="396">
        <f t="shared" si="12"/>
        <v>0.25</v>
      </c>
      <c r="K50" s="380">
        <f t="shared" si="13"/>
        <v>0.25</v>
      </c>
      <c r="M50" s="13"/>
      <c r="O50" s="13"/>
      <c r="P50" s="13"/>
      <c r="Q50" s="13"/>
      <c r="R50" s="13"/>
      <c r="S50" s="13"/>
      <c r="T50" s="13"/>
      <c r="U50" s="14"/>
      <c r="V50" s="13"/>
    </row>
    <row r="51" spans="7:22" x14ac:dyDescent="0.3">
      <c r="G51" s="14"/>
      <c r="I51" s="433">
        <f t="shared" si="11"/>
        <v>1.2</v>
      </c>
      <c r="J51" s="396">
        <f t="shared" si="12"/>
        <v>0.21000000000000002</v>
      </c>
      <c r="K51" s="380">
        <f t="shared" si="13"/>
        <v>0.40999999999999992</v>
      </c>
      <c r="M51" s="13"/>
      <c r="N51" s="13"/>
      <c r="O51" s="13"/>
      <c r="P51" s="13"/>
      <c r="Q51" s="13"/>
      <c r="R51" s="13"/>
      <c r="S51" s="13"/>
      <c r="T51" s="13"/>
      <c r="U51" s="14"/>
    </row>
    <row r="52" spans="7:22" x14ac:dyDescent="0.3">
      <c r="G52" s="14"/>
      <c r="I52" s="434">
        <f t="shared" si="11"/>
        <v>2.5</v>
      </c>
      <c r="J52" s="435">
        <f t="shared" si="12"/>
        <v>0.08</v>
      </c>
      <c r="K52" s="385">
        <f t="shared" si="13"/>
        <v>1.58</v>
      </c>
      <c r="M52" s="13"/>
      <c r="N52" s="13"/>
      <c r="O52" s="13"/>
      <c r="P52" s="13"/>
      <c r="Q52" s="13"/>
      <c r="R52" s="13"/>
      <c r="S52" s="13"/>
      <c r="T52" s="13"/>
      <c r="U52" s="14"/>
    </row>
    <row r="53" spans="7:22" x14ac:dyDescent="0.3">
      <c r="G53" s="14"/>
      <c r="N53" s="13"/>
      <c r="O53" s="13"/>
      <c r="P53" s="13"/>
      <c r="Q53" s="13"/>
      <c r="R53" s="13"/>
      <c r="S53" s="13"/>
      <c r="T53" s="13"/>
      <c r="U53" s="14"/>
    </row>
    <row r="54" spans="7:22" x14ac:dyDescent="0.3">
      <c r="G54" s="14"/>
      <c r="H54" s="13"/>
      <c r="I54" s="13"/>
      <c r="J54" s="10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4"/>
    </row>
    <row r="55" spans="7:22" x14ac:dyDescent="0.3">
      <c r="G55" s="14"/>
      <c r="H55" s="13"/>
      <c r="I55" s="13"/>
      <c r="J55" s="10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4"/>
    </row>
    <row r="56" spans="7:22" x14ac:dyDescent="0.3">
      <c r="G56" s="14"/>
      <c r="H56" s="13"/>
      <c r="I56" s="13"/>
      <c r="J56" s="10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4"/>
    </row>
    <row r="57" spans="7:22" x14ac:dyDescent="0.3">
      <c r="G57" s="14"/>
      <c r="H57" s="13"/>
      <c r="I57" s="13"/>
      <c r="J57" s="10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4"/>
    </row>
    <row r="58" spans="7:22" x14ac:dyDescent="0.3">
      <c r="G58" s="14"/>
      <c r="H58" s="13"/>
      <c r="I58" s="13"/>
      <c r="J58" s="10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</row>
    <row r="59" spans="7:22" x14ac:dyDescent="0.3">
      <c r="G59" s="14"/>
      <c r="T59" s="13"/>
      <c r="U59" s="14"/>
    </row>
    <row r="187" spans="7:21" x14ac:dyDescent="0.3">
      <c r="G187" s="14"/>
      <c r="U187" s="14"/>
    </row>
    <row r="188" spans="7:21" x14ac:dyDescent="0.3">
      <c r="G188" s="14"/>
      <c r="U188" s="14"/>
    </row>
  </sheetData>
  <mergeCells count="1">
    <mergeCell ref="E1:F1"/>
  </mergeCells>
  <hyperlinks>
    <hyperlink ref="E1" location="TOC!A1" display="Return to TOC" xr:uid="{8AD6878C-501C-40BD-BE42-1010971F50C6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C32D-8A16-4551-9D55-D3E7B81176CE}">
  <sheetPr codeName="Sheet62"/>
  <dimension ref="A1:AA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9" customWidth="1"/>
    <col min="4" max="4" width="22.6640625" customWidth="1"/>
    <col min="5" max="5" width="9.44140625" customWidth="1"/>
    <col min="6" max="10" width="7.6640625" customWidth="1"/>
    <col min="11" max="11" width="9.109375" customWidth="1"/>
    <col min="12" max="12" width="2.6640625" customWidth="1"/>
    <col min="13" max="13" width="5.6640625" customWidth="1"/>
    <col min="14" max="16" width="15.6640625" customWidth="1"/>
    <col min="17" max="17" width="21.33203125" customWidth="1"/>
    <col min="18" max="18" width="15.6640625" customWidth="1"/>
    <col min="19" max="25" width="5.6640625" customWidth="1"/>
  </cols>
  <sheetData>
    <row r="1" spans="1:27" x14ac:dyDescent="0.3">
      <c r="A1" s="32" t="s">
        <v>137</v>
      </c>
      <c r="B1" s="33"/>
      <c r="C1" s="33" t="s">
        <v>127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7"/>
      <c r="L2" s="10"/>
      <c r="M2" t="s">
        <v>858</v>
      </c>
      <c r="Z2" s="10"/>
    </row>
    <row r="3" spans="1:27" x14ac:dyDescent="0.3">
      <c r="A3" s="35" t="s">
        <v>141</v>
      </c>
      <c r="B3" s="36"/>
      <c r="C3" s="36" t="s">
        <v>857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t="s">
        <v>244</v>
      </c>
      <c r="N4" t="s">
        <v>860</v>
      </c>
      <c r="W4" s="13"/>
      <c r="X4" s="13"/>
      <c r="Y4" s="13"/>
      <c r="Z4" s="14"/>
      <c r="AA4" s="13"/>
    </row>
    <row r="5" spans="1:27" ht="15" customHeight="1" x14ac:dyDescent="0.3">
      <c r="A5" s="41" t="s">
        <v>144</v>
      </c>
      <c r="B5" s="36"/>
      <c r="C5" s="36" t="s">
        <v>859</v>
      </c>
      <c r="D5" s="36"/>
      <c r="E5" s="36"/>
      <c r="F5" s="36"/>
      <c r="G5" s="36"/>
      <c r="H5" s="36"/>
      <c r="I5" s="36"/>
      <c r="J5" s="36"/>
      <c r="K5" s="40"/>
      <c r="L5" s="14"/>
      <c r="W5" s="13"/>
      <c r="X5" s="13"/>
      <c r="Y5" s="13"/>
      <c r="Z5" s="14"/>
      <c r="AA5" s="13"/>
    </row>
    <row r="6" spans="1:27" x14ac:dyDescent="0.3">
      <c r="A6" s="45"/>
      <c r="B6" s="36"/>
      <c r="C6" s="446">
        <v>250000</v>
      </c>
      <c r="D6" s="287" t="s">
        <v>861</v>
      </c>
      <c r="E6" s="43"/>
      <c r="F6" s="36"/>
      <c r="G6" s="36"/>
      <c r="H6" s="36"/>
      <c r="I6" s="36"/>
      <c r="J6" s="36"/>
      <c r="K6" s="40"/>
      <c r="L6" s="14"/>
      <c r="N6" t="s">
        <v>863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447">
        <v>750000</v>
      </c>
      <c r="D7" s="36" t="s">
        <v>862</v>
      </c>
      <c r="E7" s="46"/>
      <c r="F7" s="36"/>
      <c r="G7" s="36"/>
      <c r="H7" s="36"/>
      <c r="I7" s="36"/>
      <c r="J7" s="36"/>
      <c r="K7" s="40"/>
      <c r="L7" s="14"/>
      <c r="N7" t="s">
        <v>865</v>
      </c>
      <c r="W7" s="13"/>
      <c r="X7" s="13"/>
      <c r="Y7" s="13"/>
      <c r="Z7" s="14"/>
      <c r="AA7" s="13"/>
    </row>
    <row r="8" spans="1:27" ht="15" customHeight="1" x14ac:dyDescent="0.3">
      <c r="A8" s="45"/>
      <c r="B8" s="39"/>
      <c r="C8" s="447">
        <v>650000</v>
      </c>
      <c r="D8" s="36" t="s">
        <v>864</v>
      </c>
      <c r="E8" s="46"/>
      <c r="F8" s="36"/>
      <c r="G8" s="36"/>
      <c r="H8" s="36"/>
      <c r="I8" s="36"/>
      <c r="J8" s="36"/>
      <c r="K8" s="40"/>
      <c r="L8" s="14"/>
      <c r="N8" t="s">
        <v>867</v>
      </c>
      <c r="O8" s="436" t="str">
        <f>"r = "&amp;TEXT(C7,"$0,0")&amp;" / "&amp;TEXT(C9,"$0,0")&amp;" = "&amp;N9</f>
        <v>r = $750,000 / $490,000 = 1.53</v>
      </c>
      <c r="W8" s="13"/>
      <c r="X8" s="13"/>
      <c r="Y8" s="13"/>
      <c r="Z8" s="14"/>
      <c r="AA8" s="13"/>
    </row>
    <row r="9" spans="1:27" x14ac:dyDescent="0.3">
      <c r="A9" s="45"/>
      <c r="B9" s="39"/>
      <c r="C9" s="448">
        <v>490000</v>
      </c>
      <c r="D9" s="291" t="s">
        <v>866</v>
      </c>
      <c r="E9" s="47"/>
      <c r="F9" s="36"/>
      <c r="G9" s="36"/>
      <c r="H9" s="36"/>
      <c r="I9" s="36"/>
      <c r="J9" s="36"/>
      <c r="K9" s="40"/>
      <c r="L9" s="14"/>
      <c r="N9" s="437">
        <f>ROUND(C7/C9,2)</f>
        <v>1.53</v>
      </c>
      <c r="O9" s="71"/>
      <c r="W9" s="13"/>
      <c r="X9" s="13"/>
      <c r="Y9" s="13"/>
      <c r="Z9" s="14"/>
      <c r="AA9" s="13"/>
    </row>
    <row r="10" spans="1:27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M10" t="s">
        <v>252</v>
      </c>
      <c r="N10" t="s">
        <v>868</v>
      </c>
      <c r="W10" s="13"/>
      <c r="X10" s="13"/>
      <c r="Y10" s="13"/>
      <c r="Z10" s="14"/>
      <c r="AA10" s="13"/>
    </row>
    <row r="11" spans="1:27" x14ac:dyDescent="0.3">
      <c r="A11" s="449">
        <v>0.9</v>
      </c>
      <c r="B11" s="39"/>
      <c r="C11" s="36" t="str">
        <f>"The state/hazard group adjustment factor is "&amp;A11</f>
        <v>The state/hazard group adjustment factor is 0.9</v>
      </c>
      <c r="D11" s="36"/>
      <c r="E11" s="36"/>
      <c r="F11" s="36"/>
      <c r="G11" s="36"/>
      <c r="H11" s="36"/>
      <c r="I11" s="36"/>
      <c r="J11" s="36"/>
      <c r="K11" s="40"/>
      <c r="L11" s="14"/>
      <c r="W11" s="13"/>
      <c r="X11" s="13"/>
      <c r="Y11" s="13"/>
      <c r="Z11" s="14"/>
      <c r="AA11" s="13"/>
    </row>
    <row r="12" spans="1:27" x14ac:dyDescent="0.3">
      <c r="A12" s="38"/>
      <c r="B12" s="39"/>
      <c r="C12" s="36"/>
      <c r="D12" s="36"/>
      <c r="E12" s="36"/>
      <c r="F12" s="36"/>
      <c r="G12" s="36"/>
      <c r="H12" s="36"/>
      <c r="I12" s="36"/>
      <c r="J12" s="36"/>
      <c r="K12" s="40"/>
      <c r="L12" s="14"/>
      <c r="N12" t="s">
        <v>867</v>
      </c>
      <c r="O12" t="str">
        <f>"k = ("&amp;TEXT(C8,"0,0")&amp;" - "&amp;TEXT(C9,"0,0")&amp;") / "&amp;TEXT(C8,"0,0") &amp; " = " &amp;N13</f>
        <v>k = (650,000 - 490,000) / 650,000 = 0.2462</v>
      </c>
      <c r="W12" s="13"/>
      <c r="X12" s="13"/>
      <c r="Y12" s="13"/>
      <c r="Z12" s="14"/>
      <c r="AA12" s="13"/>
    </row>
    <row r="13" spans="1:27" x14ac:dyDescent="0.3">
      <c r="A13" s="38"/>
      <c r="B13" s="39"/>
      <c r="C13" s="36" t="s">
        <v>869</v>
      </c>
      <c r="D13" s="36"/>
      <c r="E13" s="36"/>
      <c r="F13" s="36"/>
      <c r="G13" s="36"/>
      <c r="H13" s="36"/>
      <c r="I13" s="36"/>
      <c r="J13" s="36"/>
      <c r="K13" s="40"/>
      <c r="L13" s="14"/>
      <c r="N13" s="16">
        <f>ROUND((C8-C9)/C8,4)</f>
        <v>0.2462</v>
      </c>
      <c r="W13" s="13"/>
      <c r="X13" s="13"/>
      <c r="Y13" s="13"/>
      <c r="Z13" s="14"/>
      <c r="AA13" s="13"/>
    </row>
    <row r="14" spans="1:27" x14ac:dyDescent="0.3">
      <c r="A14" s="38"/>
      <c r="B14" s="39"/>
      <c r="C14" s="36"/>
      <c r="D14" s="36"/>
      <c r="E14" s="36"/>
      <c r="F14" s="36"/>
      <c r="G14" s="36"/>
      <c r="H14" s="36"/>
      <c r="I14" s="36"/>
      <c r="J14" s="36"/>
      <c r="K14" s="40"/>
      <c r="L14" s="14"/>
      <c r="M14" t="s">
        <v>754</v>
      </c>
      <c r="N14" t="s">
        <v>873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48" t="s">
        <v>870</v>
      </c>
      <c r="D15" s="96" t="s">
        <v>871</v>
      </c>
      <c r="E15" s="42" t="s">
        <v>872</v>
      </c>
      <c r="F15" s="36"/>
      <c r="G15" s="36"/>
      <c r="H15" s="36"/>
      <c r="I15" s="36"/>
      <c r="J15" s="36"/>
      <c r="K15" s="40"/>
      <c r="L15" s="14"/>
      <c r="W15" s="13"/>
      <c r="X15" s="13"/>
      <c r="Y15" s="13"/>
      <c r="Z15" s="14"/>
      <c r="AA15" s="13"/>
    </row>
    <row r="16" spans="1:27" x14ac:dyDescent="0.3">
      <c r="A16" s="45"/>
      <c r="B16" s="36"/>
      <c r="C16" s="20">
        <v>31</v>
      </c>
      <c r="D16" s="337" t="s">
        <v>874</v>
      </c>
      <c r="E16" s="248">
        <v>630000</v>
      </c>
      <c r="F16" s="36"/>
      <c r="G16" s="36"/>
      <c r="H16" s="36"/>
      <c r="I16" s="36"/>
      <c r="J16" s="36"/>
      <c r="K16" s="40"/>
      <c r="L16" s="14"/>
      <c r="N16" t="s">
        <v>876</v>
      </c>
      <c r="O16" t="str">
        <f>"ICRLL = (1 + 0.8 * "&amp;N13 &amp;") / (1 - "&amp;N13&amp;") = "&amp;N17</f>
        <v>ICRLL = (1 + 0.8 * 0.2462) / (1 - 0.2462) = 1.5879</v>
      </c>
      <c r="W16" s="13"/>
      <c r="X16" s="13"/>
      <c r="Y16" s="13"/>
      <c r="Z16" s="14"/>
      <c r="AA16" s="13"/>
    </row>
    <row r="17" spans="1:27" x14ac:dyDescent="0.3">
      <c r="A17" s="45"/>
      <c r="B17" s="36"/>
      <c r="C17" s="20">
        <v>30</v>
      </c>
      <c r="D17" s="337" t="s">
        <v>875</v>
      </c>
      <c r="E17" s="248">
        <v>720001</v>
      </c>
      <c r="F17" s="36"/>
      <c r="G17" s="36"/>
      <c r="H17" s="36"/>
      <c r="I17" s="36"/>
      <c r="J17" s="36"/>
      <c r="K17" s="40"/>
      <c r="L17" s="14"/>
      <c r="N17" s="16">
        <f>ROUND((1+0.8*N13)/(1-N13),4)</f>
        <v>1.5879000000000001</v>
      </c>
      <c r="W17" s="13"/>
      <c r="X17" s="13"/>
      <c r="Y17" s="13"/>
      <c r="Z17" s="14"/>
      <c r="AA17" s="13"/>
    </row>
    <row r="18" spans="1:27" x14ac:dyDescent="0.3">
      <c r="A18" s="45"/>
      <c r="B18" s="36"/>
      <c r="C18" s="20">
        <v>29</v>
      </c>
      <c r="D18" s="337" t="s">
        <v>877</v>
      </c>
      <c r="E18" s="248">
        <v>830001</v>
      </c>
      <c r="F18" s="36"/>
      <c r="G18" s="36"/>
      <c r="H18" s="36"/>
      <c r="I18" s="36"/>
      <c r="J18" s="36"/>
      <c r="K18" s="40"/>
      <c r="L18" s="14"/>
      <c r="M18" t="s">
        <v>759</v>
      </c>
      <c r="N18" t="s">
        <v>879</v>
      </c>
      <c r="W18" s="13"/>
      <c r="X18" s="13"/>
      <c r="Y18" s="13"/>
      <c r="Z18" s="14"/>
      <c r="AA18" s="13"/>
    </row>
    <row r="19" spans="1:27" ht="15" customHeight="1" x14ac:dyDescent="0.3">
      <c r="A19" s="45"/>
      <c r="B19" s="36"/>
      <c r="C19" s="20">
        <v>28</v>
      </c>
      <c r="D19" s="337" t="s">
        <v>878</v>
      </c>
      <c r="E19" s="248">
        <v>990001</v>
      </c>
      <c r="F19" s="36"/>
      <c r="G19" s="36"/>
      <c r="H19" s="36"/>
      <c r="I19" s="36"/>
      <c r="J19" s="36"/>
      <c r="K19" s="40"/>
      <c r="L19" s="14"/>
      <c r="N19" t="s">
        <v>876</v>
      </c>
      <c r="O19" t="str">
        <f>"adjusted expected loss = "&amp;TEXT(C8,"$0,0")&amp;" * "&amp;A11&amp; " * " &amp;N17&amp; " = "&amp;TEXT(N20,"$0,0.00")</f>
        <v>adjusted expected loss = $650,000 * 0.9 * 1.5879 = $928,921.50</v>
      </c>
      <c r="W19" s="13"/>
      <c r="X19" s="13"/>
      <c r="Y19" s="13"/>
      <c r="Z19" s="14"/>
      <c r="AA19" s="13"/>
    </row>
    <row r="20" spans="1:27" x14ac:dyDescent="0.3">
      <c r="A20" s="45"/>
      <c r="B20" s="36"/>
      <c r="C20" s="20">
        <v>27</v>
      </c>
      <c r="D20" s="337" t="s">
        <v>880</v>
      </c>
      <c r="E20" s="248">
        <v>1180001</v>
      </c>
      <c r="F20" s="36"/>
      <c r="G20" s="36"/>
      <c r="H20" s="36"/>
      <c r="I20" s="36"/>
      <c r="J20" s="36"/>
      <c r="K20" s="40"/>
      <c r="L20" s="14"/>
      <c r="N20" s="438">
        <f>C8*A11*N17</f>
        <v>928921.5</v>
      </c>
      <c r="W20" s="13"/>
      <c r="X20" s="13"/>
      <c r="Y20" s="13"/>
      <c r="Z20" s="14"/>
      <c r="AA20" s="13"/>
    </row>
    <row r="21" spans="1:27" x14ac:dyDescent="0.3">
      <c r="A21" s="45"/>
      <c r="B21" s="36"/>
      <c r="C21" s="22">
        <v>26</v>
      </c>
      <c r="D21" s="185" t="s">
        <v>881</v>
      </c>
      <c r="E21" s="248">
        <v>1415001</v>
      </c>
      <c r="F21" s="36"/>
      <c r="G21" s="36"/>
      <c r="H21" s="36"/>
      <c r="I21" s="36"/>
      <c r="J21" s="36"/>
      <c r="K21" s="40"/>
      <c r="L21" s="14"/>
      <c r="M21" t="s">
        <v>763</v>
      </c>
      <c r="N21" t="s">
        <v>882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3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t="str">
        <f>"This is ELG "&amp;N23</f>
        <v>This is ELG 29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A23" s="45"/>
      <c r="B23" s="36"/>
      <c r="C23" s="36"/>
      <c r="D23" s="48" t="s">
        <v>883</v>
      </c>
      <c r="E23" s="74" t="s">
        <v>870</v>
      </c>
      <c r="F23" s="285"/>
      <c r="G23" s="285"/>
      <c r="H23" s="285"/>
      <c r="I23" s="285"/>
      <c r="J23" s="75"/>
      <c r="K23" s="40"/>
      <c r="L23" s="14"/>
      <c r="N23" s="16">
        <f>INDEX(C16:C21,MATCH(N20,E16:E21,1))</f>
        <v>29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A24" s="45"/>
      <c r="B24" s="36"/>
      <c r="C24" s="36"/>
      <c r="D24" s="48" t="s">
        <v>657</v>
      </c>
      <c r="E24" s="333">
        <v>31</v>
      </c>
      <c r="F24" s="48">
        <v>30</v>
      </c>
      <c r="G24" s="212">
        <v>29</v>
      </c>
      <c r="H24" s="48">
        <v>28</v>
      </c>
      <c r="I24" s="212">
        <v>27</v>
      </c>
      <c r="J24" s="48">
        <v>26</v>
      </c>
      <c r="K24" s="40"/>
      <c r="L24" s="14"/>
      <c r="M24" t="s">
        <v>765</v>
      </c>
      <c r="N24" t="str">
        <f>"Look up ELG "&amp;N23&amp;" and entry ratio "&amp;N9&amp; " in the given Table M to get the insurance charge."</f>
        <v>Look up ELG 29 and entry ratio 1.53 in the given Table M to get the insurance charge.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A25" s="45"/>
      <c r="B25" s="36"/>
      <c r="C25" s="36"/>
      <c r="D25" s="20">
        <v>0.75</v>
      </c>
      <c r="E25" s="439">
        <v>0.41499999999999998</v>
      </c>
      <c r="F25" s="440">
        <v>0.40689999999999998</v>
      </c>
      <c r="G25" s="234">
        <v>0.39889999999999998</v>
      </c>
      <c r="H25" s="440">
        <v>0.3911</v>
      </c>
      <c r="I25" s="234">
        <v>0.38329999999999997</v>
      </c>
      <c r="J25" s="440">
        <v>0.3755</v>
      </c>
      <c r="K25" s="40"/>
      <c r="L25" s="14"/>
      <c r="N25" t="str">
        <f>"The insurance charge is "&amp;N26</f>
        <v>The insurance charge is 0.1583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A26" s="45"/>
      <c r="B26" s="36"/>
      <c r="C26" s="36"/>
      <c r="D26" s="20">
        <v>0.81</v>
      </c>
      <c r="E26" s="439">
        <v>0.38640000000000002</v>
      </c>
      <c r="F26" s="440">
        <v>0.37769999999999998</v>
      </c>
      <c r="G26" s="234">
        <v>0.36899999999999999</v>
      </c>
      <c r="H26" s="440">
        <v>0.36049999999999999</v>
      </c>
      <c r="I26" s="234">
        <v>0.35210000000000002</v>
      </c>
      <c r="J26" s="440">
        <v>0.34360000000000002</v>
      </c>
      <c r="K26" s="40"/>
      <c r="L26" s="14"/>
      <c r="N26" s="16">
        <f>INDEX(E25:J29,MATCH(N9,D25:D29,0),MATCH(N23,E24:J24,0))</f>
        <v>0.1583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A27" s="45"/>
      <c r="B27" s="36"/>
      <c r="C27" s="36"/>
      <c r="D27" s="20">
        <v>1.07</v>
      </c>
      <c r="E27" s="439">
        <v>0.28670000000000001</v>
      </c>
      <c r="F27" s="440">
        <v>0.27639999999999998</v>
      </c>
      <c r="G27" s="234">
        <v>0.2661</v>
      </c>
      <c r="H27" s="440">
        <v>0.25569999999999998</v>
      </c>
      <c r="I27" s="234">
        <v>0.24529999999999999</v>
      </c>
      <c r="J27" s="440">
        <v>0.2349</v>
      </c>
      <c r="K27" s="40"/>
      <c r="L27" s="14"/>
      <c r="M27" t="s">
        <v>884</v>
      </c>
      <c r="N27" t="s">
        <v>885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A28" s="45"/>
      <c r="B28" s="36"/>
      <c r="C28" s="36"/>
      <c r="D28" s="20">
        <v>1.1499999999999999</v>
      </c>
      <c r="E28" s="439">
        <v>0.26279999999999998</v>
      </c>
      <c r="F28" s="440">
        <v>0.25219999999999998</v>
      </c>
      <c r="G28" s="234">
        <v>0.2417</v>
      </c>
      <c r="H28" s="440">
        <v>0.23100000000000001</v>
      </c>
      <c r="I28" s="234">
        <v>0.2203</v>
      </c>
      <c r="J28" s="440">
        <v>0.20960000000000001</v>
      </c>
      <c r="K28" s="40"/>
      <c r="L28" s="14"/>
      <c r="N28" t="str">
        <f>"This yields an aggregate limit charge of "&amp;N26&amp;" * "&amp;TEXT(C9,"$0,0")&amp;" = "&amp;N29</f>
        <v>This yields an aggregate limit charge of 0.1583 * $490,000 = $77,567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A29" s="45"/>
      <c r="B29" s="36"/>
      <c r="C29" s="36"/>
      <c r="D29" s="22">
        <v>1.53</v>
      </c>
      <c r="E29" s="441">
        <v>0.1797</v>
      </c>
      <c r="F29" s="442">
        <v>0.16900000000000001</v>
      </c>
      <c r="G29" s="443">
        <v>0.1583</v>
      </c>
      <c r="H29" s="442">
        <v>0.14760000000000001</v>
      </c>
      <c r="I29" s="443">
        <v>0.13689999999999999</v>
      </c>
      <c r="J29" s="442">
        <v>0.12609999999999999</v>
      </c>
      <c r="K29" s="40"/>
      <c r="L29" s="14"/>
      <c r="N29" s="444" t="str">
        <f>TEXT(N26*C9,"$0,0")</f>
        <v>$77,567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A30" s="45"/>
      <c r="B30" s="36"/>
      <c r="C30" s="36"/>
      <c r="D30" s="36"/>
      <c r="E30" s="36"/>
      <c r="F30" s="36"/>
      <c r="G30" s="36"/>
      <c r="H30" s="36"/>
      <c r="I30" s="36"/>
      <c r="J30" s="36"/>
      <c r="K30" s="40"/>
      <c r="L30" s="14"/>
      <c r="M30" t="s">
        <v>887</v>
      </c>
      <c r="N30" t="s">
        <v>888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A31" s="35" t="s">
        <v>173</v>
      </c>
      <c r="B31" s="36"/>
      <c r="C31" s="36" t="s">
        <v>886</v>
      </c>
      <c r="D31" s="36"/>
      <c r="E31" s="36"/>
      <c r="F31" s="36"/>
      <c r="G31" s="36"/>
      <c r="H31" s="36"/>
      <c r="I31" s="36"/>
      <c r="J31" s="36"/>
      <c r="K31" s="40"/>
      <c r="L31" s="14"/>
      <c r="N31" t="str">
        <f>"This yields a per-occurrence limit charge of " &amp;TEXT(N32,"$0,0")</f>
        <v>This yields a per-occurrence limit charge of $160,000</v>
      </c>
      <c r="T31" s="13"/>
      <c r="U31" s="13"/>
      <c r="V31" s="13"/>
      <c r="W31" s="13"/>
      <c r="X31" s="13"/>
      <c r="Y31" s="13"/>
      <c r="Z31" s="14"/>
      <c r="AA31" s="13"/>
    </row>
    <row r="32" spans="1:27" ht="15" thickBot="1" x14ac:dyDescent="0.3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85"/>
      <c r="L32" s="14"/>
      <c r="N32" s="444">
        <f>C8-C9</f>
        <v>160000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M33" t="s">
        <v>889</v>
      </c>
      <c r="N33" t="s">
        <v>890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N34" s="445" t="str">
        <f>"The total loss cost is " &amp;TEXT(N29+N32,"$0,0")</f>
        <v>The total loss cost is $237,567</v>
      </c>
      <c r="O34" s="432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mergeCells count="1">
    <mergeCell ref="J1:K1"/>
  </mergeCells>
  <hyperlinks>
    <hyperlink ref="J1" location="TOC!A1" display="Return to TOC" xr:uid="{E6D55A3B-9397-4453-9421-311EFC4E1568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014A-4E42-4929-AF9F-6EC17D339269}">
  <sheetPr codeName="Sheet43"/>
  <dimension ref="A1:Z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2.6640625" customWidth="1"/>
    <col min="4" max="4" width="8.33203125" bestFit="1" customWidth="1"/>
    <col min="5" max="5" width="9.88671875" bestFit="1" customWidth="1"/>
    <col min="6" max="6" width="8" bestFit="1" customWidth="1"/>
    <col min="7" max="7" width="12.5546875" bestFit="1" customWidth="1"/>
    <col min="8" max="8" width="12" customWidth="1"/>
    <col min="9" max="10" width="9.109375" customWidth="1"/>
    <col min="11" max="11" width="2.6640625" customWidth="1"/>
    <col min="12" max="12" width="5.5546875" customWidth="1"/>
    <col min="13" max="13" width="13.33203125" customWidth="1"/>
    <col min="14" max="14" width="8.33203125" bestFit="1" customWidth="1"/>
    <col min="15" max="15" width="12" bestFit="1" customWidth="1"/>
    <col min="16" max="16" width="8" bestFit="1" customWidth="1"/>
    <col min="17" max="17" width="7.5546875" bestFit="1" customWidth="1"/>
    <col min="18" max="18" width="11" customWidth="1"/>
    <col min="19" max="20" width="9.109375" customWidth="1"/>
    <col min="22" max="22" width="9.109375" customWidth="1"/>
    <col min="24" max="24" width="13.5546875" customWidth="1"/>
  </cols>
  <sheetData>
    <row r="1" spans="1:26" x14ac:dyDescent="0.3">
      <c r="A1" s="32" t="s">
        <v>137</v>
      </c>
      <c r="B1" s="33"/>
      <c r="C1" s="33" t="s">
        <v>128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ht="15.6" x14ac:dyDescent="0.35">
      <c r="A3" s="35" t="s">
        <v>141</v>
      </c>
      <c r="B3" s="36"/>
      <c r="C3" s="36" t="s">
        <v>891</v>
      </c>
      <c r="D3" s="36"/>
      <c r="E3" s="36"/>
      <c r="F3" s="36"/>
      <c r="G3" s="36"/>
      <c r="H3" s="36"/>
      <c r="I3" s="36"/>
      <c r="J3" s="37"/>
      <c r="K3" s="10"/>
      <c r="L3" t="s">
        <v>174</v>
      </c>
      <c r="M3" s="86" t="str">
        <f t="shared" ref="M3:M11" si="0">C7</f>
        <v>Group</v>
      </c>
      <c r="N3" s="211" t="str">
        <f t="shared" ref="N3:N11" si="1">D7</f>
        <v># Claims</v>
      </c>
      <c r="O3" s="211" t="str">
        <f t="shared" ref="O3:O11" si="2">E7</f>
        <v>Total Loss</v>
      </c>
      <c r="P3" s="211" t="str">
        <f t="shared" ref="P3:P11" si="3">F7</f>
        <v>Severity</v>
      </c>
      <c r="Q3" s="211" t="s">
        <v>892</v>
      </c>
      <c r="R3" s="239"/>
      <c r="S3" s="87" t="s">
        <v>893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s="16">
        <v>100</v>
      </c>
      <c r="M4" s="63" t="str">
        <f t="shared" si="0"/>
        <v>0 - 100</v>
      </c>
      <c r="N4" s="269">
        <f t="shared" si="1"/>
        <v>100</v>
      </c>
      <c r="O4" s="269">
        <f t="shared" si="2"/>
        <v>6000</v>
      </c>
      <c r="P4" s="458">
        <f t="shared" si="3"/>
        <v>60</v>
      </c>
      <c r="Q4" s="269">
        <f>G8</f>
        <v>0.1</v>
      </c>
      <c r="R4" s="269">
        <f>H8</f>
        <v>96</v>
      </c>
      <c r="S4" s="459">
        <f t="shared" ref="S4:S9" si="4">($P$11-R4)/(1-Q4)</f>
        <v>1195.5555555555554</v>
      </c>
      <c r="V4" s="13"/>
      <c r="W4" s="13"/>
      <c r="Y4" s="14"/>
      <c r="Z4" s="13"/>
    </row>
    <row r="5" spans="1:26" ht="15" customHeight="1" x14ac:dyDescent="0.3">
      <c r="A5" s="41" t="s">
        <v>144</v>
      </c>
      <c r="B5" s="36"/>
      <c r="C5" s="36" t="s">
        <v>894</v>
      </c>
      <c r="D5" s="36"/>
      <c r="E5" s="36"/>
      <c r="F5" s="36"/>
      <c r="G5" s="36"/>
      <c r="H5" s="36"/>
      <c r="I5" s="36"/>
      <c r="J5" s="37"/>
      <c r="K5" s="14"/>
      <c r="L5" s="16">
        <v>500</v>
      </c>
      <c r="M5" s="61" t="str">
        <f t="shared" si="0"/>
        <v>101 - 500</v>
      </c>
      <c r="N5" s="10">
        <f t="shared" si="1"/>
        <v>300</v>
      </c>
      <c r="O5" s="10">
        <f t="shared" si="2"/>
        <v>95000</v>
      </c>
      <c r="P5" s="424">
        <f t="shared" si="3"/>
        <v>316.66666666666669</v>
      </c>
      <c r="Q5" s="10">
        <f>G9</f>
        <v>0.4</v>
      </c>
      <c r="R5" s="347">
        <f>(SUM($O$4:O5)+SUM(N6:$N$10)*500)/$N$11</f>
        <v>401</v>
      </c>
      <c r="S5" s="456">
        <f t="shared" si="4"/>
        <v>1285</v>
      </c>
      <c r="V5" s="13"/>
      <c r="W5" s="13"/>
      <c r="X5" s="13"/>
      <c r="Y5" s="14"/>
      <c r="Z5" s="13"/>
    </row>
    <row r="6" spans="1:26" x14ac:dyDescent="0.3">
      <c r="A6" s="45"/>
      <c r="B6" s="36"/>
      <c r="C6" s="36"/>
      <c r="D6" s="36"/>
      <c r="E6" s="36"/>
      <c r="F6" s="36"/>
      <c r="G6" s="36"/>
      <c r="H6" s="36"/>
      <c r="I6" s="36"/>
      <c r="J6" s="37"/>
      <c r="K6" s="14"/>
      <c r="L6" s="16">
        <v>1000</v>
      </c>
      <c r="M6" s="61" t="str">
        <f t="shared" si="0"/>
        <v>501 - 1000</v>
      </c>
      <c r="N6" s="10">
        <f t="shared" si="1"/>
        <v>240</v>
      </c>
      <c r="O6" s="10">
        <f t="shared" si="2"/>
        <v>145000</v>
      </c>
      <c r="P6" s="424">
        <f t="shared" si="3"/>
        <v>604.16666666666663</v>
      </c>
      <c r="Q6" s="10">
        <f>G10</f>
        <v>0.64</v>
      </c>
      <c r="R6" s="10">
        <f>H10</f>
        <v>606</v>
      </c>
      <c r="S6" s="421">
        <f t="shared" si="4"/>
        <v>1572.2222222222222</v>
      </c>
      <c r="V6" s="13"/>
      <c r="W6" s="13"/>
      <c r="X6" s="13"/>
      <c r="Y6" s="14"/>
      <c r="Z6" s="13"/>
    </row>
    <row r="7" spans="1:26" ht="15" customHeight="1" x14ac:dyDescent="0.35">
      <c r="A7" s="45"/>
      <c r="B7" s="36"/>
      <c r="C7" s="48" t="s">
        <v>895</v>
      </c>
      <c r="D7" s="212" t="s">
        <v>896</v>
      </c>
      <c r="E7" s="212" t="s">
        <v>897</v>
      </c>
      <c r="F7" s="212" t="s">
        <v>898</v>
      </c>
      <c r="G7" s="212" t="s">
        <v>892</v>
      </c>
      <c r="H7" s="366"/>
      <c r="I7" s="96" t="s">
        <v>893</v>
      </c>
      <c r="J7" s="37"/>
      <c r="K7" s="14"/>
      <c r="L7" s="16">
        <v>2000</v>
      </c>
      <c r="M7" s="61" t="str">
        <f t="shared" si="0"/>
        <v>1001 - 2000</v>
      </c>
      <c r="N7" s="10">
        <f t="shared" si="1"/>
        <v>185</v>
      </c>
      <c r="O7" s="10">
        <f t="shared" si="2"/>
        <v>260000</v>
      </c>
      <c r="P7" s="424">
        <f t="shared" si="3"/>
        <v>1405.4054054054054</v>
      </c>
      <c r="Q7" s="457">
        <f>SUM($D$8:D11)/$D$15</f>
        <v>0.82499999999999996</v>
      </c>
      <c r="R7" s="347">
        <f>(SUM($O$4:O7)+SUM(N8:$N$10)*2000)/$N$11</f>
        <v>856</v>
      </c>
      <c r="S7" s="157">
        <f t="shared" si="4"/>
        <v>1805.7142857142853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20" t="s">
        <v>899</v>
      </c>
      <c r="D8" s="181">
        <v>100</v>
      </c>
      <c r="E8" s="213">
        <v>6000</v>
      </c>
      <c r="F8" s="453">
        <f>E8/D8</f>
        <v>60</v>
      </c>
      <c r="G8" s="454">
        <f>SUM($D$8:D8)/$D$15</f>
        <v>0.1</v>
      </c>
      <c r="H8" s="181">
        <f>E8/$D$15+SUM(D9:D14)*100/D15</f>
        <v>96</v>
      </c>
      <c r="I8" s="455">
        <f>($F$15-H8)/(1-G8)</f>
        <v>1195.5555555555554</v>
      </c>
      <c r="J8" s="37"/>
      <c r="K8" s="14"/>
      <c r="L8" s="16">
        <v>4000</v>
      </c>
      <c r="M8" s="61" t="str">
        <f t="shared" si="0"/>
        <v>2001 - 4000</v>
      </c>
      <c r="N8" s="10">
        <f t="shared" si="1"/>
        <v>140</v>
      </c>
      <c r="O8" s="10">
        <f t="shared" si="2"/>
        <v>450000</v>
      </c>
      <c r="P8" s="424">
        <f t="shared" si="3"/>
        <v>3214.2857142857142</v>
      </c>
      <c r="Q8" s="10">
        <f>G12</f>
        <v>0.96499999999999997</v>
      </c>
      <c r="R8" s="10">
        <f>H12</f>
        <v>1096</v>
      </c>
      <c r="S8" s="99">
        <f t="shared" si="4"/>
        <v>2171.4285714285693</v>
      </c>
      <c r="V8" s="13"/>
      <c r="W8" s="13"/>
      <c r="X8" s="13"/>
      <c r="Y8" s="14"/>
      <c r="Z8" s="13"/>
    </row>
    <row r="9" spans="1:26" x14ac:dyDescent="0.3">
      <c r="A9" s="41"/>
      <c r="B9" s="39"/>
      <c r="C9" s="20" t="s">
        <v>900</v>
      </c>
      <c r="D9" s="181">
        <v>300</v>
      </c>
      <c r="E9" s="213">
        <v>95000</v>
      </c>
      <c r="F9" s="453">
        <f t="shared" ref="F9:F15" si="5">E9/D9</f>
        <v>316.66666666666669</v>
      </c>
      <c r="G9" s="454">
        <f>SUM($D$8:D9)/$D$15</f>
        <v>0.4</v>
      </c>
      <c r="H9" s="181" t="s">
        <v>629</v>
      </c>
      <c r="I9" s="337" t="s">
        <v>629</v>
      </c>
      <c r="J9" s="37"/>
      <c r="K9" s="14"/>
      <c r="L9" s="16">
        <v>5000</v>
      </c>
      <c r="M9" s="61" t="str">
        <f t="shared" si="0"/>
        <v>4001 - 5000</v>
      </c>
      <c r="N9" s="10">
        <f t="shared" si="1"/>
        <v>15</v>
      </c>
      <c r="O9" s="10">
        <f t="shared" si="2"/>
        <v>66000</v>
      </c>
      <c r="P9" s="424">
        <f t="shared" si="3"/>
        <v>4400</v>
      </c>
      <c r="Q9" s="457">
        <f>SUM($D$8:D13)/$D$15</f>
        <v>0.98</v>
      </c>
      <c r="R9" s="347">
        <f>(SUM($O$4:O9)+SUM(N10:$N$10)*5000)/$N$11</f>
        <v>1122</v>
      </c>
      <c r="S9" s="157">
        <f t="shared" si="4"/>
        <v>2499.9999999999977</v>
      </c>
      <c r="V9" s="13"/>
      <c r="W9" s="13"/>
      <c r="X9" s="13"/>
      <c r="Y9" s="14"/>
      <c r="Z9" s="13"/>
    </row>
    <row r="10" spans="1:26" x14ac:dyDescent="0.3">
      <c r="A10" s="38"/>
      <c r="B10" s="39"/>
      <c r="C10" s="20" t="s">
        <v>901</v>
      </c>
      <c r="D10" s="181">
        <v>240</v>
      </c>
      <c r="E10" s="213">
        <v>145000</v>
      </c>
      <c r="F10" s="453">
        <f t="shared" si="5"/>
        <v>604.16666666666663</v>
      </c>
      <c r="G10" s="454">
        <f>SUM($D$8:D10)/$D$15</f>
        <v>0.64</v>
      </c>
      <c r="H10" s="181">
        <f>SUM(E8:E10)/D15+SUM(D11:D14)*1000/D15</f>
        <v>606</v>
      </c>
      <c r="I10" s="455">
        <f>($F$15-H10)/(1-G10)</f>
        <v>1572.2222222222222</v>
      </c>
      <c r="J10" s="37"/>
      <c r="K10" s="14"/>
      <c r="L10" s="16"/>
      <c r="M10" s="65" t="str">
        <f t="shared" si="0"/>
        <v>5001 - 10000</v>
      </c>
      <c r="N10" s="110">
        <f t="shared" si="1"/>
        <v>20</v>
      </c>
      <c r="O10" s="110">
        <f t="shared" si="2"/>
        <v>150000</v>
      </c>
      <c r="P10" s="427">
        <f t="shared" si="3"/>
        <v>7500</v>
      </c>
      <c r="Q10" s="110">
        <f>G14</f>
        <v>1</v>
      </c>
      <c r="R10" s="110">
        <f>H14</f>
        <v>1172</v>
      </c>
      <c r="S10" s="102" t="s">
        <v>282</v>
      </c>
      <c r="V10" s="13"/>
      <c r="W10" s="13"/>
      <c r="X10" s="13"/>
      <c r="Y10" s="14"/>
      <c r="Z10" s="13"/>
    </row>
    <row r="11" spans="1:26" x14ac:dyDescent="0.3">
      <c r="A11" s="38"/>
      <c r="B11" s="39"/>
      <c r="C11" s="20" t="s">
        <v>902</v>
      </c>
      <c r="D11" s="181">
        <v>185</v>
      </c>
      <c r="E11" s="213">
        <v>260000</v>
      </c>
      <c r="F11" s="453">
        <f t="shared" si="5"/>
        <v>1405.4054054054054</v>
      </c>
      <c r="G11" s="454" t="s">
        <v>629</v>
      </c>
      <c r="H11" s="181" t="s">
        <v>629</v>
      </c>
      <c r="I11" s="337" t="s">
        <v>629</v>
      </c>
      <c r="J11" s="37"/>
      <c r="K11" s="14"/>
      <c r="M11" s="65" t="str">
        <f t="shared" si="0"/>
        <v>Total</v>
      </c>
      <c r="N11" s="110">
        <f t="shared" si="1"/>
        <v>1000</v>
      </c>
      <c r="O11" s="110">
        <f t="shared" si="2"/>
        <v>1172000</v>
      </c>
      <c r="P11" s="427">
        <f t="shared" si="3"/>
        <v>1172</v>
      </c>
      <c r="Q11" s="110"/>
      <c r="R11" s="110"/>
      <c r="S11" s="102"/>
      <c r="V11" s="13"/>
      <c r="W11" s="13"/>
      <c r="X11" s="13"/>
      <c r="Y11" s="14"/>
      <c r="Z11" s="13"/>
    </row>
    <row r="12" spans="1:26" x14ac:dyDescent="0.3">
      <c r="A12" s="38"/>
      <c r="B12" s="39"/>
      <c r="C12" s="20" t="s">
        <v>903</v>
      </c>
      <c r="D12" s="181">
        <v>140</v>
      </c>
      <c r="E12" s="213">
        <v>450000</v>
      </c>
      <c r="F12" s="453">
        <f t="shared" si="5"/>
        <v>3214.2857142857142</v>
      </c>
      <c r="G12" s="454">
        <f>SUM($D$8:D12)/$D$15</f>
        <v>0.96499999999999997</v>
      </c>
      <c r="H12" s="181">
        <f>SUM(E8:E12)/D15+SUM(D13:D14)*4000/D15</f>
        <v>1096</v>
      </c>
      <c r="I12" s="455">
        <f>($F$15-H12)/(1-G12)</f>
        <v>2171.4285714285693</v>
      </c>
      <c r="J12" s="37"/>
      <c r="K12" s="14"/>
      <c r="V12" s="13"/>
      <c r="W12" s="13"/>
      <c r="X12" s="13"/>
      <c r="Y12" s="14"/>
      <c r="Z12" s="13"/>
    </row>
    <row r="13" spans="1:26" x14ac:dyDescent="0.3">
      <c r="A13" s="38"/>
      <c r="B13" s="39"/>
      <c r="C13" s="20" t="s">
        <v>904</v>
      </c>
      <c r="D13" s="181">
        <v>15</v>
      </c>
      <c r="E13" s="213">
        <v>66000</v>
      </c>
      <c r="F13" s="453">
        <f t="shared" si="5"/>
        <v>4400</v>
      </c>
      <c r="G13" s="454" t="s">
        <v>629</v>
      </c>
      <c r="H13" s="181" t="s">
        <v>629</v>
      </c>
      <c r="I13" s="337" t="s">
        <v>629</v>
      </c>
      <c r="J13" s="37"/>
      <c r="K13" s="14"/>
      <c r="M13" t="s">
        <v>906</v>
      </c>
      <c r="V13" s="13"/>
      <c r="W13" s="13"/>
      <c r="X13" s="13"/>
      <c r="Y13" s="14"/>
      <c r="Z13" s="13"/>
    </row>
    <row r="14" spans="1:26" x14ac:dyDescent="0.3">
      <c r="A14" s="38"/>
      <c r="B14" s="39"/>
      <c r="C14" s="22" t="s">
        <v>905</v>
      </c>
      <c r="D14" s="319">
        <v>20</v>
      </c>
      <c r="E14" s="214">
        <v>150000</v>
      </c>
      <c r="F14" s="450">
        <f t="shared" si="5"/>
        <v>7500</v>
      </c>
      <c r="G14" s="451">
        <f>SUM($D$8:D14)/$D$15</f>
        <v>1</v>
      </c>
      <c r="H14" s="319">
        <f>SUM(E8:E14)/D15</f>
        <v>1172</v>
      </c>
      <c r="I14" s="185" t="s">
        <v>282</v>
      </c>
      <c r="J14" s="37"/>
      <c r="K14" s="14"/>
      <c r="V14" s="13"/>
      <c r="W14" s="13"/>
      <c r="X14" s="13"/>
      <c r="Y14" s="14"/>
      <c r="Z14" s="13"/>
    </row>
    <row r="15" spans="1:26" ht="15.6" x14ac:dyDescent="0.35">
      <c r="A15" s="45"/>
      <c r="B15" s="36"/>
      <c r="C15" s="22" t="s">
        <v>308</v>
      </c>
      <c r="D15" s="319">
        <f>SUM(D8:D14)</f>
        <v>1000</v>
      </c>
      <c r="E15" s="214">
        <f>SUM(E8:E14)</f>
        <v>1172000</v>
      </c>
      <c r="F15" s="450">
        <f t="shared" si="5"/>
        <v>1172</v>
      </c>
      <c r="G15" s="319"/>
      <c r="H15" s="319"/>
      <c r="I15" s="185"/>
      <c r="J15" s="37"/>
      <c r="K15" s="14"/>
      <c r="M15" s="26" t="s">
        <v>907</v>
      </c>
      <c r="N15" t="str">
        <f>"("&amp;N4&amp;" + "&amp;N5&amp; " + "&amp;N6 &amp; " + "&amp;N7&amp;") / "&amp;N11</f>
        <v>(100 + 300 + 240 + 185) / 1000</v>
      </c>
      <c r="V15" s="13"/>
      <c r="W15" s="13"/>
      <c r="X15" s="13"/>
      <c r="Y15" s="14"/>
      <c r="Z15" s="13"/>
    </row>
    <row r="16" spans="1:26" x14ac:dyDescent="0.3">
      <c r="A16" s="45"/>
      <c r="B16" s="36"/>
      <c r="C16" s="181"/>
      <c r="D16" s="181"/>
      <c r="E16" s="181"/>
      <c r="F16" s="181"/>
      <c r="G16" s="36"/>
      <c r="H16" s="36"/>
      <c r="I16" s="36"/>
      <c r="J16" s="37"/>
      <c r="K16" s="14"/>
      <c r="M16" s="27" t="s">
        <v>179</v>
      </c>
      <c r="N16" s="11">
        <f>SUM(N4:N7)/N11</f>
        <v>0.82499999999999996</v>
      </c>
      <c r="V16" s="13"/>
      <c r="W16" s="13"/>
      <c r="X16" s="13"/>
      <c r="Y16" s="14"/>
      <c r="Z16" s="13"/>
    </row>
    <row r="17" spans="1:26" x14ac:dyDescent="0.3">
      <c r="A17" s="45"/>
      <c r="B17" s="36"/>
      <c r="C17" s="36"/>
      <c r="D17" s="36"/>
      <c r="E17" s="36"/>
      <c r="F17" s="36"/>
      <c r="G17" s="36"/>
      <c r="H17" s="36"/>
      <c r="I17" s="36"/>
      <c r="J17" s="37"/>
      <c r="K17" s="14"/>
      <c r="V17" s="13"/>
      <c r="W17" s="13"/>
      <c r="X17" s="13"/>
      <c r="Y17" s="14"/>
      <c r="Z17" s="13"/>
    </row>
    <row r="18" spans="1:26" x14ac:dyDescent="0.3">
      <c r="A18" s="35" t="s">
        <v>173</v>
      </c>
      <c r="B18" s="36" t="s">
        <v>174</v>
      </c>
      <c r="C18" s="84" t="s">
        <v>908</v>
      </c>
      <c r="D18" s="36"/>
      <c r="E18" s="36"/>
      <c r="F18" s="36"/>
      <c r="G18" s="36"/>
      <c r="H18" s="36"/>
      <c r="I18" s="36"/>
      <c r="J18" s="37"/>
      <c r="K18" s="14"/>
      <c r="N18" t="str">
        <f>"[ ("&amp;O4&amp;" + "&amp;O5 &amp;" + "&amp;O6&amp; " + "&amp;O7&amp;") + ("&amp;N8&amp;" + "&amp;N9&amp; " + "&amp;N10&amp;")*2000 ] / "&amp;N11</f>
        <v>[ (6000 + 95000 + 145000 + 260000) + (140 + 15 + 20)*2000 ] / 1000</v>
      </c>
      <c r="V18" s="13"/>
      <c r="W18" s="13"/>
      <c r="X18" s="13"/>
      <c r="Y18" s="14"/>
      <c r="Z18" s="13"/>
    </row>
    <row r="19" spans="1:26" ht="15" customHeight="1" x14ac:dyDescent="0.3">
      <c r="A19" s="45"/>
      <c r="B19" s="36"/>
      <c r="C19" s="36"/>
      <c r="D19" s="36"/>
      <c r="E19" s="36"/>
      <c r="F19" s="36"/>
      <c r="G19" s="36"/>
      <c r="H19" s="36"/>
      <c r="I19" s="36"/>
      <c r="J19" s="37"/>
      <c r="K19" s="14"/>
      <c r="M19" s="27" t="s">
        <v>179</v>
      </c>
      <c r="N19" s="11">
        <f>(SUM($O$4:O7)+SUM(N8:$N$10)*2000)/$N$11</f>
        <v>856</v>
      </c>
      <c r="V19" s="13"/>
      <c r="W19" s="13"/>
      <c r="X19" s="13"/>
      <c r="Y19" s="14"/>
      <c r="Z19" s="13"/>
    </row>
    <row r="20" spans="1:26" x14ac:dyDescent="0.3">
      <c r="A20" s="45"/>
      <c r="B20" s="36" t="s">
        <v>183</v>
      </c>
      <c r="C20" s="36" t="s">
        <v>909</v>
      </c>
      <c r="D20" s="36"/>
      <c r="E20" s="36"/>
      <c r="F20" s="36"/>
      <c r="G20" s="36"/>
      <c r="H20" s="36"/>
      <c r="I20" s="36"/>
      <c r="J20" s="37"/>
      <c r="K20" s="14"/>
      <c r="V20" s="13"/>
      <c r="W20" s="13"/>
      <c r="X20" s="13"/>
      <c r="Y20" s="14"/>
      <c r="Z20" s="13"/>
    </row>
    <row r="21" spans="1:26" ht="16.2" thickBot="1" x14ac:dyDescent="0.4">
      <c r="A21" s="53"/>
      <c r="B21" s="54"/>
      <c r="C21" s="54"/>
      <c r="D21" s="54"/>
      <c r="E21" s="54"/>
      <c r="F21" s="54"/>
      <c r="G21" s="54"/>
      <c r="H21" s="54"/>
      <c r="I21" s="54"/>
      <c r="J21" s="55"/>
      <c r="K21" s="14"/>
      <c r="M21" s="26" t="s">
        <v>910</v>
      </c>
      <c r="N21" t="str">
        <f>"("&amp;P11&amp;" - "&amp;R7&amp;") / ( 1 - "&amp;Q7&amp;")"</f>
        <v>(1172 - 856) / ( 1 - 0.825)</v>
      </c>
      <c r="S21" s="13"/>
      <c r="T21" s="13"/>
      <c r="U21" s="13"/>
      <c r="V21" s="13"/>
      <c r="W21" s="13"/>
      <c r="X21" s="13"/>
      <c r="Y21" s="14"/>
      <c r="Z21" s="13"/>
    </row>
    <row r="22" spans="1:26" x14ac:dyDescent="0.3">
      <c r="K22" s="14"/>
      <c r="M22" s="27" t="s">
        <v>179</v>
      </c>
      <c r="N22" s="452">
        <f>($P$11-R7)/(1-Q7)</f>
        <v>1805.7142857142853</v>
      </c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3"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3">
      <c r="K24" s="14"/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3"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3">
      <c r="K26" s="14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3">
      <c r="K27" s="14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3"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3">
      <c r="K29" s="14"/>
      <c r="S29" s="13"/>
      <c r="T29" s="13"/>
      <c r="U29" s="13"/>
      <c r="V29" s="13"/>
      <c r="W29" s="13"/>
      <c r="X29" s="13"/>
      <c r="Y29" s="14"/>
      <c r="Z29" s="13"/>
    </row>
    <row r="30" spans="1:26" x14ac:dyDescent="0.3">
      <c r="K30" s="14"/>
      <c r="S30" s="13"/>
      <c r="T30" s="13"/>
      <c r="U30" s="13"/>
      <c r="V30" s="13"/>
      <c r="W30" s="13"/>
      <c r="X30" s="13"/>
      <c r="Y30" s="14"/>
      <c r="Z30" s="13"/>
    </row>
    <row r="31" spans="1:26" x14ac:dyDescent="0.3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3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13"/>
      <c r="B39" s="13"/>
      <c r="K39" s="14"/>
      <c r="L39" t="s">
        <v>183</v>
      </c>
      <c r="M39" t="s">
        <v>911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M41" t="s">
        <v>912</v>
      </c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S44" s="13"/>
      <c r="T44" s="173"/>
      <c r="U44" s="13"/>
      <c r="V44" s="13"/>
      <c r="W44" s="13"/>
      <c r="X44" s="13"/>
      <c r="Y44" s="14"/>
      <c r="Z44" s="13"/>
    </row>
    <row r="45" spans="1:26" x14ac:dyDescent="0.3">
      <c r="K45" s="14"/>
      <c r="M45" t="s">
        <v>867</v>
      </c>
      <c r="P45" t="s">
        <v>913</v>
      </c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M47" t="s">
        <v>914</v>
      </c>
      <c r="N47" t="s">
        <v>913</v>
      </c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K48" s="14"/>
      <c r="X48" s="13"/>
      <c r="Y48" s="14"/>
      <c r="Z48" s="13"/>
    </row>
    <row r="49" spans="11:26" x14ac:dyDescent="0.3">
      <c r="K49" s="14"/>
      <c r="S49" s="13"/>
      <c r="T49" s="13"/>
      <c r="U49" s="13"/>
      <c r="V49" s="13"/>
      <c r="W49" s="13"/>
      <c r="X49" s="13"/>
      <c r="Y49" s="14"/>
      <c r="Z49" s="13"/>
    </row>
  </sheetData>
  <mergeCells count="1">
    <mergeCell ref="I1:J1"/>
  </mergeCells>
  <hyperlinks>
    <hyperlink ref="I1" location="TOC!A1" display="Return to TOC" xr:uid="{EB6D5AFF-43CE-49B3-9B57-A21046BE96CD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4072-C258-4544-ABB4-FABEEB917C62}">
  <sheetPr codeName="Sheet44"/>
  <dimension ref="A1:U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6640625" customWidth="1"/>
    <col min="3" max="3" width="10.33203125" customWidth="1"/>
    <col min="4" max="4" width="32.6640625" customWidth="1"/>
    <col min="5" max="5" width="11.109375" customWidth="1"/>
    <col min="6" max="6" width="17.33203125" customWidth="1"/>
    <col min="7" max="7" width="12.5546875" bestFit="1" customWidth="1"/>
    <col min="9" max="9" width="9.109375" customWidth="1"/>
    <col min="10" max="10" width="2.6640625" customWidth="1"/>
    <col min="11" max="11" width="4.6640625" customWidth="1"/>
    <col min="12" max="12" width="25.33203125" customWidth="1"/>
    <col min="13" max="13" width="19.6640625" customWidth="1"/>
    <col min="14" max="14" width="11" customWidth="1"/>
    <col min="15" max="15" width="8.6640625" customWidth="1"/>
    <col min="16" max="17" width="5.6640625" customWidth="1"/>
    <col min="18" max="18" width="16.33203125" customWidth="1"/>
    <col min="19" max="19" width="21.33203125" customWidth="1"/>
  </cols>
  <sheetData>
    <row r="1" spans="1:21" x14ac:dyDescent="0.3">
      <c r="A1" s="32" t="s">
        <v>137</v>
      </c>
      <c r="B1" s="33"/>
      <c r="C1" s="33" t="s">
        <v>129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T1" s="10"/>
    </row>
    <row r="2" spans="1:21" x14ac:dyDescent="0.3">
      <c r="A2" s="35" t="s">
        <v>138</v>
      </c>
      <c r="B2" s="36"/>
      <c r="C2" s="36" t="s">
        <v>915</v>
      </c>
      <c r="D2" s="36"/>
      <c r="E2" s="36"/>
      <c r="F2" s="36"/>
      <c r="G2" s="36"/>
      <c r="H2" s="36"/>
      <c r="I2" s="37"/>
      <c r="J2" s="10"/>
      <c r="K2" t="s">
        <v>917</v>
      </c>
      <c r="T2" s="10"/>
    </row>
    <row r="3" spans="1:21" x14ac:dyDescent="0.3">
      <c r="A3" s="35" t="s">
        <v>141</v>
      </c>
      <c r="B3" s="36"/>
      <c r="C3" s="36" t="s">
        <v>916</v>
      </c>
      <c r="D3" s="36"/>
      <c r="E3" s="36"/>
      <c r="F3" s="36"/>
      <c r="G3" s="36"/>
      <c r="H3" s="36"/>
      <c r="I3" s="37"/>
      <c r="J3" s="10"/>
      <c r="T3" s="14"/>
    </row>
    <row r="4" spans="1:21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T4" s="14"/>
      <c r="U4" s="13"/>
    </row>
    <row r="5" spans="1:21" ht="15" customHeight="1" x14ac:dyDescent="0.3">
      <c r="A5" s="41" t="s">
        <v>144</v>
      </c>
      <c r="B5" s="36"/>
      <c r="C5" s="36" t="s">
        <v>918</v>
      </c>
      <c r="D5" s="36"/>
      <c r="E5" s="36"/>
      <c r="F5" s="36"/>
      <c r="G5" s="36"/>
      <c r="H5" s="36"/>
      <c r="I5" s="37"/>
      <c r="J5" s="14"/>
      <c r="T5" s="14"/>
      <c r="U5" s="13"/>
    </row>
    <row r="6" spans="1:21" x14ac:dyDescent="0.3">
      <c r="A6" s="45"/>
      <c r="B6" s="406">
        <v>400</v>
      </c>
      <c r="C6" s="412" t="s">
        <v>919</v>
      </c>
      <c r="D6" s="84">
        <v>7</v>
      </c>
      <c r="E6" s="36"/>
      <c r="F6" s="36"/>
      <c r="G6" s="36"/>
      <c r="H6" s="36"/>
      <c r="I6" s="37"/>
      <c r="J6" s="14"/>
      <c r="K6" t="s">
        <v>174</v>
      </c>
      <c r="L6" t="s">
        <v>921</v>
      </c>
      <c r="T6" s="14"/>
      <c r="U6" s="13"/>
    </row>
    <row r="7" spans="1:21" ht="15" customHeight="1" x14ac:dyDescent="0.3">
      <c r="A7" s="45"/>
      <c r="B7" s="472">
        <v>0.2</v>
      </c>
      <c r="C7" s="412" t="s">
        <v>920</v>
      </c>
      <c r="D7" s="84">
        <v>2.4</v>
      </c>
      <c r="E7" s="36"/>
      <c r="F7" s="36"/>
      <c r="G7" s="36"/>
      <c r="H7" s="36"/>
      <c r="I7" s="37"/>
      <c r="J7" s="14"/>
      <c r="T7" s="14"/>
      <c r="U7" s="13"/>
    </row>
    <row r="8" spans="1:21" ht="15" customHeight="1" x14ac:dyDescent="0.3">
      <c r="A8" s="41"/>
      <c r="B8" s="39"/>
      <c r="C8" s="36"/>
      <c r="D8" s="36"/>
      <c r="E8" s="36"/>
      <c r="F8" s="36"/>
      <c r="G8" s="36"/>
      <c r="H8" s="36"/>
      <c r="I8" s="37"/>
      <c r="J8" s="14"/>
      <c r="T8" s="14"/>
      <c r="U8" s="13"/>
    </row>
    <row r="9" spans="1:21" x14ac:dyDescent="0.3">
      <c r="A9" s="41"/>
      <c r="B9" s="39"/>
      <c r="C9" s="36" t="s">
        <v>922</v>
      </c>
      <c r="D9" s="36"/>
      <c r="E9" s="36"/>
      <c r="F9" s="36"/>
      <c r="G9" s="36"/>
      <c r="H9" s="36"/>
      <c r="I9" s="37"/>
      <c r="J9" s="14"/>
      <c r="T9" s="14"/>
      <c r="U9" s="13"/>
    </row>
    <row r="10" spans="1:21" x14ac:dyDescent="0.3">
      <c r="A10" s="38"/>
      <c r="B10" s="39"/>
      <c r="C10" s="213">
        <v>2200</v>
      </c>
      <c r="D10" s="36" t="s">
        <v>923</v>
      </c>
      <c r="E10" s="36"/>
      <c r="F10" s="36"/>
      <c r="G10" s="36"/>
      <c r="H10" s="36"/>
      <c r="I10" s="37"/>
      <c r="J10" s="14"/>
      <c r="L10" s="26" t="s">
        <v>924</v>
      </c>
      <c r="M10" s="460">
        <f>D19</f>
        <v>8896.0400000000009</v>
      </c>
      <c r="T10" s="14"/>
      <c r="U10" s="13"/>
    </row>
    <row r="11" spans="1:21" x14ac:dyDescent="0.3">
      <c r="A11" s="38"/>
      <c r="B11" s="39"/>
      <c r="C11" s="36"/>
      <c r="D11" s="36"/>
      <c r="E11" s="36"/>
      <c r="F11" s="36"/>
      <c r="G11" s="36"/>
      <c r="H11" s="36"/>
      <c r="I11" s="37"/>
      <c r="J11" s="14"/>
      <c r="L11" s="26" t="s">
        <v>926</v>
      </c>
      <c r="M11" s="460">
        <f>D20</f>
        <v>15345.22</v>
      </c>
      <c r="T11" s="14"/>
      <c r="U11" s="13"/>
    </row>
    <row r="12" spans="1:21" x14ac:dyDescent="0.3">
      <c r="A12" s="38"/>
      <c r="B12" s="39"/>
      <c r="C12" s="181">
        <v>5.0000000000000001E-4</v>
      </c>
      <c r="D12" s="36" t="s">
        <v>925</v>
      </c>
      <c r="E12" s="36"/>
      <c r="F12" s="36"/>
      <c r="G12" s="36"/>
      <c r="H12" s="36"/>
      <c r="I12" s="37"/>
      <c r="J12" s="14"/>
      <c r="L12" s="410" t="s">
        <v>927</v>
      </c>
      <c r="M12" s="461">
        <f>C10</f>
        <v>2200</v>
      </c>
      <c r="T12" s="14"/>
      <c r="U12" s="13"/>
    </row>
    <row r="13" spans="1:21" x14ac:dyDescent="0.3">
      <c r="A13" s="38"/>
      <c r="B13" s="39"/>
      <c r="C13" s="36"/>
      <c r="D13" s="36"/>
      <c r="E13" s="36"/>
      <c r="F13" s="36"/>
      <c r="G13" s="36"/>
      <c r="H13" s="36"/>
      <c r="I13" s="37"/>
      <c r="J13" s="14"/>
      <c r="L13" s="410" t="str">
        <f>"So I("&amp;TEXT(C20,"$0,000")&amp;") ="</f>
        <v>So I($1,000,000) =</v>
      </c>
      <c r="M13" s="11" t="str">
        <f>"(" &amp; M11&amp;" + "&amp;M12&amp;") / (" &amp;M10 &amp;" + "&amp;M12&amp;") "</f>
        <v xml:space="preserve">(15345.22 + 2200) / (8896.04 + 2200) </v>
      </c>
      <c r="T13" s="14"/>
      <c r="U13" s="13"/>
    </row>
    <row r="14" spans="1:21" x14ac:dyDescent="0.3">
      <c r="A14" s="38"/>
      <c r="B14" s="39"/>
      <c r="C14" s="468">
        <v>0.35</v>
      </c>
      <c r="D14" s="36" t="s">
        <v>928</v>
      </c>
      <c r="E14" s="36"/>
      <c r="F14" s="36"/>
      <c r="G14" s="36"/>
      <c r="H14" s="36"/>
      <c r="I14" s="37"/>
      <c r="J14" s="14"/>
      <c r="L14" s="462" t="s">
        <v>179</v>
      </c>
      <c r="M14" s="463">
        <f>ROUND((M11+M12)/(M10+M12),4)</f>
        <v>1.5811999999999999</v>
      </c>
      <c r="T14" s="14"/>
      <c r="U14" s="13"/>
    </row>
    <row r="15" spans="1:21" x14ac:dyDescent="0.3">
      <c r="A15" s="45"/>
      <c r="B15" s="36"/>
      <c r="C15" s="36"/>
      <c r="D15" s="36"/>
      <c r="E15" s="36"/>
      <c r="F15" s="36"/>
      <c r="G15" s="36"/>
      <c r="H15" s="36"/>
      <c r="I15" s="37"/>
      <c r="J15" s="14"/>
      <c r="T15" s="14"/>
      <c r="U15" s="13"/>
    </row>
    <row r="16" spans="1:21" x14ac:dyDescent="0.3">
      <c r="A16" s="45"/>
      <c r="B16" s="36"/>
      <c r="C16" s="213">
        <v>100000</v>
      </c>
      <c r="D16" s="36" t="s">
        <v>929</v>
      </c>
      <c r="E16" s="36"/>
      <c r="F16" s="36"/>
      <c r="G16" s="36"/>
      <c r="H16" s="36"/>
      <c r="I16" s="37"/>
      <c r="J16" s="14"/>
      <c r="K16" t="s">
        <v>930</v>
      </c>
      <c r="L16" s="26" t="s">
        <v>931</v>
      </c>
      <c r="M16" s="11" t="str">
        <f>"m*φ = "&amp;B6&amp; " * "&amp; C12 &amp; " = "&amp;B6*C12</f>
        <v>m*φ = 400 * 0.0005 = 0.2</v>
      </c>
      <c r="O16" s="225">
        <f>B6*C12</f>
        <v>0.2</v>
      </c>
      <c r="T16" s="14"/>
      <c r="U16" s="13"/>
    </row>
    <row r="17" spans="1:21" x14ac:dyDescent="0.3">
      <c r="A17" s="45"/>
      <c r="B17" s="36"/>
      <c r="C17" s="36"/>
      <c r="D17" s="36"/>
      <c r="E17" s="36"/>
      <c r="F17" s="36"/>
      <c r="G17" s="36"/>
      <c r="H17" s="36"/>
      <c r="I17" s="37"/>
      <c r="J17" s="14"/>
      <c r="L17" s="26" t="s">
        <v>934</v>
      </c>
      <c r="M17" s="464">
        <f>D19</f>
        <v>8896.0400000000009</v>
      </c>
      <c r="T17" s="14"/>
      <c r="U17" s="13"/>
    </row>
    <row r="18" spans="1:21" x14ac:dyDescent="0.3">
      <c r="A18" s="45"/>
      <c r="B18" s="36"/>
      <c r="C18" s="48" t="s">
        <v>932</v>
      </c>
      <c r="D18" s="96" t="s">
        <v>933</v>
      </c>
      <c r="E18" s="36"/>
      <c r="F18" s="36"/>
      <c r="G18" s="36"/>
      <c r="H18" s="36"/>
      <c r="I18" s="37"/>
      <c r="J18" s="14"/>
      <c r="L18" s="26" t="s">
        <v>935</v>
      </c>
      <c r="N18" s="465">
        <f>ROUND(O16*(M17+C10),2)</f>
        <v>2219.21</v>
      </c>
      <c r="T18" s="14"/>
      <c r="U18" s="13"/>
    </row>
    <row r="19" spans="1:21" ht="15" customHeight="1" x14ac:dyDescent="0.3">
      <c r="A19" s="45"/>
      <c r="B19" s="36"/>
      <c r="C19" s="144">
        <f>C16</f>
        <v>100000</v>
      </c>
      <c r="D19" s="470">
        <f>ROUND(EXP($D$6+$D$7^2/2)*_xlfn.NORM.DIST((LN(C19)-$D$6-$D$7^2)/$D$7,0,1,TRUE)+C19*_xlfn.NORM.DIST((-LN(C19)+$D$6)/$D$7,0,1,TRUE),2)</f>
        <v>8896.0400000000009</v>
      </c>
      <c r="E19" s="36"/>
      <c r="F19" s="36"/>
      <c r="G19" s="36"/>
      <c r="H19" s="36"/>
      <c r="I19" s="37"/>
      <c r="J19" s="14"/>
      <c r="T19" s="14"/>
      <c r="U19" s="13"/>
    </row>
    <row r="20" spans="1:21" x14ac:dyDescent="0.3">
      <c r="A20" s="45"/>
      <c r="B20" s="36"/>
      <c r="C20" s="147">
        <v>1000000</v>
      </c>
      <c r="D20" s="471">
        <f>ROUND(EXP($D$6+$D$7^2/2)*_xlfn.NORM.DIST((LN(C20)-$D$6-$D$7^2)/$D$7,0,1,TRUE)+C20*_xlfn.NORM.DIST((-LN(C20)+$D$6)/$D$7,0,1,TRUE),2)</f>
        <v>15345.22</v>
      </c>
      <c r="E20" s="36"/>
      <c r="F20" s="36"/>
      <c r="G20" s="36"/>
      <c r="H20" s="36"/>
      <c r="I20" s="37"/>
      <c r="J20" s="14"/>
      <c r="L20" s="11" t="s">
        <v>936</v>
      </c>
      <c r="T20" s="14"/>
      <c r="U20" s="13"/>
    </row>
    <row r="21" spans="1:21" x14ac:dyDescent="0.3">
      <c r="A21" s="45"/>
      <c r="B21" s="36"/>
      <c r="C21" s="36"/>
      <c r="D21" s="36"/>
      <c r="E21" s="36"/>
      <c r="F21" s="36"/>
      <c r="G21" s="36"/>
      <c r="H21" s="36"/>
      <c r="I21" s="37"/>
      <c r="J21" s="14"/>
      <c r="L21" s="26" t="s">
        <v>937</v>
      </c>
      <c r="M21" s="11" t="str">
        <f>"mp / (1 - v) = " &amp;N18 &amp;" / (1 - "&amp;TEXT(C14,"0.0%")&amp;") ="</f>
        <v>mp / (1 - v) = 2219.21 / (1 - 35.0%) =</v>
      </c>
      <c r="O21" s="465">
        <f>ROUND(N18/(1-C14),2)</f>
        <v>3414.17</v>
      </c>
      <c r="R21" s="13"/>
      <c r="S21" s="13"/>
      <c r="T21" s="14"/>
      <c r="U21" s="13"/>
    </row>
    <row r="22" spans="1:21" x14ac:dyDescent="0.3">
      <c r="A22" s="45"/>
      <c r="B22" s="36"/>
      <c r="C22" s="36"/>
      <c r="D22" s="36"/>
      <c r="E22" s="36"/>
      <c r="F22" s="36"/>
      <c r="G22" s="36"/>
      <c r="H22" s="36"/>
      <c r="I22" s="37"/>
      <c r="J22" s="14"/>
      <c r="R22" s="13"/>
      <c r="S22" s="13"/>
      <c r="T22" s="14"/>
      <c r="U22" s="13"/>
    </row>
    <row r="23" spans="1:21" ht="15" customHeight="1" x14ac:dyDescent="0.3">
      <c r="A23" s="35" t="s">
        <v>173</v>
      </c>
      <c r="B23" s="36" t="s">
        <v>174</v>
      </c>
      <c r="C23" s="36" t="str">
        <f>"Calculate the increased limit factor for a policy limit of "&amp;TEXT(C20,"$0,000")</f>
        <v>Calculate the increased limit factor for a policy limit of $1,000,000</v>
      </c>
      <c r="D23" s="36"/>
      <c r="E23" s="36"/>
      <c r="F23" s="36"/>
      <c r="G23" s="36"/>
      <c r="H23" s="36"/>
      <c r="I23" s="37"/>
      <c r="J23" s="14"/>
      <c r="R23" s="13"/>
      <c r="S23" s="13"/>
      <c r="T23" s="14"/>
      <c r="U23" s="13"/>
    </row>
    <row r="24" spans="1:21" ht="15" customHeight="1" x14ac:dyDescent="0.3">
      <c r="A24" s="45"/>
      <c r="B24" s="36"/>
      <c r="C24" s="36"/>
      <c r="D24" s="36"/>
      <c r="E24" s="36"/>
      <c r="F24" s="36"/>
      <c r="G24" s="36"/>
      <c r="H24" s="36"/>
      <c r="I24" s="37"/>
      <c r="J24" s="14"/>
      <c r="K24" s="26" t="s">
        <v>938</v>
      </c>
      <c r="L24" s="26" t="s">
        <v>931</v>
      </c>
      <c r="M24" s="11">
        <f>B6*C12</f>
        <v>0.2</v>
      </c>
      <c r="N24" t="s">
        <v>939</v>
      </c>
      <c r="R24" s="13"/>
      <c r="S24" s="13"/>
      <c r="T24" s="14"/>
      <c r="U24" s="13"/>
    </row>
    <row r="25" spans="1:21" ht="15" customHeight="1" x14ac:dyDescent="0.3">
      <c r="A25" s="45"/>
      <c r="B25" s="36"/>
      <c r="C25" s="36"/>
      <c r="D25" s="36"/>
      <c r="E25" s="36"/>
      <c r="F25" s="36"/>
      <c r="G25" s="36"/>
      <c r="H25" s="36"/>
      <c r="I25" s="37"/>
      <c r="J25" s="14"/>
      <c r="L25" s="26" t="s">
        <v>940</v>
      </c>
      <c r="M25" s="460">
        <f>D20</f>
        <v>15345.22</v>
      </c>
      <c r="R25" s="13"/>
      <c r="S25" s="13"/>
      <c r="T25" s="14"/>
      <c r="U25" s="13"/>
    </row>
    <row r="26" spans="1:21" ht="15" customHeight="1" x14ac:dyDescent="0.3">
      <c r="A26" s="45"/>
      <c r="B26" s="36" t="s">
        <v>183</v>
      </c>
      <c r="C26" s="36" t="str">
        <f>"For a policy with "&amp;B6 &amp;" exposures, calculate the premium at the"</f>
        <v>For a policy with 400 exposures, calculate the premium at the</v>
      </c>
      <c r="D26" s="36"/>
      <c r="E26" s="36"/>
      <c r="F26" s="36"/>
      <c r="G26" s="36"/>
      <c r="H26" s="36"/>
      <c r="I26" s="37"/>
      <c r="J26" s="14"/>
      <c r="L26" s="26" t="s">
        <v>935</v>
      </c>
      <c r="N26" s="452">
        <f>(M25+C10)*M24</f>
        <v>3509.0440000000003</v>
      </c>
      <c r="R26" s="13"/>
      <c r="S26" s="13"/>
      <c r="T26" s="14"/>
      <c r="U26" s="13"/>
    </row>
    <row r="27" spans="1:21" ht="15" customHeight="1" x14ac:dyDescent="0.3">
      <c r="A27" s="45"/>
      <c r="B27" s="36" t="s">
        <v>178</v>
      </c>
      <c r="C27" s="36" t="s">
        <v>941</v>
      </c>
      <c r="D27" s="36"/>
      <c r="E27" s="36"/>
      <c r="F27" s="36"/>
      <c r="G27" s="36"/>
      <c r="H27" s="36"/>
      <c r="I27" s="37"/>
      <c r="J27" s="14"/>
      <c r="L27" s="26" t="str">
        <f>TEXT(C20,"$0,000")&amp;" Limit Premium ="</f>
        <v>$1,000,000 Limit Premium =</v>
      </c>
      <c r="M27" s="11" t="s">
        <v>942</v>
      </c>
      <c r="R27" s="13"/>
      <c r="S27" s="13"/>
      <c r="T27" s="14"/>
      <c r="U27" s="13"/>
    </row>
    <row r="28" spans="1:21" ht="15" customHeight="1" x14ac:dyDescent="0.3">
      <c r="A28" s="45"/>
      <c r="B28" s="36" t="s">
        <v>180</v>
      </c>
      <c r="C28" s="36" t="str">
        <f>TEXT(C20,"$0,000") &amp;" limit."</f>
        <v>$1,000,000 limit.</v>
      </c>
      <c r="D28" s="36"/>
      <c r="E28" s="36"/>
      <c r="F28" s="36"/>
      <c r="G28" s="36"/>
      <c r="H28" s="36"/>
      <c r="I28" s="37"/>
      <c r="J28" s="14"/>
      <c r="L28" s="27" t="s">
        <v>179</v>
      </c>
      <c r="M28" s="465">
        <f>ROUND(N26/(1-C14),2)</f>
        <v>5398.53</v>
      </c>
      <c r="R28" s="13"/>
      <c r="S28" s="13"/>
      <c r="T28" s="14"/>
      <c r="U28" s="13"/>
    </row>
    <row r="29" spans="1:21" x14ac:dyDescent="0.3">
      <c r="A29" s="45"/>
      <c r="B29" s="36"/>
      <c r="C29" s="36"/>
      <c r="D29" s="36"/>
      <c r="E29" s="36"/>
      <c r="F29" s="36"/>
      <c r="G29" s="36"/>
      <c r="H29" s="36"/>
      <c r="I29" s="37"/>
      <c r="J29" s="14"/>
      <c r="R29" s="13"/>
      <c r="S29" s="13"/>
      <c r="T29" s="14"/>
      <c r="U29" s="13"/>
    </row>
    <row r="30" spans="1:21" x14ac:dyDescent="0.3">
      <c r="A30" s="45"/>
      <c r="B30" s="36"/>
      <c r="C30" s="36"/>
      <c r="D30" s="36"/>
      <c r="E30" s="36"/>
      <c r="F30" s="36"/>
      <c r="G30" s="36"/>
      <c r="H30" s="36"/>
      <c r="I30" s="37"/>
      <c r="J30" s="14"/>
      <c r="L30" t="s">
        <v>943</v>
      </c>
      <c r="R30" s="13"/>
      <c r="S30" s="13"/>
      <c r="T30" s="14"/>
      <c r="U30" s="13"/>
    </row>
    <row r="31" spans="1:21" ht="15.6" x14ac:dyDescent="0.35">
      <c r="A31" s="45"/>
      <c r="B31" s="36" t="s">
        <v>778</v>
      </c>
      <c r="C31" s="36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36"/>
      <c r="E31" s="36"/>
      <c r="F31" s="36"/>
      <c r="G31" s="36"/>
      <c r="H31" s="36"/>
      <c r="I31" s="37"/>
      <c r="J31" s="14"/>
      <c r="L31" t="str">
        <f>TEXT(C20,"$0,000")&amp;" Limit Premium ="</f>
        <v>$1,000,000 Limit Premium =</v>
      </c>
      <c r="N31" t="s">
        <v>944</v>
      </c>
      <c r="R31" s="13"/>
      <c r="S31" s="13"/>
      <c r="T31" s="14"/>
      <c r="U31" s="13"/>
    </row>
    <row r="32" spans="1:21" x14ac:dyDescent="0.3">
      <c r="A32" s="45"/>
      <c r="B32" s="36" t="s">
        <v>178</v>
      </c>
      <c r="C32" s="36" t="str">
        <f>"The ILF for a policy with "&amp; TEXT(C20,"$0,000") &amp;" limit."</f>
        <v>The ILF for a policy with $1,000,000 limit.</v>
      </c>
      <c r="D32" s="36"/>
      <c r="E32" s="36"/>
      <c r="F32" s="36"/>
      <c r="G32" s="36"/>
      <c r="H32" s="36"/>
      <c r="I32" s="37"/>
      <c r="J32" s="14"/>
      <c r="L32" s="27" t="s">
        <v>179</v>
      </c>
      <c r="M32" t="str">
        <f>O21 &amp;" * "&amp;M14</f>
        <v>3414.17 * 1.5812</v>
      </c>
      <c r="R32" s="13"/>
      <c r="S32" s="13"/>
      <c r="T32" s="14"/>
      <c r="U32" s="13"/>
    </row>
    <row r="33" spans="1:21" x14ac:dyDescent="0.3">
      <c r="A33" s="45"/>
      <c r="B33" s="36" t="s">
        <v>180</v>
      </c>
      <c r="C33" s="36" t="s">
        <v>945</v>
      </c>
      <c r="D33" s="36"/>
      <c r="E33" s="36"/>
      <c r="F33" s="36"/>
      <c r="G33" s="36"/>
      <c r="H33" s="36"/>
      <c r="I33" s="37"/>
      <c r="J33" s="14"/>
      <c r="L33" s="27" t="s">
        <v>179</v>
      </c>
      <c r="M33" s="465">
        <f>ROUND(O21*M14,2)</f>
        <v>5398.49</v>
      </c>
      <c r="R33" s="13"/>
      <c r="S33" s="13"/>
      <c r="T33" s="14"/>
      <c r="U33" s="13"/>
    </row>
    <row r="34" spans="1:21" x14ac:dyDescent="0.3">
      <c r="A34" s="45"/>
      <c r="B34" s="36" t="s">
        <v>946</v>
      </c>
      <c r="C34" s="36" t="str">
        <f>"Policy premium for a policy with "&amp;TEXT(C20,"$0,000")&amp; " limit."</f>
        <v>Policy premium for a policy with $1,000,000 limit.</v>
      </c>
      <c r="D34" s="36"/>
      <c r="E34" s="36"/>
      <c r="F34" s="36"/>
      <c r="G34" s="36"/>
      <c r="H34" s="36"/>
      <c r="I34" s="37"/>
      <c r="J34" s="14"/>
      <c r="R34" s="13"/>
      <c r="S34" s="13"/>
      <c r="T34" s="14"/>
      <c r="U34" s="13"/>
    </row>
    <row r="35" spans="1:21" x14ac:dyDescent="0.3">
      <c r="A35" s="45"/>
      <c r="B35" s="36"/>
      <c r="C35" s="36"/>
      <c r="D35" s="36"/>
      <c r="E35" s="36"/>
      <c r="F35" s="36"/>
      <c r="G35" s="36"/>
      <c r="H35" s="36"/>
      <c r="I35" s="37"/>
      <c r="J35" s="14"/>
      <c r="L35" t="s">
        <v>947</v>
      </c>
      <c r="R35" s="13"/>
      <c r="S35" s="13"/>
      <c r="T35" s="14"/>
      <c r="U35" s="13"/>
    </row>
    <row r="36" spans="1:21" x14ac:dyDescent="0.3">
      <c r="A36" s="45"/>
      <c r="B36" s="36"/>
      <c r="C36" s="36"/>
      <c r="D36" s="36"/>
      <c r="E36" s="36"/>
      <c r="F36" s="36"/>
      <c r="G36" s="36"/>
      <c r="H36" s="36"/>
      <c r="I36" s="37"/>
      <c r="J36" s="14"/>
      <c r="R36" s="13"/>
      <c r="S36" s="13"/>
      <c r="T36" s="14"/>
      <c r="U36" s="13"/>
    </row>
    <row r="37" spans="1:21" x14ac:dyDescent="0.3">
      <c r="A37" s="45"/>
      <c r="B37" s="469" t="s">
        <v>948</v>
      </c>
      <c r="C37" s="36"/>
      <c r="D37" s="36"/>
      <c r="E37" s="36"/>
      <c r="F37" s="36"/>
      <c r="G37" s="36"/>
      <c r="H37" s="36"/>
      <c r="I37" s="37"/>
      <c r="J37" s="14"/>
      <c r="K37" t="s">
        <v>949</v>
      </c>
      <c r="L37" s="26" t="str">
        <f>"I("&amp;TEXT(C20,"$0,000")&amp;") ="</f>
        <v>I($1,000,000) =</v>
      </c>
      <c r="N37" t="s">
        <v>950</v>
      </c>
      <c r="R37" s="13"/>
      <c r="S37" s="13"/>
      <c r="T37" s="14"/>
      <c r="U37" s="13"/>
    </row>
    <row r="38" spans="1:21" x14ac:dyDescent="0.3">
      <c r="A38" s="45"/>
      <c r="B38" s="36"/>
      <c r="C38" s="36"/>
      <c r="D38" s="36"/>
      <c r="E38" s="36"/>
      <c r="F38" s="36"/>
      <c r="G38" s="36"/>
      <c r="H38" s="36"/>
      <c r="I38" s="37"/>
      <c r="J38" s="14"/>
      <c r="L38" s="27" t="s">
        <v>179</v>
      </c>
      <c r="M38" s="466">
        <f>D20*(1+B7)/(D19*(1+B7))</f>
        <v>1.7249495281046394</v>
      </c>
      <c r="R38" s="13"/>
      <c r="S38" s="13"/>
      <c r="T38" s="14"/>
      <c r="U38" s="13"/>
    </row>
    <row r="39" spans="1:21" x14ac:dyDescent="0.3">
      <c r="A39" s="38"/>
      <c r="B39" s="226" t="s">
        <v>951</v>
      </c>
      <c r="C39" s="36"/>
      <c r="D39" s="36"/>
      <c r="E39" s="36"/>
      <c r="F39" s="36"/>
      <c r="G39" s="36"/>
      <c r="H39" s="36"/>
      <c r="I39" s="37"/>
      <c r="J39" s="14"/>
      <c r="R39" s="13"/>
      <c r="S39" s="13"/>
      <c r="T39" s="14"/>
      <c r="U39" s="13"/>
    </row>
    <row r="40" spans="1:21" x14ac:dyDescent="0.3">
      <c r="A40" s="45"/>
      <c r="B40" s="36"/>
      <c r="C40" s="36"/>
      <c r="D40" s="36"/>
      <c r="E40" s="36"/>
      <c r="F40" s="36"/>
      <c r="G40" s="36"/>
      <c r="H40" s="36"/>
      <c r="I40" s="37"/>
      <c r="J40" s="14"/>
      <c r="K40" t="s">
        <v>952</v>
      </c>
      <c r="L40" s="26" t="s">
        <v>931</v>
      </c>
      <c r="M40" s="11">
        <f>B6*C12</f>
        <v>0.2</v>
      </c>
      <c r="N40" t="s">
        <v>939</v>
      </c>
      <c r="R40" s="13"/>
      <c r="S40" s="13"/>
      <c r="T40" s="14"/>
      <c r="U40" s="13"/>
    </row>
    <row r="41" spans="1:21" x14ac:dyDescent="0.3">
      <c r="A41" s="45"/>
      <c r="B41" s="36"/>
      <c r="C41" s="36"/>
      <c r="D41" s="36"/>
      <c r="E41" s="36"/>
      <c r="F41" s="36"/>
      <c r="G41" s="36"/>
      <c r="H41" s="36"/>
      <c r="I41" s="37"/>
      <c r="J41" s="14"/>
      <c r="L41" s="26" t="s">
        <v>934</v>
      </c>
      <c r="M41" s="460">
        <f>D19</f>
        <v>8896.0400000000009</v>
      </c>
      <c r="R41" s="13"/>
      <c r="S41" s="13"/>
      <c r="T41" s="14"/>
      <c r="U41" s="13"/>
    </row>
    <row r="42" spans="1:21" x14ac:dyDescent="0.3">
      <c r="A42" s="45"/>
      <c r="B42" s="36"/>
      <c r="C42" s="36"/>
      <c r="D42" s="36"/>
      <c r="E42" s="36"/>
      <c r="F42" s="36"/>
      <c r="G42" s="36"/>
      <c r="H42" s="36"/>
      <c r="I42" s="37"/>
      <c r="J42" s="14"/>
      <c r="L42" s="26" t="s">
        <v>935</v>
      </c>
      <c r="R42" s="13"/>
      <c r="S42" s="13"/>
      <c r="T42" s="14"/>
      <c r="U42" s="13"/>
    </row>
    <row r="43" spans="1:21" x14ac:dyDescent="0.3">
      <c r="A43" s="45"/>
      <c r="B43" s="36"/>
      <c r="C43" s="36"/>
      <c r="D43" s="36"/>
      <c r="E43" s="36"/>
      <c r="F43" s="36"/>
      <c r="G43" s="36"/>
      <c r="H43" s="36"/>
      <c r="I43" s="37"/>
      <c r="J43" s="14"/>
      <c r="L43" s="27" t="s">
        <v>179</v>
      </c>
      <c r="M43" s="467">
        <f>ROUND(M41*M40*(1+B7),2)</f>
        <v>2135.0500000000002</v>
      </c>
      <c r="R43" s="13"/>
      <c r="S43" s="13"/>
      <c r="T43" s="14"/>
      <c r="U43" s="13"/>
    </row>
    <row r="44" spans="1:21" ht="15" thickBot="1" x14ac:dyDescent="0.35">
      <c r="A44" s="53"/>
      <c r="B44" s="54"/>
      <c r="C44" s="54"/>
      <c r="D44" s="54"/>
      <c r="E44" s="54"/>
      <c r="F44" s="54"/>
      <c r="G44" s="54"/>
      <c r="H44" s="54"/>
      <c r="I44" s="55"/>
      <c r="J44" s="14"/>
      <c r="R44" s="13"/>
      <c r="S44" s="13"/>
      <c r="T44" s="14"/>
      <c r="U44" s="13"/>
    </row>
    <row r="45" spans="1:21" x14ac:dyDescent="0.3">
      <c r="J45" s="14"/>
      <c r="L45" s="26" t="s">
        <v>953</v>
      </c>
      <c r="M45" s="465">
        <f>M43/(1-C14)</f>
        <v>3284.6923076923081</v>
      </c>
      <c r="N45" t="s">
        <v>954</v>
      </c>
      <c r="R45" s="13"/>
      <c r="S45" s="13"/>
      <c r="T45" s="14"/>
      <c r="U45" s="13"/>
    </row>
    <row r="46" spans="1:21" x14ac:dyDescent="0.3">
      <c r="J46" s="14"/>
      <c r="R46" s="13"/>
      <c r="S46" s="13"/>
      <c r="T46" s="14"/>
      <c r="U46" s="13"/>
    </row>
    <row r="47" spans="1:21" x14ac:dyDescent="0.3">
      <c r="J47" s="14"/>
      <c r="K47" s="26" t="s">
        <v>955</v>
      </c>
      <c r="L47" t="str">
        <f>TEXT(C20,"$0,000")&amp;" Limit Premium ="</f>
        <v>$1,000,000 Limit Premium =</v>
      </c>
      <c r="R47" s="13"/>
      <c r="S47" s="13"/>
      <c r="T47" s="14"/>
      <c r="U47" s="13"/>
    </row>
    <row r="48" spans="1:21" x14ac:dyDescent="0.3">
      <c r="J48" s="14"/>
      <c r="L48" s="27" t="s">
        <v>179</v>
      </c>
      <c r="M48" s="465">
        <f>M45*M38</f>
        <v>5665.9284461227862</v>
      </c>
      <c r="R48" s="13"/>
      <c r="S48" s="13"/>
      <c r="T48" s="14"/>
      <c r="U48" s="13"/>
    </row>
    <row r="49" spans="10:21" x14ac:dyDescent="0.3">
      <c r="J49" s="14"/>
      <c r="U49" s="13"/>
    </row>
  </sheetData>
  <mergeCells count="1">
    <mergeCell ref="H1:I1"/>
  </mergeCells>
  <hyperlinks>
    <hyperlink ref="H1" location="TOC!A1" display="Return to TOC" xr:uid="{9036DFCF-DF6B-482B-801D-51C8CB65ED66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8A97-38AE-44F5-84E1-B43C793951DE}">
  <sheetPr codeName="Sheet45"/>
  <dimension ref="A1:X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9.109375" customWidth="1"/>
    <col min="4" max="4" width="20.33203125" bestFit="1" customWidth="1"/>
    <col min="5" max="6" width="5.6640625" customWidth="1"/>
    <col min="7" max="8" width="9.109375" customWidth="1"/>
    <col min="9" max="9" width="2.6640625" customWidth="1"/>
    <col min="10" max="10" width="7.109375" customWidth="1"/>
    <col min="11" max="11" width="22.44140625" customWidth="1"/>
    <col min="12" max="12" width="20.33203125" bestFit="1" customWidth="1"/>
    <col min="13" max="13" width="31.88671875" bestFit="1" customWidth="1"/>
    <col min="14" max="15" width="8.6640625" customWidth="1"/>
    <col min="16" max="25" width="9" customWidth="1"/>
  </cols>
  <sheetData>
    <row r="1" spans="1:24" x14ac:dyDescent="0.3">
      <c r="A1" s="32" t="s">
        <v>137</v>
      </c>
      <c r="B1" s="33"/>
      <c r="C1" s="33" t="s">
        <v>129</v>
      </c>
      <c r="D1" s="34"/>
      <c r="E1" s="33"/>
      <c r="F1" s="33"/>
      <c r="G1" s="772" t="s">
        <v>199</v>
      </c>
      <c r="H1" s="773"/>
      <c r="I1" s="10"/>
      <c r="J1" s="12" t="s">
        <v>140</v>
      </c>
      <c r="W1" s="10"/>
    </row>
    <row r="2" spans="1:24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7"/>
      <c r="I2" s="10"/>
      <c r="K2" t="s">
        <v>956</v>
      </c>
      <c r="W2" s="10"/>
    </row>
    <row r="3" spans="1:24" x14ac:dyDescent="0.3">
      <c r="A3" s="35" t="s">
        <v>141</v>
      </c>
      <c r="B3" s="36"/>
      <c r="C3" s="36" t="s">
        <v>72</v>
      </c>
      <c r="D3" s="36"/>
      <c r="E3" s="36"/>
      <c r="F3" s="36"/>
      <c r="G3" s="36"/>
      <c r="H3" s="37"/>
      <c r="I3" s="10"/>
      <c r="W3" s="10"/>
    </row>
    <row r="4" spans="1:24" x14ac:dyDescent="0.3">
      <c r="A4" s="38"/>
      <c r="B4" s="39"/>
      <c r="C4" s="39"/>
      <c r="D4" s="39"/>
      <c r="E4" s="39"/>
      <c r="F4" s="39"/>
      <c r="G4" s="39"/>
      <c r="H4" s="40"/>
      <c r="I4" s="14"/>
      <c r="K4" s="86" t="s">
        <v>959</v>
      </c>
      <c r="L4" s="211" t="s">
        <v>960</v>
      </c>
      <c r="M4" s="25" t="s">
        <v>961</v>
      </c>
      <c r="W4" s="14"/>
      <c r="X4" s="13"/>
    </row>
    <row r="5" spans="1:24" ht="15" customHeight="1" x14ac:dyDescent="0.3">
      <c r="A5" s="41" t="s">
        <v>144</v>
      </c>
      <c r="B5" s="36"/>
      <c r="C5" s="333" t="s">
        <v>957</v>
      </c>
      <c r="D5" s="96" t="s">
        <v>958</v>
      </c>
      <c r="E5" s="36"/>
      <c r="F5" s="36"/>
      <c r="G5" s="36"/>
      <c r="H5" s="40"/>
      <c r="I5" s="14"/>
      <c r="J5" t="s">
        <v>962</v>
      </c>
      <c r="K5" s="88">
        <f t="shared" ref="K5:L9" si="0">C6</f>
        <v>100000</v>
      </c>
      <c r="L5" s="478">
        <f t="shared" si="0"/>
        <v>1</v>
      </c>
      <c r="M5" s="99" t="s">
        <v>282</v>
      </c>
      <c r="T5" s="13"/>
      <c r="U5" s="13"/>
      <c r="V5" s="13"/>
      <c r="W5" s="14"/>
      <c r="X5" s="13"/>
    </row>
    <row r="6" spans="1:24" x14ac:dyDescent="0.3">
      <c r="A6" s="45"/>
      <c r="B6" s="36"/>
      <c r="C6" s="476">
        <v>100000</v>
      </c>
      <c r="D6" s="91">
        <v>1</v>
      </c>
      <c r="E6" s="36"/>
      <c r="F6" s="36"/>
      <c r="G6" s="36"/>
      <c r="H6" s="40"/>
      <c r="I6" s="14"/>
      <c r="J6" t="s">
        <v>963</v>
      </c>
      <c r="K6" s="88">
        <f t="shared" si="0"/>
        <v>200000</v>
      </c>
      <c r="L6" s="478">
        <f t="shared" si="0"/>
        <v>1.24</v>
      </c>
      <c r="M6" s="479">
        <f>(L6-L5)/((K6-K5)/1000)</f>
        <v>2.3999999999999998E-3</v>
      </c>
      <c r="T6" s="13"/>
      <c r="U6" s="13"/>
      <c r="V6" s="13"/>
      <c r="W6" s="14"/>
      <c r="X6" s="13"/>
    </row>
    <row r="7" spans="1:24" ht="15" customHeight="1" x14ac:dyDescent="0.3">
      <c r="A7" s="45"/>
      <c r="B7" s="36"/>
      <c r="C7" s="476">
        <v>200000</v>
      </c>
      <c r="D7" s="91">
        <v>1.24</v>
      </c>
      <c r="E7" s="36"/>
      <c r="F7" s="36"/>
      <c r="G7" s="36"/>
      <c r="H7" s="40"/>
      <c r="I7" s="14"/>
      <c r="J7" t="s">
        <v>964</v>
      </c>
      <c r="K7" s="88">
        <f t="shared" si="0"/>
        <v>250000</v>
      </c>
      <c r="L7" s="478">
        <f t="shared" si="0"/>
        <v>1.34</v>
      </c>
      <c r="M7" s="479">
        <f t="shared" ref="M7:M9" si="1">(L7-L6)/((K7-K6)/1000)</f>
        <v>2.0000000000000018E-3</v>
      </c>
      <c r="T7" s="13"/>
      <c r="U7" s="13"/>
      <c r="V7" s="13"/>
      <c r="W7" s="14"/>
      <c r="X7" s="13"/>
    </row>
    <row r="8" spans="1:24" ht="15" customHeight="1" x14ac:dyDescent="0.3">
      <c r="A8" s="41"/>
      <c r="B8" s="39"/>
      <c r="C8" s="476">
        <v>250000</v>
      </c>
      <c r="D8" s="91">
        <v>1.34</v>
      </c>
      <c r="E8" s="36"/>
      <c r="F8" s="36"/>
      <c r="G8" s="36"/>
      <c r="H8" s="40"/>
      <c r="I8" s="14"/>
      <c r="J8" t="s">
        <v>965</v>
      </c>
      <c r="K8" s="88">
        <f t="shared" si="0"/>
        <v>500000</v>
      </c>
      <c r="L8" s="478">
        <f t="shared" si="0"/>
        <v>1.5150000000000001</v>
      </c>
      <c r="M8" s="479">
        <f t="shared" si="1"/>
        <v>7.0000000000000021E-4</v>
      </c>
      <c r="T8" s="13"/>
      <c r="U8" s="13"/>
      <c r="V8" s="13"/>
      <c r="W8" s="14"/>
      <c r="X8" s="13"/>
    </row>
    <row r="9" spans="1:24" x14ac:dyDescent="0.3">
      <c r="A9" s="41"/>
      <c r="B9" s="39"/>
      <c r="C9" s="476">
        <v>500000</v>
      </c>
      <c r="D9" s="91">
        <v>1.5150000000000001</v>
      </c>
      <c r="E9" s="36"/>
      <c r="F9" s="36"/>
      <c r="G9" s="36"/>
      <c r="H9" s="40"/>
      <c r="I9" s="14"/>
      <c r="J9" t="s">
        <v>966</v>
      </c>
      <c r="K9" s="92">
        <f t="shared" si="0"/>
        <v>1000000</v>
      </c>
      <c r="L9" s="480">
        <f t="shared" si="0"/>
        <v>1.915</v>
      </c>
      <c r="M9" s="481">
        <f t="shared" si="1"/>
        <v>7.9999999999999982E-4</v>
      </c>
      <c r="T9" s="13"/>
      <c r="U9" s="13"/>
      <c r="V9" s="13"/>
      <c r="W9" s="14"/>
      <c r="X9" s="13"/>
    </row>
    <row r="10" spans="1:24" x14ac:dyDescent="0.3">
      <c r="A10" s="38"/>
      <c r="B10" s="39"/>
      <c r="C10" s="477">
        <v>1000000</v>
      </c>
      <c r="D10" s="95">
        <v>1.915</v>
      </c>
      <c r="E10" s="36"/>
      <c r="F10" s="36"/>
      <c r="G10" s="36"/>
      <c r="H10" s="40"/>
      <c r="I10" s="14"/>
      <c r="T10" s="13"/>
      <c r="U10" s="13"/>
      <c r="V10" s="13"/>
      <c r="W10" s="14"/>
      <c r="X10" s="13"/>
    </row>
    <row r="11" spans="1:24" x14ac:dyDescent="0.3">
      <c r="A11" s="38"/>
      <c r="B11" s="39"/>
      <c r="C11" s="36"/>
      <c r="D11" s="36"/>
      <c r="E11" s="36"/>
      <c r="F11" s="36"/>
      <c r="G11" s="36"/>
      <c r="H11" s="40"/>
      <c r="I11" s="14"/>
      <c r="J11" t="s">
        <v>967</v>
      </c>
      <c r="T11" s="13"/>
      <c r="U11" s="13"/>
      <c r="V11" s="13"/>
      <c r="W11" s="14"/>
      <c r="X11" s="13"/>
    </row>
    <row r="12" spans="1:24" ht="15.6" x14ac:dyDescent="0.35">
      <c r="A12" s="35" t="s">
        <v>173</v>
      </c>
      <c r="B12" s="39"/>
      <c r="C12" s="36" t="s">
        <v>978</v>
      </c>
      <c r="D12" s="36"/>
      <c r="E12" s="36"/>
      <c r="F12" s="36"/>
      <c r="G12" s="36"/>
      <c r="H12" s="40"/>
      <c r="I12" s="14"/>
      <c r="K12" s="26" t="s">
        <v>968</v>
      </c>
      <c r="L12" t="s">
        <v>969</v>
      </c>
      <c r="T12" s="13"/>
      <c r="U12" s="13"/>
      <c r="V12" s="13"/>
      <c r="W12" s="14"/>
      <c r="X12" s="13"/>
    </row>
    <row r="13" spans="1:24" x14ac:dyDescent="0.3">
      <c r="A13" s="45"/>
      <c r="B13" s="36"/>
      <c r="C13" s="36" t="s">
        <v>979</v>
      </c>
      <c r="D13" s="36"/>
      <c r="E13" s="36"/>
      <c r="F13" s="36"/>
      <c r="G13" s="36"/>
      <c r="H13" s="37"/>
      <c r="I13" s="14"/>
      <c r="T13" s="13"/>
      <c r="U13" s="13"/>
      <c r="V13" s="13"/>
      <c r="W13" s="14"/>
      <c r="X13" s="13"/>
    </row>
    <row r="14" spans="1:24" ht="15" thickBot="1" x14ac:dyDescent="0.35">
      <c r="A14" s="188"/>
      <c r="B14" s="189"/>
      <c r="C14" s="54"/>
      <c r="D14" s="54"/>
      <c r="E14" s="54"/>
      <c r="F14" s="54"/>
      <c r="G14" s="54"/>
      <c r="H14" s="85"/>
      <c r="I14" s="14"/>
      <c r="J14" t="str">
        <f>"The increased limit factors "&amp;IF(AND(M7&lt;=M6,M8&lt;=M7,M9&lt;=M8),"PASS","FAIL") &amp;" the consistency test because the marginal rate does not always decrease."</f>
        <v>The increased limit factors FAIL the consistency test because the marginal rate does not always decrease.</v>
      </c>
      <c r="T14" s="13"/>
      <c r="U14" s="13"/>
      <c r="V14" s="13"/>
      <c r="W14" s="14"/>
      <c r="X14" s="13"/>
    </row>
    <row r="15" spans="1:24" x14ac:dyDescent="0.3">
      <c r="H15" s="13"/>
      <c r="I15" s="14"/>
      <c r="T15" s="13"/>
      <c r="U15" s="13"/>
      <c r="V15" s="13"/>
      <c r="W15" s="14"/>
      <c r="X15" s="13"/>
    </row>
    <row r="16" spans="1:24" x14ac:dyDescent="0.3">
      <c r="H16" s="13"/>
      <c r="I16" s="14"/>
      <c r="J16" t="s">
        <v>970</v>
      </c>
      <c r="T16" s="13"/>
      <c r="U16" s="13"/>
      <c r="V16" s="13"/>
      <c r="W16" s="14"/>
      <c r="X16" s="13"/>
    </row>
    <row r="17" spans="8:24" x14ac:dyDescent="0.3">
      <c r="H17" s="13"/>
      <c r="I17" s="14"/>
      <c r="J17" t="s">
        <v>971</v>
      </c>
      <c r="T17" s="13"/>
      <c r="U17" s="13"/>
      <c r="V17" s="13"/>
      <c r="W17" s="14"/>
      <c r="X17" s="13"/>
    </row>
    <row r="18" spans="8:24" x14ac:dyDescent="0.3">
      <c r="H18" s="13"/>
      <c r="I18" s="14"/>
      <c r="J18" t="s">
        <v>972</v>
      </c>
      <c r="T18" s="13"/>
      <c r="U18" s="13"/>
      <c r="V18" s="13"/>
      <c r="W18" s="14"/>
      <c r="X18" s="13"/>
    </row>
    <row r="19" spans="8:24" ht="15" customHeight="1" x14ac:dyDescent="0.35">
      <c r="H19" s="13"/>
      <c r="I19" s="14"/>
      <c r="J19" t="s">
        <v>973</v>
      </c>
      <c r="L19" t="str">
        <f>"≤ " &amp;M8</f>
        <v>≤ 0.0007</v>
      </c>
      <c r="T19" s="13"/>
      <c r="U19" s="13"/>
      <c r="V19" s="13"/>
      <c r="W19" s="14"/>
      <c r="X19" s="13"/>
    </row>
    <row r="20" spans="8:24" x14ac:dyDescent="0.3">
      <c r="H20" s="13"/>
      <c r="I20" s="14"/>
      <c r="J20" t="s">
        <v>974</v>
      </c>
      <c r="K20" s="16"/>
      <c r="T20" s="13"/>
      <c r="U20" s="13"/>
      <c r="V20" s="13"/>
      <c r="W20" s="14"/>
      <c r="X20" s="13"/>
    </row>
    <row r="21" spans="8:24" ht="15.6" x14ac:dyDescent="0.35">
      <c r="H21" s="13"/>
      <c r="I21" s="14"/>
      <c r="J21" s="26" t="s">
        <v>975</v>
      </c>
      <c r="K21" t="str">
        <f>M8&amp;"* (( Le - Ld ) / 1,000) + ILFd"</f>
        <v>0.0007* (( Le - Ld ) / 1,000) + ILFd</v>
      </c>
      <c r="T21" s="13"/>
      <c r="U21" s="13"/>
      <c r="V21" s="13"/>
      <c r="W21" s="14"/>
      <c r="X21" s="13"/>
    </row>
    <row r="22" spans="8:24" x14ac:dyDescent="0.3">
      <c r="H22" s="13"/>
      <c r="I22" s="14"/>
      <c r="J22" s="27" t="s">
        <v>179</v>
      </c>
      <c r="K22" s="473">
        <f>M8*(K9-K8)/1000+L8</f>
        <v>1.8650000000000002</v>
      </c>
      <c r="Q22" s="13"/>
      <c r="R22" s="13"/>
      <c r="S22" s="13"/>
      <c r="T22" s="13"/>
      <c r="U22" s="13"/>
      <c r="V22" s="13"/>
      <c r="W22" s="14"/>
      <c r="X22" s="13"/>
    </row>
    <row r="23" spans="8:24" ht="15" customHeight="1" x14ac:dyDescent="0.3">
      <c r="H23" s="13"/>
      <c r="I23" s="14"/>
      <c r="Q23" s="13"/>
      <c r="R23" s="13"/>
      <c r="S23" s="13"/>
      <c r="T23" s="13"/>
      <c r="U23" s="13"/>
      <c r="V23" s="13"/>
      <c r="W23" s="14"/>
      <c r="X23" s="13"/>
    </row>
    <row r="24" spans="8:24" ht="15" customHeight="1" x14ac:dyDescent="0.35">
      <c r="H24" s="13"/>
      <c r="I24" s="14"/>
      <c r="J24" t="s">
        <v>976</v>
      </c>
      <c r="Q24" s="13"/>
      <c r="R24" s="13"/>
      <c r="S24" s="13"/>
      <c r="T24" s="13"/>
      <c r="U24" s="13"/>
      <c r="V24" s="13"/>
      <c r="W24" s="14"/>
      <c r="X24" s="13"/>
    </row>
    <row r="25" spans="8:24" ht="15" customHeight="1" x14ac:dyDescent="0.3">
      <c r="H25" s="13"/>
      <c r="I25" s="14"/>
      <c r="Q25" s="13"/>
      <c r="R25" s="13"/>
      <c r="S25" s="13"/>
      <c r="T25" s="13"/>
      <c r="U25" s="13"/>
      <c r="V25" s="13"/>
      <c r="W25" s="14"/>
      <c r="X25" s="13"/>
    </row>
    <row r="26" spans="8:24" ht="15" customHeight="1" x14ac:dyDescent="0.35">
      <c r="H26" s="13"/>
      <c r="I26" s="14"/>
      <c r="J26" t="s">
        <v>977</v>
      </c>
      <c r="Q26" s="13"/>
      <c r="R26" s="13"/>
      <c r="S26" s="13"/>
      <c r="T26" s="13"/>
      <c r="U26" s="13"/>
      <c r="V26" s="13"/>
      <c r="W26" s="14"/>
      <c r="X26" s="13"/>
    </row>
    <row r="27" spans="8:24" ht="15" customHeight="1" x14ac:dyDescent="0.3">
      <c r="H27" s="13"/>
      <c r="I27" s="14"/>
      <c r="K27" s="474" t="str">
        <f>L8&amp;" &lt; ILFe &lt; "&amp;K22</f>
        <v>1.515 &lt; ILFe &lt; 1.865</v>
      </c>
      <c r="Q27" s="13"/>
      <c r="R27" s="13"/>
      <c r="S27" s="13"/>
      <c r="T27" s="13"/>
      <c r="U27" s="13"/>
      <c r="V27" s="13"/>
      <c r="W27" s="14"/>
      <c r="X27" s="13"/>
    </row>
    <row r="28" spans="8:24" ht="15" customHeight="1" x14ac:dyDescent="0.3">
      <c r="H28" s="13"/>
      <c r="I28" s="14"/>
      <c r="Q28" s="13"/>
      <c r="R28" s="13"/>
      <c r="S28" s="13"/>
      <c r="T28" s="13"/>
      <c r="U28" s="13"/>
      <c r="V28" s="13"/>
      <c r="W28" s="14"/>
      <c r="X28" s="13"/>
    </row>
    <row r="29" spans="8:24" x14ac:dyDescent="0.3">
      <c r="H29" s="13"/>
      <c r="I29" s="14"/>
      <c r="Q29" s="13"/>
      <c r="R29" s="13"/>
      <c r="S29" s="13"/>
      <c r="T29" s="13"/>
      <c r="U29" s="13"/>
      <c r="V29" s="13"/>
      <c r="W29" s="14"/>
      <c r="X29" s="13"/>
    </row>
    <row r="30" spans="8:24" x14ac:dyDescent="0.3">
      <c r="H30" s="13"/>
      <c r="I30" s="14"/>
      <c r="Q30" s="13"/>
      <c r="R30" s="13"/>
      <c r="S30" s="13"/>
      <c r="T30" s="13"/>
      <c r="U30" s="13"/>
      <c r="V30" s="13"/>
      <c r="W30" s="14"/>
      <c r="X30" s="13"/>
    </row>
    <row r="31" spans="8:24" x14ac:dyDescent="0.3">
      <c r="H31" s="13"/>
      <c r="I31" s="14"/>
      <c r="Q31" s="13"/>
      <c r="R31" s="13"/>
      <c r="S31" s="13"/>
      <c r="T31" s="13"/>
      <c r="U31" s="13"/>
      <c r="V31" s="13"/>
      <c r="W31" s="14"/>
      <c r="X31" s="13"/>
    </row>
    <row r="32" spans="8:24" x14ac:dyDescent="0.3">
      <c r="H32" s="13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H33" s="13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3">
      <c r="H34" s="13"/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3">
      <c r="H35" s="13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3">
      <c r="H36" s="13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3">
      <c r="H37" s="13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H38" s="13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13"/>
      <c r="B39" s="13"/>
      <c r="H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3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3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9:24" x14ac:dyDescent="0.3">
      <c r="I49" s="14"/>
      <c r="Q49" s="13"/>
      <c r="R49" s="13"/>
      <c r="S49" s="13"/>
      <c r="T49" s="13"/>
      <c r="U49" s="13"/>
      <c r="V49" s="13"/>
      <c r="W49" s="14"/>
      <c r="X49" s="13"/>
    </row>
  </sheetData>
  <mergeCells count="1">
    <mergeCell ref="G1:H1"/>
  </mergeCells>
  <hyperlinks>
    <hyperlink ref="G1" location="TOC!A1" display="Return to TOC" xr:uid="{C91AA62E-E2B9-410B-9AC6-3C5B1E5F67E6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81A-20D2-4418-A2EA-9139B87E95FA}">
  <sheetPr codeName="Sheet46"/>
  <dimension ref="A1:W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5" customWidth="1"/>
    <col min="4" max="4" width="14.88671875" customWidth="1"/>
    <col min="5" max="5" width="13.33203125" customWidth="1"/>
    <col min="6" max="6" width="8.6640625" customWidth="1"/>
    <col min="7" max="7" width="12.5546875" bestFit="1" customWidth="1"/>
    <col min="9" max="9" width="13.44140625" bestFit="1" customWidth="1"/>
    <col min="10" max="10" width="9.109375" customWidth="1"/>
    <col min="11" max="11" width="2.6640625" customWidth="1"/>
    <col min="12" max="12" width="4.44140625" customWidth="1"/>
    <col min="13" max="13" width="15.6640625" customWidth="1"/>
    <col min="14" max="14" width="10" customWidth="1"/>
    <col min="15" max="15" width="14.44140625" customWidth="1"/>
    <col min="16" max="16" width="13.6640625" customWidth="1"/>
    <col min="17" max="17" width="10" bestFit="1" customWidth="1"/>
    <col min="18" max="18" width="11.6640625" customWidth="1"/>
    <col min="19" max="19" width="13.44140625" bestFit="1" customWidth="1"/>
    <col min="20" max="20" width="9.109375" customWidth="1"/>
  </cols>
  <sheetData>
    <row r="1" spans="1:23" x14ac:dyDescent="0.3">
      <c r="A1" s="32" t="s">
        <v>137</v>
      </c>
      <c r="B1" s="33"/>
      <c r="C1" s="33" t="s">
        <v>129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V1" s="10"/>
    </row>
    <row r="2" spans="1:23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7"/>
      <c r="K2" s="10"/>
      <c r="M2" t="s">
        <v>981</v>
      </c>
      <c r="N2" s="26"/>
      <c r="O2" s="11" t="s">
        <v>982</v>
      </c>
      <c r="R2" t="s">
        <v>983</v>
      </c>
      <c r="V2" s="10"/>
    </row>
    <row r="3" spans="1:23" x14ac:dyDescent="0.3">
      <c r="A3" s="35" t="s">
        <v>141</v>
      </c>
      <c r="B3" s="36"/>
      <c r="C3" s="36" t="s">
        <v>980</v>
      </c>
      <c r="D3" s="36"/>
      <c r="E3" s="36"/>
      <c r="F3" s="36"/>
      <c r="G3" s="36"/>
      <c r="H3" s="36"/>
      <c r="I3" s="36"/>
      <c r="J3" s="37"/>
      <c r="K3" s="10"/>
      <c r="V3" s="10"/>
    </row>
    <row r="4" spans="1:23" x14ac:dyDescent="0.3">
      <c r="A4" s="38"/>
      <c r="B4" s="39"/>
      <c r="C4" s="39"/>
      <c r="D4" s="39"/>
      <c r="E4" s="39"/>
      <c r="F4" s="39"/>
      <c r="G4" s="496" t="s">
        <v>984</v>
      </c>
      <c r="H4" s="496"/>
      <c r="I4" s="39"/>
      <c r="J4" s="40"/>
      <c r="K4" s="14"/>
      <c r="M4" s="11" t="s">
        <v>991</v>
      </c>
      <c r="V4" s="14"/>
      <c r="W4" s="13"/>
    </row>
    <row r="5" spans="1:23" ht="15" customHeight="1" x14ac:dyDescent="0.35">
      <c r="A5" s="41" t="s">
        <v>144</v>
      </c>
      <c r="B5" s="406"/>
      <c r="C5" s="333" t="s">
        <v>985</v>
      </c>
      <c r="D5" s="212" t="s">
        <v>986</v>
      </c>
      <c r="E5" s="212" t="s">
        <v>987</v>
      </c>
      <c r="F5" s="212" t="s">
        <v>988</v>
      </c>
      <c r="G5" s="212" t="s">
        <v>989</v>
      </c>
      <c r="H5" s="212" t="s">
        <v>898</v>
      </c>
      <c r="I5" s="96" t="s">
        <v>990</v>
      </c>
      <c r="J5" s="37"/>
      <c r="K5" s="14"/>
      <c r="V5" s="14"/>
      <c r="W5" s="13"/>
    </row>
    <row r="6" spans="1:23" x14ac:dyDescent="0.3">
      <c r="A6" s="45"/>
      <c r="B6" s="406">
        <v>3285</v>
      </c>
      <c r="C6" s="77">
        <v>0</v>
      </c>
      <c r="D6" s="181">
        <v>0</v>
      </c>
      <c r="E6" s="181">
        <v>0</v>
      </c>
      <c r="F6" s="181" t="s">
        <v>629</v>
      </c>
      <c r="G6" s="181" t="s">
        <v>629</v>
      </c>
      <c r="H6" s="181" t="s">
        <v>629</v>
      </c>
      <c r="I6" s="337" t="s">
        <v>629</v>
      </c>
      <c r="J6" s="37"/>
      <c r="K6" s="14"/>
      <c r="V6" s="14"/>
      <c r="W6" s="13"/>
    </row>
    <row r="7" spans="1:23" ht="15" customHeight="1" x14ac:dyDescent="0.3">
      <c r="A7" s="45"/>
      <c r="B7" s="406">
        <v>1.8073999999999999</v>
      </c>
      <c r="C7" s="415">
        <v>1000</v>
      </c>
      <c r="D7" s="181">
        <v>659</v>
      </c>
      <c r="E7" s="181">
        <v>0.48470000000000002</v>
      </c>
      <c r="F7" s="181" t="s">
        <v>629</v>
      </c>
      <c r="G7" s="181" t="s">
        <v>629</v>
      </c>
      <c r="H7" s="181" t="s">
        <v>629</v>
      </c>
      <c r="I7" s="337" t="s">
        <v>629</v>
      </c>
      <c r="J7" s="37"/>
      <c r="K7" s="14"/>
      <c r="M7" t="s">
        <v>992</v>
      </c>
      <c r="N7" t="s">
        <v>993</v>
      </c>
      <c r="O7" t="s">
        <v>994</v>
      </c>
      <c r="V7" s="14"/>
      <c r="W7" s="13"/>
    </row>
    <row r="8" spans="1:23" ht="15" customHeight="1" x14ac:dyDescent="0.3">
      <c r="A8" s="41"/>
      <c r="B8" s="250">
        <v>1000000</v>
      </c>
      <c r="C8" s="415">
        <v>2000</v>
      </c>
      <c r="D8" s="213">
        <v>1111</v>
      </c>
      <c r="E8" s="181">
        <v>0.59889999999999999</v>
      </c>
      <c r="F8" s="181" t="s">
        <v>629</v>
      </c>
      <c r="G8" s="181" t="s">
        <v>629</v>
      </c>
      <c r="H8" s="181" t="s">
        <v>629</v>
      </c>
      <c r="I8" s="337" t="s">
        <v>629</v>
      </c>
      <c r="J8" s="37"/>
      <c r="K8" s="14"/>
      <c r="V8" s="14"/>
      <c r="W8" s="13"/>
    </row>
    <row r="9" spans="1:23" x14ac:dyDescent="0.3">
      <c r="A9" s="41"/>
      <c r="B9" s="250">
        <v>2000</v>
      </c>
      <c r="C9" s="415">
        <v>3000</v>
      </c>
      <c r="D9" s="213">
        <v>1478</v>
      </c>
      <c r="E9" s="181">
        <v>0.66249999999999998</v>
      </c>
      <c r="F9" s="181" t="s">
        <v>629</v>
      </c>
      <c r="G9" s="181" t="s">
        <v>629</v>
      </c>
      <c r="H9" s="181" t="s">
        <v>629</v>
      </c>
      <c r="I9" s="337" t="s">
        <v>629</v>
      </c>
      <c r="J9" s="37"/>
      <c r="K9" s="14"/>
      <c r="Q9" s="482" t="s">
        <v>984</v>
      </c>
      <c r="R9" s="482"/>
      <c r="V9" s="14"/>
      <c r="W9" s="13"/>
    </row>
    <row r="10" spans="1:23" ht="15.6" x14ac:dyDescent="0.35">
      <c r="A10" s="38"/>
      <c r="B10" s="250"/>
      <c r="C10" s="415">
        <v>5000</v>
      </c>
      <c r="D10" s="213">
        <v>2071</v>
      </c>
      <c r="E10" s="181">
        <v>0.73640000000000005</v>
      </c>
      <c r="F10" s="181" t="s">
        <v>629</v>
      </c>
      <c r="G10" s="181" t="s">
        <v>629</v>
      </c>
      <c r="H10" s="181" t="s">
        <v>629</v>
      </c>
      <c r="I10" s="337" t="s">
        <v>629</v>
      </c>
      <c r="J10" s="37"/>
      <c r="K10" s="14"/>
      <c r="L10" t="s">
        <v>174</v>
      </c>
      <c r="M10" s="86" t="str">
        <f t="shared" ref="M10:N16" si="0">C5</f>
        <v>Deductible, d</v>
      </c>
      <c r="N10" s="211" t="str">
        <f t="shared" si="0"/>
        <v>E[X;d]</v>
      </c>
      <c r="O10" s="211" t="s">
        <v>987</v>
      </c>
      <c r="P10" s="211" t="str">
        <f>F5</f>
        <v>C(d)</v>
      </c>
      <c r="Q10" s="211" t="str">
        <f>G5</f>
        <v>Frequency</v>
      </c>
      <c r="R10" s="211" t="str">
        <f>H5</f>
        <v>Severity</v>
      </c>
      <c r="S10" s="87" t="str">
        <f>I5</f>
        <v>Pure Premium</v>
      </c>
      <c r="V10" s="14"/>
      <c r="W10" s="13"/>
    </row>
    <row r="11" spans="1:23" x14ac:dyDescent="0.3">
      <c r="A11" s="38"/>
      <c r="B11" s="250"/>
      <c r="C11" s="494">
        <v>10000</v>
      </c>
      <c r="D11" s="214">
        <v>3144</v>
      </c>
      <c r="E11" s="319">
        <v>0.82150000000000001</v>
      </c>
      <c r="F11" s="319" t="s">
        <v>629</v>
      </c>
      <c r="G11" s="319" t="s">
        <v>629</v>
      </c>
      <c r="H11" s="319" t="s">
        <v>629</v>
      </c>
      <c r="I11" s="185" t="s">
        <v>629</v>
      </c>
      <c r="J11" s="37"/>
      <c r="K11" s="14"/>
      <c r="M11" s="77">
        <f t="shared" si="0"/>
        <v>0</v>
      </c>
      <c r="N11" s="181">
        <f t="shared" si="0"/>
        <v>0</v>
      </c>
      <c r="O11" s="181">
        <f t="shared" ref="O11:O16" si="1">E6</f>
        <v>0</v>
      </c>
      <c r="P11" s="487">
        <f>(N11+O11*$C$16)/($C$15+$C$16)</f>
        <v>0</v>
      </c>
      <c r="Q11" s="488">
        <f t="shared" ref="Q11:Q16" si="2">$C$13*(1-O11)</f>
        <v>5.0000000000000001E-4</v>
      </c>
      <c r="R11" s="483">
        <f>(($C$15-N11+(1-O11)*$C$16)/(1-O11))*(1+$C$17)</f>
        <v>10675.199999999999</v>
      </c>
      <c r="S11" s="489">
        <f>Q11*R11</f>
        <v>5.3375999999999992</v>
      </c>
      <c r="V11" s="14"/>
      <c r="W11" s="13"/>
    </row>
    <row r="12" spans="1:23" x14ac:dyDescent="0.3">
      <c r="A12" s="38"/>
      <c r="B12" s="250"/>
      <c r="C12" s="36"/>
      <c r="D12" s="36"/>
      <c r="E12" s="36"/>
      <c r="F12" s="36"/>
      <c r="G12" s="36"/>
      <c r="H12" s="36"/>
      <c r="I12" s="36"/>
      <c r="J12" s="37"/>
      <c r="K12" s="14"/>
      <c r="M12" s="77">
        <f t="shared" si="0"/>
        <v>1000</v>
      </c>
      <c r="N12" s="181">
        <f t="shared" si="0"/>
        <v>659</v>
      </c>
      <c r="O12" s="181">
        <f t="shared" si="1"/>
        <v>0.48470000000000002</v>
      </c>
      <c r="P12" s="487">
        <f>(N12+O12*$C$16)/($C$15+$C$16)</f>
        <v>7.407823741007194E-2</v>
      </c>
      <c r="Q12" s="488">
        <f t="shared" si="2"/>
        <v>2.5765E-4</v>
      </c>
      <c r="R12" s="483">
        <f t="shared" ref="R12:R16" si="3">(($C$15-N12+(1-O12)*$C$16)/(1-O12))*(1+$C$17)</f>
        <v>19181.835823791964</v>
      </c>
      <c r="S12" s="489">
        <f t="shared" ref="S12:S16" si="4">Q12*R12</f>
        <v>4.9421999999999997</v>
      </c>
      <c r="V12" s="14"/>
      <c r="W12" s="13"/>
    </row>
    <row r="13" spans="1:23" x14ac:dyDescent="0.3">
      <c r="A13" s="38"/>
      <c r="B13" s="39"/>
      <c r="C13" s="80">
        <v>5.0000000000000001E-4</v>
      </c>
      <c r="D13" s="287" t="s">
        <v>995</v>
      </c>
      <c r="E13" s="287"/>
      <c r="F13" s="43"/>
      <c r="G13" s="36"/>
      <c r="H13" s="36"/>
      <c r="I13" s="36"/>
      <c r="J13" s="37"/>
      <c r="K13" s="14"/>
      <c r="M13" s="77">
        <f t="shared" si="0"/>
        <v>2000</v>
      </c>
      <c r="N13" s="181">
        <f t="shared" si="0"/>
        <v>1111</v>
      </c>
      <c r="O13" s="181">
        <f t="shared" si="1"/>
        <v>0.59889999999999999</v>
      </c>
      <c r="P13" s="487">
        <f t="shared" ref="P13:P16" si="5">(N13+O13*$C$16)/($C$15+$C$16)</f>
        <v>0.12488758992805755</v>
      </c>
      <c r="Q13" s="488">
        <f t="shared" si="2"/>
        <v>2.0055000000000002E-4</v>
      </c>
      <c r="R13" s="483">
        <f t="shared" si="3"/>
        <v>23290.949887808525</v>
      </c>
      <c r="S13" s="489">
        <f t="shared" si="4"/>
        <v>4.6710000000000003</v>
      </c>
      <c r="V13" s="14"/>
      <c r="W13" s="13"/>
    </row>
    <row r="14" spans="1:23" x14ac:dyDescent="0.3">
      <c r="A14" s="38"/>
      <c r="B14" s="39"/>
      <c r="C14" s="415">
        <v>100000</v>
      </c>
      <c r="D14" s="36" t="s">
        <v>929</v>
      </c>
      <c r="E14" s="36"/>
      <c r="F14" s="46"/>
      <c r="G14" s="36"/>
      <c r="H14" s="36"/>
      <c r="I14" s="36"/>
      <c r="J14" s="37"/>
      <c r="K14" s="14"/>
      <c r="M14" s="77">
        <f t="shared" si="0"/>
        <v>3000</v>
      </c>
      <c r="N14" s="181">
        <f t="shared" si="0"/>
        <v>1478</v>
      </c>
      <c r="O14" s="181">
        <f t="shared" si="1"/>
        <v>0.66249999999999998</v>
      </c>
      <c r="P14" s="487">
        <f t="shared" si="5"/>
        <v>0.16614208633093525</v>
      </c>
      <c r="Q14" s="488">
        <f t="shared" si="2"/>
        <v>1.6875000000000001E-4</v>
      </c>
      <c r="R14" s="483">
        <f t="shared" si="3"/>
        <v>26375.111111111109</v>
      </c>
      <c r="S14" s="489">
        <f t="shared" si="4"/>
        <v>4.4508000000000001</v>
      </c>
      <c r="V14" s="14"/>
      <c r="W14" s="13"/>
    </row>
    <row r="15" spans="1:23" x14ac:dyDescent="0.3">
      <c r="A15" s="45"/>
      <c r="B15" s="36"/>
      <c r="C15" s="415">
        <v>8896</v>
      </c>
      <c r="D15" s="36" t="s">
        <v>996</v>
      </c>
      <c r="E15" s="36"/>
      <c r="F15" s="46"/>
      <c r="G15" s="36"/>
      <c r="H15" s="36"/>
      <c r="I15" s="36"/>
      <c r="J15" s="37"/>
      <c r="K15" s="14"/>
      <c r="M15" s="77">
        <f t="shared" si="0"/>
        <v>5000</v>
      </c>
      <c r="N15" s="181">
        <f t="shared" si="0"/>
        <v>2071</v>
      </c>
      <c r="O15" s="181">
        <f t="shared" si="1"/>
        <v>0.73640000000000005</v>
      </c>
      <c r="P15" s="487">
        <f t="shared" si="5"/>
        <v>0.23280125899280577</v>
      </c>
      <c r="Q15" s="488">
        <f t="shared" si="2"/>
        <v>1.3179999999999998E-4</v>
      </c>
      <c r="R15" s="483">
        <f t="shared" si="3"/>
        <v>31069.802731411233</v>
      </c>
      <c r="S15" s="489">
        <f t="shared" si="4"/>
        <v>4.0949999999999998</v>
      </c>
      <c r="V15" s="14"/>
      <c r="W15" s="13"/>
    </row>
    <row r="16" spans="1:23" x14ac:dyDescent="0.3">
      <c r="A16" s="45"/>
      <c r="B16" s="36"/>
      <c r="C16" s="77">
        <v>0</v>
      </c>
      <c r="D16" s="36" t="s">
        <v>997</v>
      </c>
      <c r="E16" s="36"/>
      <c r="F16" s="46"/>
      <c r="G16" s="36"/>
      <c r="H16" s="36"/>
      <c r="I16" s="36"/>
      <c r="J16" s="37"/>
      <c r="K16" s="14"/>
      <c r="M16" s="82">
        <f t="shared" si="0"/>
        <v>10000</v>
      </c>
      <c r="N16" s="319">
        <f t="shared" si="0"/>
        <v>3144</v>
      </c>
      <c r="O16" s="319">
        <f t="shared" si="1"/>
        <v>0.82150000000000001</v>
      </c>
      <c r="P16" s="490">
        <f t="shared" si="5"/>
        <v>0.35341726618705038</v>
      </c>
      <c r="Q16" s="491">
        <f t="shared" si="2"/>
        <v>8.9250000000000001E-5</v>
      </c>
      <c r="R16" s="492">
        <f t="shared" si="3"/>
        <v>38668.907563025212</v>
      </c>
      <c r="S16" s="493">
        <f t="shared" si="4"/>
        <v>3.4512</v>
      </c>
      <c r="V16" s="14"/>
      <c r="W16" s="13"/>
    </row>
    <row r="17" spans="1:23" x14ac:dyDescent="0.3">
      <c r="A17" s="45"/>
      <c r="B17" s="36"/>
      <c r="C17" s="495">
        <v>0.2</v>
      </c>
      <c r="D17" s="291" t="s">
        <v>998</v>
      </c>
      <c r="E17" s="291"/>
      <c r="F17" s="47"/>
      <c r="G17" s="36"/>
      <c r="H17" s="36"/>
      <c r="I17" s="36"/>
      <c r="J17" s="37"/>
      <c r="K17" s="14"/>
      <c r="V17" s="14"/>
      <c r="W17" s="13"/>
    </row>
    <row r="18" spans="1:23" x14ac:dyDescent="0.3">
      <c r="A18" s="45"/>
      <c r="B18" s="36"/>
      <c r="C18" s="36"/>
      <c r="D18" s="36"/>
      <c r="E18" s="36"/>
      <c r="F18" s="36"/>
      <c r="G18" s="36"/>
      <c r="H18" s="36"/>
      <c r="I18" s="36"/>
      <c r="J18" s="37"/>
      <c r="K18" s="14"/>
      <c r="L18" t="s">
        <v>183</v>
      </c>
      <c r="V18" s="14"/>
      <c r="W18" s="13"/>
    </row>
    <row r="19" spans="1:23" ht="15" customHeight="1" x14ac:dyDescent="0.3">
      <c r="A19" s="35" t="s">
        <v>173</v>
      </c>
      <c r="B19" s="36" t="s">
        <v>174</v>
      </c>
      <c r="C19" s="36" t="s">
        <v>999</v>
      </c>
      <c r="D19" s="36"/>
      <c r="E19" s="36"/>
      <c r="F19" s="36"/>
      <c r="G19" s="36"/>
      <c r="H19" s="36"/>
      <c r="I19" s="36"/>
      <c r="J19" s="37"/>
      <c r="K19" s="14"/>
      <c r="L19" t="s">
        <v>178</v>
      </c>
      <c r="M19" t="s">
        <v>1000</v>
      </c>
      <c r="S19" s="484">
        <f>INDEX(Q11:Q16,MATCH(VALUE(E21),M11:M16,0))</f>
        <v>2.0055000000000002E-4</v>
      </c>
      <c r="V19" s="14"/>
      <c r="W19" s="13"/>
    </row>
    <row r="20" spans="1:23" x14ac:dyDescent="0.3">
      <c r="A20" s="45"/>
      <c r="B20" s="36"/>
      <c r="C20" s="36"/>
      <c r="D20" s="36"/>
      <c r="E20" s="36"/>
      <c r="F20" s="36"/>
      <c r="G20" s="36"/>
      <c r="H20" s="36"/>
      <c r="I20" s="36"/>
      <c r="J20" s="37"/>
      <c r="K20" s="14"/>
      <c r="L20" t="s">
        <v>180</v>
      </c>
      <c r="M20" t="s">
        <v>1002</v>
      </c>
      <c r="O20" s="483">
        <f>INDEX(R11:R16,MATCH(VALUE(E21),M11:M16,0))</f>
        <v>23290.949887808525</v>
      </c>
      <c r="V20" s="14"/>
      <c r="W20" s="13"/>
    </row>
    <row r="21" spans="1:23" x14ac:dyDescent="0.3">
      <c r="A21" s="45"/>
      <c r="B21" s="36" t="s">
        <v>183</v>
      </c>
      <c r="C21" s="36" t="s">
        <v>1001</v>
      </c>
      <c r="D21" s="36"/>
      <c r="E21" s="475" t="str">
        <f>TEXT(B9,"$#,###")</f>
        <v>$2,000</v>
      </c>
      <c r="F21" s="36"/>
      <c r="G21" s="36"/>
      <c r="H21" s="36"/>
      <c r="I21" s="36"/>
      <c r="J21" s="37"/>
      <c r="K21" s="14"/>
      <c r="V21" s="14"/>
      <c r="W21" s="13"/>
    </row>
    <row r="22" spans="1:23" x14ac:dyDescent="0.3">
      <c r="A22" s="45"/>
      <c r="B22" s="36" t="s">
        <v>178</v>
      </c>
      <c r="C22" s="36" t="s">
        <v>1003</v>
      </c>
      <c r="D22" s="36"/>
      <c r="E22" s="36"/>
      <c r="F22" s="36"/>
      <c r="G22" s="36"/>
      <c r="H22" s="36"/>
      <c r="I22" s="36"/>
      <c r="J22" s="37"/>
      <c r="K22" s="14"/>
      <c r="L22" t="s">
        <v>778</v>
      </c>
      <c r="M22" t="s">
        <v>1005</v>
      </c>
      <c r="U22" s="13"/>
      <c r="V22" s="14"/>
      <c r="W22" s="13"/>
    </row>
    <row r="23" spans="1:23" ht="15" customHeight="1" x14ac:dyDescent="0.3">
      <c r="A23" s="45"/>
      <c r="B23" s="36" t="s">
        <v>180</v>
      </c>
      <c r="C23" s="36" t="s">
        <v>1004</v>
      </c>
      <c r="D23" s="36"/>
      <c r="E23" s="36"/>
      <c r="F23" s="36"/>
      <c r="G23" s="36"/>
      <c r="H23" s="36"/>
      <c r="I23" s="36"/>
      <c r="J23" s="37"/>
      <c r="K23" s="14"/>
      <c r="M23" t="str">
        <f>"Here L = "&amp;TEXT(B8,"$#,###")&amp; " and d = "&amp;TEXT(B9,"$#,###")</f>
        <v>Here L = $1,000,000 and d = $2,000</v>
      </c>
      <c r="U23" s="13"/>
      <c r="V23" s="14"/>
      <c r="W23" s="13"/>
    </row>
    <row r="24" spans="1:23" ht="15" customHeight="1" x14ac:dyDescent="0.35">
      <c r="A24" s="45"/>
      <c r="B24" s="36"/>
      <c r="C24" s="36"/>
      <c r="D24" s="36"/>
      <c r="E24" s="36"/>
      <c r="F24" s="36"/>
      <c r="G24" s="36"/>
      <c r="H24" s="36"/>
      <c r="I24" s="36"/>
      <c r="J24" s="37"/>
      <c r="K24" s="14"/>
      <c r="M24" s="485" t="s">
        <v>1006</v>
      </c>
      <c r="N24" s="486">
        <f>B6*(B7-P13)</f>
        <v>5527.0532670863304</v>
      </c>
      <c r="T24" s="13"/>
      <c r="U24" s="13"/>
      <c r="V24" s="14"/>
      <c r="W24" s="13"/>
    </row>
    <row r="25" spans="1:23" ht="15" customHeight="1" x14ac:dyDescent="0.3">
      <c r="A25" s="45"/>
      <c r="B25" s="36" t="s">
        <v>778</v>
      </c>
      <c r="C25" s="36" t="str">
        <f>"The basic limit premium for a policy is "&amp;TEXT(B6,"$#,###")</f>
        <v>The basic limit premium for a policy is $3,285</v>
      </c>
      <c r="D25" s="36"/>
      <c r="E25" s="36"/>
      <c r="F25" s="36"/>
      <c r="G25" s="36"/>
      <c r="H25" s="36"/>
      <c r="I25" s="36"/>
      <c r="J25" s="37"/>
      <c r="K25" s="14"/>
      <c r="T25" s="13"/>
      <c r="U25" s="13"/>
      <c r="V25" s="14"/>
      <c r="W25" s="13"/>
    </row>
    <row r="26" spans="1:23" ht="15" customHeight="1" x14ac:dyDescent="0.3">
      <c r="A26" s="45"/>
      <c r="B26" s="36"/>
      <c r="C26" s="36" t="str">
        <f>"The ILF for a "&amp;TEXT(B8,"$#,###")&amp;" limit is "&amp;B7</f>
        <v>The ILF for a $1,000,000 limit is 1.8074</v>
      </c>
      <c r="D26" s="36"/>
      <c r="E26" s="36"/>
      <c r="F26" s="36"/>
      <c r="G26" s="36"/>
      <c r="H26" s="36"/>
      <c r="I26" s="36"/>
      <c r="J26" s="37"/>
      <c r="K26" s="14"/>
      <c r="S26" s="13"/>
      <c r="T26" s="13"/>
      <c r="U26" s="13"/>
      <c r="V26" s="14"/>
      <c r="W26" s="13"/>
    </row>
    <row r="27" spans="1:23" ht="15" customHeight="1" x14ac:dyDescent="0.3">
      <c r="A27" s="45"/>
      <c r="B27" s="36"/>
      <c r="C27" s="36" t="str">
        <f>"Calculate the premium for a policy with "&amp;TEXT(B8,"$#,###")&amp;" limit and "&amp;TEXT(B9,"$#,###")&amp;" deductible."</f>
        <v>Calculate the premium for a policy with $1,000,000 limit and $2,000 deductible.</v>
      </c>
      <c r="D27" s="36"/>
      <c r="E27" s="36"/>
      <c r="F27" s="36"/>
      <c r="G27" s="36"/>
      <c r="H27" s="36"/>
      <c r="I27" s="36"/>
      <c r="J27" s="37"/>
      <c r="K27" s="14"/>
      <c r="S27" s="13"/>
      <c r="T27" s="13"/>
      <c r="U27" s="13"/>
      <c r="V27" s="14"/>
      <c r="W27" s="13"/>
    </row>
    <row r="28" spans="1:23" ht="15" customHeight="1" thickBot="1" x14ac:dyDescent="0.35">
      <c r="A28" s="53"/>
      <c r="B28" s="54"/>
      <c r="C28" s="54"/>
      <c r="D28" s="54"/>
      <c r="E28" s="54"/>
      <c r="F28" s="54"/>
      <c r="G28" s="54"/>
      <c r="H28" s="54"/>
      <c r="I28" s="54"/>
      <c r="J28" s="55"/>
      <c r="K28" s="14"/>
      <c r="S28" s="13"/>
      <c r="T28" s="13"/>
      <c r="U28" s="13"/>
      <c r="V28" s="14"/>
      <c r="W28" s="13"/>
    </row>
    <row r="29" spans="1:23" x14ac:dyDescent="0.3">
      <c r="K29" s="14"/>
      <c r="S29" s="13"/>
      <c r="T29" s="13"/>
      <c r="U29" s="13"/>
      <c r="V29" s="14"/>
      <c r="W29" s="13"/>
    </row>
    <row r="30" spans="1:23" x14ac:dyDescent="0.3">
      <c r="K30" s="14"/>
      <c r="S30" s="13"/>
      <c r="T30" s="13"/>
      <c r="U30" s="13"/>
      <c r="V30" s="14"/>
      <c r="W30" s="13"/>
    </row>
    <row r="31" spans="1:23" x14ac:dyDescent="0.3">
      <c r="K31" s="14"/>
      <c r="S31" s="13"/>
      <c r="T31" s="13"/>
      <c r="U31" s="13"/>
      <c r="V31" s="14"/>
      <c r="W31" s="13"/>
    </row>
    <row r="32" spans="1:23" x14ac:dyDescent="0.3">
      <c r="K32" s="14"/>
      <c r="S32" s="13"/>
      <c r="T32" s="13"/>
      <c r="U32" s="13"/>
      <c r="V32" s="14"/>
      <c r="W32" s="13"/>
    </row>
    <row r="33" spans="1:23" x14ac:dyDescent="0.3">
      <c r="K33" s="14"/>
      <c r="S33" s="13"/>
      <c r="T33" s="13"/>
      <c r="U33" s="13"/>
      <c r="V33" s="14"/>
      <c r="W33" s="13"/>
    </row>
    <row r="34" spans="1:23" x14ac:dyDescent="0.3">
      <c r="K34" s="14"/>
      <c r="S34" s="13"/>
      <c r="T34" s="13"/>
      <c r="U34" s="13"/>
      <c r="V34" s="14"/>
      <c r="W34" s="13"/>
    </row>
    <row r="35" spans="1:23" x14ac:dyDescent="0.3">
      <c r="K35" s="14"/>
      <c r="S35" s="13"/>
      <c r="T35" s="13"/>
      <c r="U35" s="13"/>
      <c r="V35" s="14"/>
      <c r="W35" s="13"/>
    </row>
    <row r="36" spans="1:23" x14ac:dyDescent="0.3">
      <c r="K36" s="14"/>
      <c r="S36" s="13"/>
      <c r="T36" s="13"/>
      <c r="U36" s="13"/>
      <c r="V36" s="14"/>
      <c r="W36" s="13"/>
    </row>
    <row r="37" spans="1:23" x14ac:dyDescent="0.3">
      <c r="K37" s="14"/>
      <c r="S37" s="13"/>
      <c r="T37" s="13"/>
      <c r="U37" s="13"/>
      <c r="V37" s="14"/>
      <c r="W37" s="13"/>
    </row>
    <row r="38" spans="1:23" x14ac:dyDescent="0.3">
      <c r="K38" s="14"/>
      <c r="S38" s="13"/>
      <c r="T38" s="13"/>
      <c r="U38" s="13"/>
      <c r="V38" s="14"/>
      <c r="W38" s="13"/>
    </row>
    <row r="39" spans="1:23" x14ac:dyDescent="0.3">
      <c r="A39" s="13"/>
      <c r="B39" s="13"/>
      <c r="K39" s="14"/>
      <c r="S39" s="13"/>
      <c r="T39" s="13"/>
      <c r="U39" s="13"/>
      <c r="V39" s="14"/>
      <c r="W39" s="13"/>
    </row>
    <row r="40" spans="1:23" x14ac:dyDescent="0.3">
      <c r="K40" s="14"/>
      <c r="S40" s="13"/>
      <c r="T40" s="13"/>
      <c r="U40" s="13"/>
      <c r="V40" s="14"/>
      <c r="W40" s="13"/>
    </row>
    <row r="41" spans="1:23" x14ac:dyDescent="0.3">
      <c r="K41" s="14"/>
      <c r="S41" s="13"/>
      <c r="T41" s="13"/>
      <c r="U41" s="13"/>
      <c r="V41" s="14"/>
      <c r="W41" s="13"/>
    </row>
    <row r="42" spans="1:23" x14ac:dyDescent="0.3">
      <c r="K42" s="14"/>
      <c r="S42" s="13"/>
      <c r="T42" s="13"/>
      <c r="U42" s="13"/>
      <c r="V42" s="14"/>
      <c r="W42" s="13"/>
    </row>
    <row r="43" spans="1:23" x14ac:dyDescent="0.3">
      <c r="K43" s="14"/>
      <c r="S43" s="13"/>
      <c r="T43" s="13"/>
      <c r="U43" s="13"/>
      <c r="V43" s="14"/>
      <c r="W43" s="13"/>
    </row>
    <row r="44" spans="1:23" x14ac:dyDescent="0.3">
      <c r="K44" s="14"/>
      <c r="S44" s="13"/>
      <c r="T44" s="13"/>
      <c r="U44" s="13"/>
      <c r="V44" s="14"/>
      <c r="W44" s="13"/>
    </row>
    <row r="45" spans="1:23" x14ac:dyDescent="0.3">
      <c r="K45" s="14"/>
      <c r="S45" s="13"/>
      <c r="T45" s="13"/>
      <c r="U45" s="13"/>
      <c r="V45" s="14"/>
      <c r="W45" s="13"/>
    </row>
    <row r="46" spans="1:23" x14ac:dyDescent="0.3">
      <c r="K46" s="14"/>
      <c r="S46" s="13"/>
      <c r="T46" s="13"/>
      <c r="U46" s="13"/>
      <c r="V46" s="14"/>
      <c r="W46" s="13"/>
    </row>
    <row r="47" spans="1:23" x14ac:dyDescent="0.3">
      <c r="K47" s="14"/>
      <c r="S47" s="13"/>
      <c r="T47" s="13"/>
      <c r="U47" s="13"/>
      <c r="V47" s="14"/>
      <c r="W47" s="13"/>
    </row>
    <row r="48" spans="1:23" x14ac:dyDescent="0.3">
      <c r="K48" s="14"/>
      <c r="S48" s="13"/>
      <c r="T48" s="13"/>
      <c r="U48" s="13"/>
      <c r="V48" s="14"/>
      <c r="W48" s="13"/>
    </row>
    <row r="49" spans="11:23" x14ac:dyDescent="0.3">
      <c r="K49" s="14"/>
      <c r="S49" s="13"/>
      <c r="T49" s="13"/>
      <c r="U49" s="13"/>
      <c r="V49" s="14"/>
      <c r="W49" s="13"/>
    </row>
  </sheetData>
  <mergeCells count="1">
    <mergeCell ref="I1:J1"/>
  </mergeCells>
  <hyperlinks>
    <hyperlink ref="I1" location="TOC!A1" display="Return to TOC" xr:uid="{C617BAFF-A738-4691-9AE7-58A3CF243404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812F-8508-4395-A703-28DE7A71B449}">
  <sheetPr codeName="Sheet47"/>
  <dimension ref="A1:W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6.5546875" customWidth="1"/>
    <col min="4" max="4" width="17.6640625" customWidth="1"/>
    <col min="5" max="5" width="9.33203125" customWidth="1"/>
    <col min="6" max="6" width="12" customWidth="1"/>
    <col min="7" max="7" width="9.88671875" customWidth="1"/>
    <col min="9" max="9" width="13.44140625" bestFit="1" customWidth="1"/>
    <col min="10" max="10" width="9.109375" customWidth="1"/>
    <col min="11" max="11" width="2.6640625" customWidth="1"/>
    <col min="12" max="12" width="7.33203125" customWidth="1"/>
    <col min="13" max="14" width="15.6640625" customWidth="1"/>
    <col min="15" max="15" width="10.44140625" customWidth="1"/>
    <col min="16" max="16" width="12.44140625" customWidth="1"/>
    <col min="17" max="17" width="10" bestFit="1" customWidth="1"/>
    <col min="18" max="18" width="10.33203125" customWidth="1"/>
    <col min="19" max="19" width="13.44140625" bestFit="1" customWidth="1"/>
    <col min="20" max="20" width="9.109375" customWidth="1"/>
    <col min="21" max="21" width="24.44140625" customWidth="1"/>
  </cols>
  <sheetData>
    <row r="1" spans="1:23" x14ac:dyDescent="0.3">
      <c r="A1" s="32" t="s">
        <v>137</v>
      </c>
      <c r="B1" s="33"/>
      <c r="C1" s="33" t="s">
        <v>129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V1" s="10"/>
    </row>
    <row r="2" spans="1:23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7"/>
      <c r="K2" s="10"/>
      <c r="L2" t="s">
        <v>1008</v>
      </c>
      <c r="O2" s="26"/>
      <c r="V2" s="10"/>
    </row>
    <row r="3" spans="1:23" x14ac:dyDescent="0.3">
      <c r="A3" s="35" t="s">
        <v>141</v>
      </c>
      <c r="B3" s="36"/>
      <c r="C3" s="36" t="s">
        <v>1007</v>
      </c>
      <c r="D3" s="36"/>
      <c r="E3" s="36"/>
      <c r="F3" s="36"/>
      <c r="G3" s="36"/>
      <c r="H3" s="36"/>
      <c r="I3" s="36"/>
      <c r="J3" s="37"/>
      <c r="K3" s="10"/>
      <c r="V3" s="10"/>
    </row>
    <row r="4" spans="1:23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1009</v>
      </c>
      <c r="V4" s="14"/>
      <c r="W4" s="13"/>
    </row>
    <row r="5" spans="1:23" ht="15" customHeight="1" x14ac:dyDescent="0.35">
      <c r="A5" s="41" t="s">
        <v>144</v>
      </c>
      <c r="B5" s="36"/>
      <c r="C5" s="333" t="s">
        <v>985</v>
      </c>
      <c r="D5" s="212" t="s">
        <v>986</v>
      </c>
      <c r="E5" s="212" t="s">
        <v>987</v>
      </c>
      <c r="F5" s="212" t="s">
        <v>988</v>
      </c>
      <c r="G5" s="212" t="s">
        <v>989</v>
      </c>
      <c r="H5" s="212" t="s">
        <v>898</v>
      </c>
      <c r="I5" s="96" t="s">
        <v>990</v>
      </c>
      <c r="J5" s="37"/>
      <c r="K5" s="14"/>
      <c r="V5" s="14"/>
      <c r="W5" s="13"/>
    </row>
    <row r="6" spans="1:23" x14ac:dyDescent="0.3">
      <c r="A6" s="45"/>
      <c r="B6" s="36"/>
      <c r="C6" s="77">
        <v>0</v>
      </c>
      <c r="D6" s="181">
        <v>0</v>
      </c>
      <c r="E6" s="181">
        <v>0</v>
      </c>
      <c r="F6" s="181" t="s">
        <v>629</v>
      </c>
      <c r="G6" s="181" t="s">
        <v>629</v>
      </c>
      <c r="H6" s="181" t="s">
        <v>629</v>
      </c>
      <c r="I6" s="337" t="s">
        <v>629</v>
      </c>
      <c r="J6" s="37"/>
      <c r="K6" s="14"/>
      <c r="L6" t="s">
        <v>1010</v>
      </c>
      <c r="S6" s="3" t="s">
        <v>1011</v>
      </c>
      <c r="V6" s="14"/>
      <c r="W6" s="13"/>
    </row>
    <row r="7" spans="1:23" ht="15" customHeight="1" x14ac:dyDescent="0.3">
      <c r="A7" s="45"/>
      <c r="B7" s="36"/>
      <c r="C7" s="415">
        <v>1000</v>
      </c>
      <c r="D7" s="181">
        <v>659</v>
      </c>
      <c r="E7" s="181">
        <v>0.48470000000000002</v>
      </c>
      <c r="F7" s="181" t="s">
        <v>629</v>
      </c>
      <c r="G7" s="181" t="s">
        <v>629</v>
      </c>
      <c r="H7" s="181" t="s">
        <v>629</v>
      </c>
      <c r="I7" s="337" t="s">
        <v>629</v>
      </c>
      <c r="J7" s="37"/>
      <c r="K7" s="14"/>
      <c r="V7" s="14"/>
      <c r="W7" s="13"/>
    </row>
    <row r="8" spans="1:23" ht="15" customHeight="1" x14ac:dyDescent="0.3">
      <c r="A8" s="41"/>
      <c r="B8" s="39"/>
      <c r="C8" s="415">
        <v>2000</v>
      </c>
      <c r="D8" s="213">
        <v>1111</v>
      </c>
      <c r="E8" s="181">
        <v>0.59889999999999999</v>
      </c>
      <c r="F8" s="181" t="s">
        <v>629</v>
      </c>
      <c r="G8" s="181" t="s">
        <v>629</v>
      </c>
      <c r="H8" s="181" t="s">
        <v>629</v>
      </c>
      <c r="I8" s="337" t="s">
        <v>629</v>
      </c>
      <c r="J8" s="37"/>
      <c r="K8" s="14"/>
      <c r="V8" s="14"/>
      <c r="W8" s="13"/>
    </row>
    <row r="9" spans="1:23" x14ac:dyDescent="0.3">
      <c r="A9" s="41"/>
      <c r="B9" s="39"/>
      <c r="C9" s="415">
        <v>3000</v>
      </c>
      <c r="D9" s="213">
        <v>1478</v>
      </c>
      <c r="E9" s="181">
        <v>0.66249999999999998</v>
      </c>
      <c r="F9" s="181" t="s">
        <v>629</v>
      </c>
      <c r="G9" s="181" t="s">
        <v>629</v>
      </c>
      <c r="H9" s="181" t="s">
        <v>629</v>
      </c>
      <c r="I9" s="337" t="s">
        <v>629</v>
      </c>
      <c r="J9" s="37"/>
      <c r="K9" s="14"/>
      <c r="L9" t="s">
        <v>1012</v>
      </c>
      <c r="V9" s="14"/>
      <c r="W9" s="13"/>
    </row>
    <row r="10" spans="1:23" x14ac:dyDescent="0.3">
      <c r="A10" s="38"/>
      <c r="B10" s="39"/>
      <c r="C10" s="415">
        <v>5000</v>
      </c>
      <c r="D10" s="213">
        <v>2071</v>
      </c>
      <c r="E10" s="181">
        <v>0.73640000000000005</v>
      </c>
      <c r="F10" s="181" t="s">
        <v>629</v>
      </c>
      <c r="G10" s="181" t="s">
        <v>629</v>
      </c>
      <c r="H10" s="181" t="s">
        <v>629</v>
      </c>
      <c r="I10" s="337" t="s">
        <v>629</v>
      </c>
      <c r="J10" s="37"/>
      <c r="K10" s="14"/>
      <c r="V10" s="14"/>
      <c r="W10" s="13"/>
    </row>
    <row r="11" spans="1:23" ht="15.6" x14ac:dyDescent="0.35">
      <c r="A11" s="38"/>
      <c r="B11" s="39"/>
      <c r="C11" s="494">
        <v>10000</v>
      </c>
      <c r="D11" s="214">
        <v>3144</v>
      </c>
      <c r="E11" s="319">
        <v>0.82150000000000001</v>
      </c>
      <c r="F11" s="319" t="s">
        <v>629</v>
      </c>
      <c r="G11" s="319" t="s">
        <v>629</v>
      </c>
      <c r="H11" s="319" t="s">
        <v>629</v>
      </c>
      <c r="I11" s="185" t="s">
        <v>629</v>
      </c>
      <c r="J11" s="37"/>
      <c r="K11" s="14"/>
      <c r="M11" s="86" t="str">
        <f t="shared" ref="M11:N17" si="0">C5</f>
        <v>Deductible, d</v>
      </c>
      <c r="N11" s="211" t="str">
        <f t="shared" si="0"/>
        <v>E[X;d]</v>
      </c>
      <c r="O11" s="211" t="s">
        <v>987</v>
      </c>
      <c r="P11" s="211" t="str">
        <f>F5</f>
        <v>C(d)</v>
      </c>
      <c r="Q11" s="211" t="str">
        <f>G5</f>
        <v>Frequency</v>
      </c>
      <c r="R11" s="211" t="str">
        <f>H5</f>
        <v>Severity</v>
      </c>
      <c r="S11" s="87" t="str">
        <f>I5</f>
        <v>Pure Premium</v>
      </c>
      <c r="V11" s="14"/>
      <c r="W11" s="13"/>
    </row>
    <row r="12" spans="1:23" x14ac:dyDescent="0.3">
      <c r="A12" s="38"/>
      <c r="B12" s="39"/>
      <c r="C12" s="36"/>
      <c r="D12" s="36"/>
      <c r="E12" s="36"/>
      <c r="F12" s="36"/>
      <c r="G12" s="36"/>
      <c r="H12" s="36"/>
      <c r="I12" s="36"/>
      <c r="J12" s="37"/>
      <c r="K12" s="14"/>
      <c r="M12" s="77">
        <f t="shared" si="0"/>
        <v>0</v>
      </c>
      <c r="N12" s="181">
        <f t="shared" si="0"/>
        <v>0</v>
      </c>
      <c r="O12" s="181">
        <f t="shared" ref="O12:O17" si="1">E6</f>
        <v>0</v>
      </c>
      <c r="P12" s="497">
        <f>(N12-M12*(1-O12)+O12*$C$15)/($C$14+$C$15)</f>
        <v>0</v>
      </c>
      <c r="Q12" s="488">
        <f t="shared" ref="Q12:Q17" si="2">$C$13*(1-O12)</f>
        <v>5.0000000000000001E-4</v>
      </c>
      <c r="R12" s="498">
        <f>(($C$14-N12)/(1-O12)+M12+$C$15)*(1+$C$16)</f>
        <v>10675.199999999999</v>
      </c>
      <c r="S12" s="499">
        <f>R12*Q12</f>
        <v>5.3375999999999992</v>
      </c>
      <c r="V12" s="14"/>
      <c r="W12" s="13"/>
    </row>
    <row r="13" spans="1:23" x14ac:dyDescent="0.3">
      <c r="A13" s="45"/>
      <c r="B13" s="36"/>
      <c r="C13" s="80">
        <v>5.0000000000000001E-4</v>
      </c>
      <c r="D13" s="287" t="s">
        <v>995</v>
      </c>
      <c r="E13" s="287"/>
      <c r="F13" s="43"/>
      <c r="G13" s="36"/>
      <c r="H13" s="36"/>
      <c r="I13" s="36"/>
      <c r="J13" s="37"/>
      <c r="K13" s="14"/>
      <c r="M13" s="415">
        <f t="shared" si="0"/>
        <v>1000</v>
      </c>
      <c r="N13" s="213">
        <f t="shared" si="0"/>
        <v>659</v>
      </c>
      <c r="O13" s="181">
        <f t="shared" si="1"/>
        <v>0.48470000000000002</v>
      </c>
      <c r="P13" s="497">
        <f t="shared" ref="P13:P17" si="3">(N13-M13*(1-O13)+O13*$C$15)/($C$14+$C$15)</f>
        <v>1.6153327338129502E-2</v>
      </c>
      <c r="Q13" s="488">
        <f t="shared" si="2"/>
        <v>2.5765E-4</v>
      </c>
      <c r="R13" s="498">
        <f t="shared" ref="R13:R17" si="4">(($C$14-N13)/(1-O13)+M13+$C$15)*(1+$C$16)</f>
        <v>20381.835823791964</v>
      </c>
      <c r="S13" s="499">
        <f t="shared" ref="S13:S17" si="5">R13*Q13</f>
        <v>5.2513799999999993</v>
      </c>
      <c r="V13" s="14"/>
      <c r="W13" s="13"/>
    </row>
    <row r="14" spans="1:23" x14ac:dyDescent="0.3">
      <c r="A14" s="38"/>
      <c r="B14" s="39"/>
      <c r="C14" s="476">
        <v>8896</v>
      </c>
      <c r="D14" s="36" t="s">
        <v>996</v>
      </c>
      <c r="E14" s="36"/>
      <c r="F14" s="46"/>
      <c r="G14" s="36"/>
      <c r="H14" s="36"/>
      <c r="I14" s="36"/>
      <c r="J14" s="37"/>
      <c r="K14" s="14"/>
      <c r="M14" s="415">
        <f t="shared" si="0"/>
        <v>2000</v>
      </c>
      <c r="N14" s="213">
        <f t="shared" si="0"/>
        <v>1111</v>
      </c>
      <c r="O14" s="181">
        <f t="shared" si="1"/>
        <v>0.59889999999999999</v>
      </c>
      <c r="P14" s="497">
        <f t="shared" si="3"/>
        <v>3.4712230215827332E-2</v>
      </c>
      <c r="Q14" s="488">
        <f t="shared" si="2"/>
        <v>2.0055000000000002E-4</v>
      </c>
      <c r="R14" s="498">
        <f t="shared" si="4"/>
        <v>25690.949887808525</v>
      </c>
      <c r="S14" s="499">
        <f t="shared" si="5"/>
        <v>5.1523200000000005</v>
      </c>
      <c r="V14" s="14"/>
      <c r="W14" s="13"/>
    </row>
    <row r="15" spans="1:23" x14ac:dyDescent="0.3">
      <c r="A15" s="45"/>
      <c r="B15" s="36"/>
      <c r="C15" s="77">
        <v>0</v>
      </c>
      <c r="D15" s="36" t="s">
        <v>997</v>
      </c>
      <c r="E15" s="36"/>
      <c r="F15" s="46"/>
      <c r="G15" s="36"/>
      <c r="H15" s="36"/>
      <c r="I15" s="36"/>
      <c r="J15" s="37"/>
      <c r="K15" s="14"/>
      <c r="M15" s="415">
        <f t="shared" si="0"/>
        <v>3000</v>
      </c>
      <c r="N15" s="213">
        <f t="shared" si="0"/>
        <v>1478</v>
      </c>
      <c r="O15" s="181">
        <f t="shared" si="1"/>
        <v>0.66249999999999998</v>
      </c>
      <c r="P15" s="497">
        <f t="shared" si="3"/>
        <v>5.232688848920862E-2</v>
      </c>
      <c r="Q15" s="488">
        <f t="shared" si="2"/>
        <v>1.6875000000000001E-4</v>
      </c>
      <c r="R15" s="498">
        <f t="shared" si="4"/>
        <v>29975.111111111109</v>
      </c>
      <c r="S15" s="499">
        <f t="shared" si="5"/>
        <v>5.0583</v>
      </c>
      <c r="V15" s="14"/>
      <c r="W15" s="13"/>
    </row>
    <row r="16" spans="1:23" x14ac:dyDescent="0.3">
      <c r="A16" s="45"/>
      <c r="B16" s="36"/>
      <c r="C16" s="495">
        <v>0.2</v>
      </c>
      <c r="D16" s="291" t="s">
        <v>998</v>
      </c>
      <c r="E16" s="291"/>
      <c r="F16" s="47"/>
      <c r="G16" s="36"/>
      <c r="H16" s="36"/>
      <c r="I16" s="36"/>
      <c r="J16" s="37"/>
      <c r="K16" s="14"/>
      <c r="M16" s="415">
        <f t="shared" si="0"/>
        <v>5000</v>
      </c>
      <c r="N16" s="213">
        <f t="shared" si="0"/>
        <v>2071</v>
      </c>
      <c r="O16" s="181">
        <f t="shared" si="1"/>
        <v>0.73640000000000005</v>
      </c>
      <c r="P16" s="497">
        <f t="shared" si="3"/>
        <v>8.4644784172661899E-2</v>
      </c>
      <c r="Q16" s="488">
        <f t="shared" si="2"/>
        <v>1.3179999999999998E-4</v>
      </c>
      <c r="R16" s="498">
        <f t="shared" si="4"/>
        <v>37069.802731411233</v>
      </c>
      <c r="S16" s="499">
        <f t="shared" si="5"/>
        <v>4.8857999999999997</v>
      </c>
      <c r="V16" s="14"/>
      <c r="W16" s="13"/>
    </row>
    <row r="17" spans="1:23" x14ac:dyDescent="0.3">
      <c r="A17" s="45"/>
      <c r="B17" s="36"/>
      <c r="C17" s="36"/>
      <c r="D17" s="36"/>
      <c r="E17" s="36"/>
      <c r="F17" s="36"/>
      <c r="G17" s="36"/>
      <c r="H17" s="36"/>
      <c r="I17" s="36"/>
      <c r="J17" s="37"/>
      <c r="K17" s="14"/>
      <c r="M17" s="494">
        <f t="shared" si="0"/>
        <v>10000</v>
      </c>
      <c r="N17" s="214">
        <f t="shared" si="0"/>
        <v>3144</v>
      </c>
      <c r="O17" s="319">
        <f t="shared" si="1"/>
        <v>0.82150000000000001</v>
      </c>
      <c r="P17" s="500">
        <f t="shared" si="3"/>
        <v>0.15276528776978418</v>
      </c>
      <c r="Q17" s="491">
        <f t="shared" si="2"/>
        <v>8.9250000000000001E-5</v>
      </c>
      <c r="R17" s="501">
        <f t="shared" si="4"/>
        <v>50668.907563025205</v>
      </c>
      <c r="S17" s="502">
        <f t="shared" si="5"/>
        <v>4.5221999999999998</v>
      </c>
      <c r="V17" s="14"/>
      <c r="W17" s="13"/>
    </row>
    <row r="18" spans="1:23" x14ac:dyDescent="0.3">
      <c r="A18" s="35" t="s">
        <v>173</v>
      </c>
      <c r="B18" s="39"/>
      <c r="C18" s="36" t="s">
        <v>1013</v>
      </c>
      <c r="D18" s="36"/>
      <c r="E18" s="36"/>
      <c r="F18" s="36"/>
      <c r="G18" s="36"/>
      <c r="H18" s="36"/>
      <c r="I18" s="36"/>
      <c r="J18" s="37"/>
      <c r="K18" s="14"/>
      <c r="V18" s="14"/>
      <c r="W18" s="13"/>
    </row>
    <row r="19" spans="1:23" ht="15" customHeight="1" thickBot="1" x14ac:dyDescent="0.35">
      <c r="A19" s="53"/>
      <c r="B19" s="54"/>
      <c r="C19" s="54"/>
      <c r="D19" s="54"/>
      <c r="E19" s="54"/>
      <c r="F19" s="54"/>
      <c r="G19" s="54"/>
      <c r="H19" s="54"/>
      <c r="I19" s="54"/>
      <c r="J19" s="55"/>
      <c r="K19" s="14"/>
      <c r="V19" s="14"/>
      <c r="W19" s="13"/>
    </row>
    <row r="20" spans="1:23" x14ac:dyDescent="0.3">
      <c r="K20" s="14"/>
      <c r="V20" s="14"/>
      <c r="W20" s="13"/>
    </row>
    <row r="21" spans="1:23" x14ac:dyDescent="0.3">
      <c r="K21" s="14"/>
      <c r="V21" s="14"/>
      <c r="W21" s="13"/>
    </row>
    <row r="22" spans="1:23" x14ac:dyDescent="0.3">
      <c r="K22" s="14"/>
      <c r="S22" s="13"/>
      <c r="T22" s="13"/>
      <c r="U22" s="13"/>
      <c r="V22" s="14"/>
      <c r="W22" s="13"/>
    </row>
    <row r="23" spans="1:23" ht="15" customHeight="1" x14ac:dyDescent="0.3">
      <c r="K23" s="14"/>
      <c r="S23" s="13"/>
      <c r="T23" s="13"/>
      <c r="U23" s="13"/>
      <c r="V23" s="14"/>
      <c r="W23" s="13"/>
    </row>
    <row r="24" spans="1:23" ht="15" customHeight="1" x14ac:dyDescent="0.3">
      <c r="K24" s="14"/>
      <c r="S24" s="13"/>
      <c r="T24" s="13"/>
      <c r="U24" s="13"/>
      <c r="V24" s="14"/>
      <c r="W24" s="13"/>
    </row>
    <row r="25" spans="1:23" ht="15" customHeight="1" x14ac:dyDescent="0.3">
      <c r="K25" s="14"/>
      <c r="S25" s="13"/>
      <c r="T25" s="13"/>
      <c r="U25" s="13"/>
      <c r="V25" s="14"/>
      <c r="W25" s="13"/>
    </row>
    <row r="26" spans="1:23" ht="15" customHeight="1" x14ac:dyDescent="0.3">
      <c r="K26" s="14"/>
      <c r="S26" s="13"/>
      <c r="T26" s="13"/>
      <c r="U26" s="13"/>
      <c r="V26" s="14"/>
      <c r="W26" s="13"/>
    </row>
    <row r="27" spans="1:23" ht="15" customHeight="1" x14ac:dyDescent="0.3">
      <c r="K27" s="14"/>
      <c r="S27" s="13"/>
      <c r="T27" s="13"/>
      <c r="U27" s="13"/>
      <c r="V27" s="14"/>
      <c r="W27" s="13"/>
    </row>
    <row r="28" spans="1:23" ht="15" customHeight="1" x14ac:dyDescent="0.3">
      <c r="K28" s="14"/>
      <c r="S28" s="13"/>
      <c r="T28" s="13"/>
      <c r="U28" s="13"/>
      <c r="V28" s="14"/>
      <c r="W28" s="13"/>
    </row>
    <row r="29" spans="1:23" x14ac:dyDescent="0.3">
      <c r="K29" s="14"/>
      <c r="S29" s="13"/>
      <c r="T29" s="13"/>
      <c r="U29" s="13"/>
      <c r="V29" s="14"/>
      <c r="W29" s="13"/>
    </row>
    <row r="30" spans="1:23" x14ac:dyDescent="0.3">
      <c r="K30" s="14"/>
      <c r="S30" s="13"/>
      <c r="T30" s="13"/>
      <c r="U30" s="13"/>
      <c r="V30" s="14"/>
      <c r="W30" s="13"/>
    </row>
    <row r="31" spans="1:23" x14ac:dyDescent="0.3">
      <c r="K31" s="14"/>
      <c r="S31" s="13"/>
      <c r="T31" s="13"/>
      <c r="U31" s="13"/>
      <c r="V31" s="14"/>
      <c r="W31" s="13"/>
    </row>
    <row r="32" spans="1:23" x14ac:dyDescent="0.3">
      <c r="K32" s="14"/>
      <c r="S32" s="13"/>
      <c r="T32" s="13"/>
      <c r="U32" s="13"/>
      <c r="V32" s="14"/>
      <c r="W32" s="13"/>
    </row>
    <row r="33" spans="1:23" x14ac:dyDescent="0.3">
      <c r="K33" s="14"/>
      <c r="S33" s="13"/>
      <c r="T33" s="13"/>
      <c r="U33" s="13"/>
      <c r="V33" s="14"/>
      <c r="W33" s="13"/>
    </row>
    <row r="34" spans="1:23" x14ac:dyDescent="0.3">
      <c r="K34" s="14"/>
      <c r="S34" s="13"/>
      <c r="T34" s="13"/>
      <c r="U34" s="13"/>
      <c r="V34" s="14"/>
      <c r="W34" s="13"/>
    </row>
    <row r="35" spans="1:23" x14ac:dyDescent="0.3">
      <c r="K35" s="14"/>
      <c r="S35" s="13"/>
      <c r="T35" s="13"/>
      <c r="U35" s="13"/>
      <c r="V35" s="14"/>
      <c r="W35" s="13"/>
    </row>
    <row r="36" spans="1:23" x14ac:dyDescent="0.3">
      <c r="K36" s="14"/>
      <c r="S36" s="13"/>
      <c r="T36" s="13"/>
      <c r="U36" s="13"/>
      <c r="V36" s="14"/>
      <c r="W36" s="13"/>
    </row>
    <row r="37" spans="1:23" x14ac:dyDescent="0.3">
      <c r="K37" s="14"/>
      <c r="S37" s="13"/>
      <c r="T37" s="13"/>
      <c r="U37" s="13"/>
      <c r="V37" s="14"/>
      <c r="W37" s="13"/>
    </row>
    <row r="38" spans="1:23" x14ac:dyDescent="0.3">
      <c r="K38" s="14"/>
      <c r="S38" s="13"/>
      <c r="T38" s="13"/>
      <c r="U38" s="13"/>
      <c r="V38" s="14"/>
      <c r="W38" s="13"/>
    </row>
    <row r="39" spans="1:23" x14ac:dyDescent="0.3">
      <c r="A39" s="13"/>
      <c r="B39" s="13"/>
      <c r="K39" s="14"/>
      <c r="S39" s="13"/>
      <c r="T39" s="13"/>
      <c r="U39" s="13"/>
      <c r="V39" s="14"/>
      <c r="W39" s="13"/>
    </row>
    <row r="40" spans="1:23" x14ac:dyDescent="0.3">
      <c r="K40" s="14"/>
      <c r="S40" s="13"/>
      <c r="T40" s="13"/>
      <c r="U40" s="13"/>
      <c r="V40" s="14"/>
      <c r="W40" s="13"/>
    </row>
    <row r="41" spans="1:23" x14ac:dyDescent="0.3">
      <c r="K41" s="14"/>
      <c r="S41" s="13"/>
      <c r="T41" s="13"/>
      <c r="U41" s="13"/>
      <c r="V41" s="14"/>
      <c r="W41" s="13"/>
    </row>
    <row r="42" spans="1:23" x14ac:dyDescent="0.3">
      <c r="K42" s="14"/>
      <c r="S42" s="13"/>
      <c r="T42" s="13"/>
      <c r="U42" s="13"/>
      <c r="V42" s="14"/>
      <c r="W42" s="13"/>
    </row>
    <row r="43" spans="1:23" x14ac:dyDescent="0.3">
      <c r="K43" s="14"/>
      <c r="S43" s="13"/>
      <c r="T43" s="13"/>
      <c r="U43" s="13"/>
      <c r="V43" s="14"/>
      <c r="W43" s="13"/>
    </row>
    <row r="44" spans="1:23" x14ac:dyDescent="0.3">
      <c r="K44" s="14"/>
      <c r="S44" s="13"/>
      <c r="T44" s="13"/>
      <c r="U44" s="13"/>
      <c r="V44" s="14"/>
      <c r="W44" s="13"/>
    </row>
    <row r="45" spans="1:23" x14ac:dyDescent="0.3">
      <c r="K45" s="14"/>
      <c r="S45" s="13"/>
      <c r="T45" s="13"/>
      <c r="U45" s="13"/>
      <c r="V45" s="14"/>
      <c r="W45" s="13"/>
    </row>
    <row r="46" spans="1:23" x14ac:dyDescent="0.3">
      <c r="K46" s="14"/>
      <c r="S46" s="13"/>
      <c r="T46" s="13"/>
      <c r="U46" s="13"/>
      <c r="V46" s="14"/>
      <c r="W46" s="13"/>
    </row>
    <row r="47" spans="1:23" x14ac:dyDescent="0.3">
      <c r="K47" s="14"/>
      <c r="S47" s="13"/>
      <c r="T47" s="13"/>
      <c r="U47" s="13"/>
      <c r="V47" s="14"/>
      <c r="W47" s="13"/>
    </row>
    <row r="48" spans="1:23" x14ac:dyDescent="0.3">
      <c r="K48" s="14"/>
      <c r="S48" s="13"/>
      <c r="T48" s="13"/>
      <c r="U48" s="13"/>
      <c r="V48" s="14"/>
      <c r="W48" s="13"/>
    </row>
    <row r="49" spans="11:23" x14ac:dyDescent="0.3">
      <c r="K49" s="14"/>
      <c r="S49" s="13"/>
      <c r="T49" s="13"/>
      <c r="U49" s="13"/>
      <c r="V49" s="14"/>
      <c r="W49" s="13"/>
    </row>
  </sheetData>
  <mergeCells count="1">
    <mergeCell ref="I1:J1"/>
  </mergeCells>
  <hyperlinks>
    <hyperlink ref="I1" location="TOC!A1" display="Return to TOC" xr:uid="{F776B6D7-7B3D-450C-9FB4-C7914026F472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1876-91D7-4791-BF9A-232A965D767C}">
  <sheetPr codeName="Sheet31"/>
  <dimension ref="A1:W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25.44140625" customWidth="1"/>
    <col min="4" max="4" width="19.6640625" customWidth="1"/>
    <col min="5" max="5" width="17.6640625" customWidth="1"/>
    <col min="6" max="6" width="17.33203125" customWidth="1"/>
    <col min="7" max="7" width="9.88671875" customWidth="1"/>
    <col min="8" max="8" width="2.6640625" customWidth="1"/>
    <col min="9" max="9" width="4.88671875" customWidth="1"/>
    <col min="10" max="10" width="18.109375" customWidth="1"/>
    <col min="11" max="11" width="15.6640625" customWidth="1"/>
    <col min="12" max="12" width="17.6640625" customWidth="1"/>
    <col min="13" max="13" width="13.33203125" customWidth="1"/>
    <col min="14" max="21" width="9.109375" customWidth="1"/>
  </cols>
  <sheetData>
    <row r="1" spans="1:23" x14ac:dyDescent="0.3">
      <c r="A1" s="32" t="s">
        <v>137</v>
      </c>
      <c r="B1" s="33"/>
      <c r="C1" s="33" t="s">
        <v>130</v>
      </c>
      <c r="D1" s="34"/>
      <c r="E1" s="33"/>
      <c r="F1" s="772" t="s">
        <v>199</v>
      </c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1014</v>
      </c>
      <c r="D2" s="36"/>
      <c r="E2" s="36"/>
      <c r="F2" s="36"/>
      <c r="G2" s="37"/>
      <c r="H2" s="10"/>
      <c r="I2" t="s">
        <v>174</v>
      </c>
      <c r="J2" t="s">
        <v>1016</v>
      </c>
      <c r="V2" s="10"/>
    </row>
    <row r="3" spans="1:23" x14ac:dyDescent="0.3">
      <c r="A3" s="35" t="s">
        <v>141</v>
      </c>
      <c r="B3" s="36"/>
      <c r="C3" s="36" t="s">
        <v>1015</v>
      </c>
      <c r="D3" s="36"/>
      <c r="E3" s="36"/>
      <c r="F3" s="36"/>
      <c r="G3" s="37"/>
      <c r="H3" s="10"/>
      <c r="J3" t="s">
        <v>1017</v>
      </c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S4" s="13"/>
      <c r="V4" s="14"/>
      <c r="W4" s="13"/>
    </row>
    <row r="5" spans="1:23" ht="15" customHeight="1" x14ac:dyDescent="0.3">
      <c r="A5" s="41" t="s">
        <v>144</v>
      </c>
      <c r="B5" s="36"/>
      <c r="C5" s="36" t="s">
        <v>1018</v>
      </c>
      <c r="D5" s="36"/>
      <c r="E5" s="36"/>
      <c r="F5" s="36"/>
      <c r="G5" s="37"/>
      <c r="H5" s="14"/>
      <c r="I5" t="s">
        <v>183</v>
      </c>
      <c r="J5" t="s">
        <v>1019</v>
      </c>
      <c r="S5" s="13"/>
      <c r="T5" s="13"/>
      <c r="U5" s="13"/>
      <c r="V5" s="14"/>
      <c r="W5" s="13"/>
    </row>
    <row r="6" spans="1:23" x14ac:dyDescent="0.3">
      <c r="A6" s="45"/>
      <c r="B6" s="36"/>
      <c r="C6" s="36"/>
      <c r="D6" s="36"/>
      <c r="E6" s="36"/>
      <c r="F6" s="36"/>
      <c r="G6" s="37"/>
      <c r="H6" s="14"/>
      <c r="J6" t="s">
        <v>1024</v>
      </c>
      <c r="S6" s="13"/>
      <c r="T6" s="13"/>
      <c r="U6" s="13"/>
      <c r="V6" s="14"/>
      <c r="W6" s="13"/>
    </row>
    <row r="7" spans="1:23" ht="28.8" x14ac:dyDescent="0.3">
      <c r="A7" s="45"/>
      <c r="B7" s="36"/>
      <c r="C7" s="507" t="s">
        <v>1020</v>
      </c>
      <c r="D7" s="334" t="s">
        <v>1021</v>
      </c>
      <c r="E7" s="334" t="s">
        <v>1022</v>
      </c>
      <c r="F7" s="336" t="s">
        <v>1023</v>
      </c>
      <c r="G7" s="37"/>
      <c r="H7" s="14"/>
      <c r="J7" t="s">
        <v>1026</v>
      </c>
      <c r="S7" s="13"/>
      <c r="T7" s="13"/>
      <c r="U7" s="13"/>
      <c r="V7" s="14"/>
      <c r="W7" s="13"/>
    </row>
    <row r="8" spans="1:23" ht="15" customHeight="1" x14ac:dyDescent="0.3">
      <c r="A8" s="41"/>
      <c r="B8" s="39"/>
      <c r="C8" s="80" t="s">
        <v>1025</v>
      </c>
      <c r="D8" s="143">
        <v>250000</v>
      </c>
      <c r="E8" s="143">
        <v>250000</v>
      </c>
      <c r="F8" s="145">
        <v>1200</v>
      </c>
      <c r="G8" s="37"/>
      <c r="H8" s="14"/>
      <c r="M8" s="10"/>
      <c r="S8" s="13"/>
      <c r="T8" s="13"/>
      <c r="U8" s="13"/>
      <c r="V8" s="14"/>
      <c r="W8" s="13"/>
    </row>
    <row r="9" spans="1:23" x14ac:dyDescent="0.3">
      <c r="A9" s="41"/>
      <c r="B9" s="39"/>
      <c r="C9" s="77">
        <v>2</v>
      </c>
      <c r="D9" s="144">
        <v>300000</v>
      </c>
      <c r="E9" s="144">
        <v>100000</v>
      </c>
      <c r="F9" s="337">
        <v>625</v>
      </c>
      <c r="G9" s="37"/>
      <c r="H9" s="14"/>
      <c r="J9" t="s">
        <v>1027</v>
      </c>
      <c r="M9" s="503"/>
      <c r="S9" s="13"/>
      <c r="T9" s="13"/>
      <c r="U9" s="13"/>
      <c r="V9" s="14"/>
      <c r="W9" s="13"/>
    </row>
    <row r="10" spans="1:23" x14ac:dyDescent="0.3">
      <c r="A10" s="38"/>
      <c r="B10" s="39"/>
      <c r="C10" s="77">
        <v>1</v>
      </c>
      <c r="D10" s="144">
        <v>25000</v>
      </c>
      <c r="E10" s="144">
        <v>100000</v>
      </c>
      <c r="F10" s="337">
        <v>750</v>
      </c>
      <c r="G10" s="37"/>
      <c r="H10" s="14"/>
      <c r="J10" t="s">
        <v>1028</v>
      </c>
      <c r="M10" s="503"/>
      <c r="S10" s="13"/>
      <c r="T10" s="13"/>
      <c r="U10" s="13"/>
      <c r="V10" s="14"/>
      <c r="W10" s="13"/>
    </row>
    <row r="11" spans="1:23" x14ac:dyDescent="0.3">
      <c r="A11" s="38"/>
      <c r="B11" s="39"/>
      <c r="C11" s="77">
        <v>0</v>
      </c>
      <c r="D11" s="144">
        <v>12000</v>
      </c>
      <c r="E11" s="144">
        <v>150000</v>
      </c>
      <c r="F11" s="146">
        <v>1500</v>
      </c>
      <c r="G11" s="37"/>
      <c r="H11" s="14"/>
      <c r="J11" s="27" t="s">
        <v>1029</v>
      </c>
      <c r="K11" t="str">
        <f>TEXT(F12,"#,###") &amp;" / " &amp;TEXT(E12,"#,###")</f>
        <v>4,075 / 600,000</v>
      </c>
      <c r="M11" s="503"/>
      <c r="S11" s="13"/>
      <c r="T11" s="13"/>
      <c r="U11" s="13"/>
      <c r="V11" s="14"/>
      <c r="W11" s="13"/>
    </row>
    <row r="12" spans="1:23" x14ac:dyDescent="0.3">
      <c r="A12" s="38"/>
      <c r="B12" s="39"/>
      <c r="C12" s="333" t="s">
        <v>308</v>
      </c>
      <c r="D12" s="504">
        <f>SUM(D8:D11)</f>
        <v>587000</v>
      </c>
      <c r="E12" s="504">
        <f>SUM(E8:E11)</f>
        <v>600000</v>
      </c>
      <c r="F12" s="417">
        <f>SUM(F8:F11)</f>
        <v>4075</v>
      </c>
      <c r="G12" s="37"/>
      <c r="H12" s="14"/>
      <c r="J12" s="27" t="s">
        <v>1029</v>
      </c>
      <c r="K12" s="186">
        <f>F12/E12</f>
        <v>6.7916666666666663E-3</v>
      </c>
      <c r="S12" s="13"/>
      <c r="T12" s="13"/>
      <c r="U12" s="13"/>
      <c r="V12" s="14"/>
      <c r="W12" s="13"/>
    </row>
    <row r="13" spans="1:23" x14ac:dyDescent="0.3">
      <c r="A13" s="38"/>
      <c r="B13" s="39"/>
      <c r="C13" s="36"/>
      <c r="D13" s="36"/>
      <c r="E13" s="36"/>
      <c r="F13" s="36"/>
      <c r="G13" s="37"/>
      <c r="H13" s="14"/>
      <c r="S13" s="13"/>
      <c r="T13" s="13"/>
      <c r="U13" s="13"/>
      <c r="V13" s="14"/>
      <c r="W13" s="13"/>
    </row>
    <row r="14" spans="1:23" ht="28.8" x14ac:dyDescent="0.3">
      <c r="A14" s="38"/>
      <c r="B14" s="39"/>
      <c r="C14" s="36" t="s">
        <v>1030</v>
      </c>
      <c r="D14" s="36"/>
      <c r="E14" s="36"/>
      <c r="F14" s="36"/>
      <c r="G14" s="37"/>
      <c r="H14" s="14"/>
      <c r="J14" s="24" t="s">
        <v>1031</v>
      </c>
      <c r="K14" s="193" t="s">
        <v>1032</v>
      </c>
      <c r="L14" s="193" t="s">
        <v>1033</v>
      </c>
      <c r="M14" s="505" t="s">
        <v>1034</v>
      </c>
      <c r="S14" s="13"/>
      <c r="T14" s="13"/>
      <c r="U14" s="13"/>
      <c r="V14" s="14"/>
      <c r="W14" s="13"/>
    </row>
    <row r="15" spans="1:23" x14ac:dyDescent="0.3">
      <c r="A15" s="45"/>
      <c r="B15" s="36"/>
      <c r="C15" s="36"/>
      <c r="D15" s="36"/>
      <c r="E15" s="36"/>
      <c r="F15" s="36"/>
      <c r="G15" s="37"/>
      <c r="H15" s="14"/>
      <c r="J15" s="100" t="s">
        <v>1025</v>
      </c>
      <c r="K15" s="506">
        <f>SUM($F$8:F8)/SUM($E$8:E8)</f>
        <v>4.7999999999999996E-3</v>
      </c>
      <c r="L15" s="506">
        <f>K15/$K$12</f>
        <v>0.70674846625766874</v>
      </c>
      <c r="M15" s="104">
        <f>1-L15</f>
        <v>0.29325153374233126</v>
      </c>
      <c r="S15" s="13"/>
      <c r="T15" s="13"/>
      <c r="U15" s="13"/>
      <c r="V15" s="14"/>
      <c r="W15" s="13"/>
    </row>
    <row r="16" spans="1:23" x14ac:dyDescent="0.3">
      <c r="A16" s="35" t="s">
        <v>173</v>
      </c>
      <c r="B16" s="36" t="s">
        <v>174</v>
      </c>
      <c r="C16" s="36" t="s">
        <v>1035</v>
      </c>
      <c r="D16" s="36"/>
      <c r="E16" s="36"/>
      <c r="F16" s="36"/>
      <c r="G16" s="37"/>
      <c r="H16" s="14"/>
      <c r="J16" s="100" t="s">
        <v>1037</v>
      </c>
      <c r="K16" s="506">
        <f>SUM($F$8:F9)/SUM($E$8:E9)</f>
        <v>5.2142857142857147E-3</v>
      </c>
      <c r="L16" s="506">
        <f>K16/$K$12</f>
        <v>0.76774758983347946</v>
      </c>
      <c r="M16" s="104">
        <f t="shared" ref="M16:M17" si="0">1-L16</f>
        <v>0.23225241016652054</v>
      </c>
      <c r="S16" s="13"/>
      <c r="T16" s="13"/>
      <c r="U16" s="13"/>
      <c r="V16" s="14"/>
      <c r="W16" s="13"/>
    </row>
    <row r="17" spans="1:23" x14ac:dyDescent="0.3">
      <c r="A17" s="45"/>
      <c r="B17" s="36"/>
      <c r="C17" s="36" t="s">
        <v>1036</v>
      </c>
      <c r="D17" s="36"/>
      <c r="E17" s="36"/>
      <c r="F17" s="36"/>
      <c r="G17" s="37"/>
      <c r="H17" s="14"/>
      <c r="J17" s="67" t="s">
        <v>1038</v>
      </c>
      <c r="K17" s="108">
        <f>SUM($F$8:F10)/SUM($E$8:E10)</f>
        <v>5.7222222222222223E-3</v>
      </c>
      <c r="L17" s="108">
        <f>K17/$K$12</f>
        <v>0.84253578732106349</v>
      </c>
      <c r="M17" s="106">
        <f t="shared" si="0"/>
        <v>0.15746421267893651</v>
      </c>
      <c r="S17" s="13"/>
      <c r="T17" s="13"/>
      <c r="U17" s="13"/>
      <c r="V17" s="14"/>
      <c r="W17" s="13"/>
    </row>
    <row r="18" spans="1:23" x14ac:dyDescent="0.3">
      <c r="A18" s="45"/>
      <c r="B18" s="36"/>
      <c r="C18" s="36"/>
      <c r="D18" s="36"/>
      <c r="E18" s="36"/>
      <c r="F18" s="36"/>
      <c r="G18" s="37"/>
      <c r="H18" s="14"/>
      <c r="S18" s="13"/>
      <c r="T18" s="13"/>
      <c r="U18" s="13"/>
      <c r="V18" s="14"/>
      <c r="W18" s="13"/>
    </row>
    <row r="19" spans="1:23" ht="15" customHeight="1" x14ac:dyDescent="0.3">
      <c r="A19" s="45"/>
      <c r="B19" s="36" t="s">
        <v>183</v>
      </c>
      <c r="C19" s="36" t="s">
        <v>1039</v>
      </c>
      <c r="D19" s="36"/>
      <c r="E19" s="36"/>
      <c r="F19" s="36"/>
      <c r="G19" s="37"/>
      <c r="H19" s="14"/>
      <c r="J19" s="11" t="s">
        <v>1041</v>
      </c>
      <c r="S19" s="13"/>
      <c r="T19" s="13"/>
      <c r="U19" s="13"/>
      <c r="V19" s="14"/>
      <c r="W19" s="13"/>
    </row>
    <row r="20" spans="1:23" x14ac:dyDescent="0.3">
      <c r="A20" s="45"/>
      <c r="B20" s="36"/>
      <c r="C20" s="36" t="s">
        <v>1040</v>
      </c>
      <c r="D20" s="36"/>
      <c r="E20" s="36"/>
      <c r="F20" s="36"/>
      <c r="G20" s="37"/>
      <c r="H20" s="14"/>
      <c r="J20" s="11" t="s">
        <v>1042</v>
      </c>
      <c r="S20" s="13"/>
      <c r="T20" s="13"/>
      <c r="U20" s="13"/>
      <c r="V20" s="14"/>
      <c r="W20" s="13"/>
    </row>
    <row r="21" spans="1:23" x14ac:dyDescent="0.3">
      <c r="A21" s="45"/>
      <c r="B21" s="36"/>
      <c r="C21" s="36"/>
      <c r="D21" s="36"/>
      <c r="E21" s="36"/>
      <c r="F21" s="36"/>
      <c r="G21" s="37"/>
      <c r="H21" s="14"/>
      <c r="J21" s="11" t="s">
        <v>1044</v>
      </c>
      <c r="R21" s="13"/>
      <c r="S21" s="13"/>
      <c r="T21" s="13"/>
      <c r="U21" s="13"/>
      <c r="V21" s="14"/>
      <c r="W21" s="13"/>
    </row>
    <row r="22" spans="1:23" x14ac:dyDescent="0.3">
      <c r="A22" s="45"/>
      <c r="B22" s="36" t="s">
        <v>778</v>
      </c>
      <c r="C22" s="36" t="s">
        <v>1043</v>
      </c>
      <c r="D22" s="36"/>
      <c r="E22" s="36"/>
      <c r="F22" s="36"/>
      <c r="G22" s="37"/>
      <c r="H22" s="14"/>
      <c r="P22" s="13"/>
      <c r="Q22" s="13"/>
      <c r="R22" s="13"/>
      <c r="S22" s="13"/>
      <c r="T22" s="13"/>
      <c r="U22" s="13"/>
      <c r="V22" s="14"/>
      <c r="W22" s="13"/>
    </row>
    <row r="23" spans="1:23" ht="15" customHeight="1" thickBot="1" x14ac:dyDescent="0.35">
      <c r="A23" s="53"/>
      <c r="B23" s="54"/>
      <c r="C23" s="54"/>
      <c r="D23" s="54"/>
      <c r="E23" s="54"/>
      <c r="F23" s="54"/>
      <c r="G23" s="55"/>
      <c r="H23" s="14"/>
      <c r="J23" s="11" t="s">
        <v>1045</v>
      </c>
      <c r="N23" s="357">
        <f>M16/M17</f>
        <v>1.4749536178107612</v>
      </c>
      <c r="P23" s="13"/>
      <c r="Q23" s="13"/>
      <c r="R23" s="13"/>
      <c r="S23" s="13"/>
      <c r="T23" s="13"/>
      <c r="U23" s="13"/>
      <c r="V23" s="14"/>
      <c r="W23" s="13"/>
    </row>
    <row r="24" spans="1:23" ht="15" customHeight="1" x14ac:dyDescent="0.3">
      <c r="H24" s="14"/>
      <c r="P24" s="13"/>
      <c r="Q24" s="13"/>
      <c r="R24" s="13"/>
      <c r="S24" s="13"/>
      <c r="T24" s="13"/>
      <c r="U24" s="13"/>
      <c r="V24" s="14"/>
      <c r="W24" s="13"/>
    </row>
    <row r="25" spans="1:23" ht="15" customHeight="1" x14ac:dyDescent="0.3">
      <c r="H25" s="14"/>
      <c r="I25" t="s">
        <v>778</v>
      </c>
      <c r="J25" t="str">
        <f>"From the table in part b.) above, the experience mod for the group with 2 or more years accident free is "&amp;ROUND(L16,4)&amp;". Then"</f>
        <v>From the table in part b.) above, the experience mod for the group with 2 or more years accident free is 0.7677. Then</v>
      </c>
      <c r="P25" s="13"/>
      <c r="Q25" s="13"/>
      <c r="R25" s="13"/>
      <c r="S25" s="13"/>
      <c r="T25" s="13"/>
      <c r="U25" s="13"/>
      <c r="V25" s="14"/>
      <c r="W25" s="13"/>
    </row>
    <row r="26" spans="1:23" ht="15" customHeight="1" x14ac:dyDescent="0.3">
      <c r="H26" s="14"/>
      <c r="J26" s="11" t="s">
        <v>1046</v>
      </c>
      <c r="P26" s="13"/>
      <c r="Q26" s="13"/>
      <c r="R26" s="13"/>
      <c r="S26" s="13"/>
      <c r="T26" s="13"/>
      <c r="U26" s="13"/>
      <c r="V26" s="14"/>
      <c r="W26" s="13"/>
    </row>
    <row r="27" spans="1:23" ht="15" customHeight="1" x14ac:dyDescent="0.3">
      <c r="H27" s="14"/>
      <c r="J27" t="str">
        <f>"= 1,000 * "&amp;TEXT(L16,"0.0000")</f>
        <v>= 1,000 * 0.7677</v>
      </c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3">
      <c r="H28" s="14"/>
      <c r="J28" s="29" t="str">
        <f>"= "&amp;TEXT(1000*ROUND(L16,5),"$#,###.##")</f>
        <v>= $767.75</v>
      </c>
      <c r="P28" s="13"/>
      <c r="Q28" s="13"/>
      <c r="R28" s="13"/>
      <c r="S28" s="13"/>
      <c r="T28" s="13"/>
      <c r="U28" s="13"/>
      <c r="V28" s="14"/>
      <c r="W28" s="13"/>
    </row>
    <row r="29" spans="1:23" x14ac:dyDescent="0.3">
      <c r="H29" s="14"/>
      <c r="T29" s="13"/>
      <c r="U29" s="13"/>
      <c r="V29" s="14"/>
      <c r="W29" s="13"/>
    </row>
    <row r="30" spans="1:23" x14ac:dyDescent="0.3"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3">
      <c r="H31" s="14"/>
      <c r="P31" s="13"/>
      <c r="Q31" s="13"/>
      <c r="R31" s="13"/>
      <c r="S31" s="13"/>
      <c r="T31" s="13"/>
      <c r="U31" s="13"/>
      <c r="V31" s="14"/>
      <c r="W31" s="13"/>
    </row>
    <row r="32" spans="1:23" x14ac:dyDescent="0.3">
      <c r="H32" s="14"/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H33" s="14"/>
      <c r="P33" s="13"/>
      <c r="Q33" s="13"/>
      <c r="R33" s="13"/>
      <c r="S33" s="13"/>
      <c r="T33" s="13"/>
      <c r="U33" s="13"/>
      <c r="V33" s="14"/>
      <c r="W33" s="13"/>
    </row>
    <row r="34" spans="1:23" x14ac:dyDescent="0.3">
      <c r="H34" s="14"/>
      <c r="P34" s="13"/>
      <c r="Q34" s="13"/>
      <c r="R34" s="13"/>
      <c r="S34" s="13"/>
      <c r="T34" s="13"/>
      <c r="U34" s="13"/>
      <c r="V34" s="14"/>
      <c r="W34" s="13"/>
    </row>
    <row r="35" spans="1:23" x14ac:dyDescent="0.3">
      <c r="H35" s="14"/>
      <c r="P35" s="13"/>
      <c r="Q35" s="13"/>
      <c r="R35" s="13"/>
      <c r="S35" s="13"/>
      <c r="T35" s="13"/>
      <c r="U35" s="13"/>
      <c r="V35" s="14"/>
      <c r="W35" s="13"/>
    </row>
    <row r="36" spans="1:23" x14ac:dyDescent="0.3">
      <c r="H36" s="14"/>
      <c r="P36" s="13"/>
      <c r="Q36" s="13"/>
      <c r="R36" s="13"/>
      <c r="S36" s="13"/>
      <c r="T36" s="13"/>
      <c r="U36" s="13"/>
      <c r="V36" s="14"/>
      <c r="W36" s="13"/>
    </row>
    <row r="37" spans="1:23" x14ac:dyDescent="0.3">
      <c r="H37" s="14"/>
      <c r="P37" s="13"/>
      <c r="Q37" s="13"/>
      <c r="R37" s="13"/>
      <c r="S37" s="13"/>
      <c r="T37" s="13"/>
      <c r="U37" s="13"/>
      <c r="V37" s="14"/>
      <c r="W37" s="13"/>
    </row>
    <row r="38" spans="1:23" x14ac:dyDescent="0.3">
      <c r="H38" s="14"/>
      <c r="P38" s="13"/>
      <c r="Q38" s="13"/>
      <c r="R38" s="13"/>
      <c r="S38" s="13"/>
      <c r="T38" s="13"/>
      <c r="U38" s="13"/>
      <c r="V38" s="14"/>
      <c r="W38" s="13"/>
    </row>
    <row r="39" spans="1:23" x14ac:dyDescent="0.3">
      <c r="A39" s="13"/>
      <c r="B39" s="13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H40" s="14"/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H41" s="14"/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H43" s="14"/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H44" s="14"/>
      <c r="P44" s="13"/>
      <c r="Q44" s="13"/>
      <c r="R44" s="13"/>
      <c r="S44" s="13"/>
      <c r="T44" s="13"/>
      <c r="U44" s="13"/>
      <c r="V44" s="14"/>
      <c r="W44" s="13"/>
    </row>
    <row r="45" spans="1:23" x14ac:dyDescent="0.3">
      <c r="H45" s="14"/>
      <c r="P45" s="13"/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P46" s="13"/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P47" s="13"/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P48" s="13"/>
      <c r="Q48" s="13"/>
      <c r="R48" s="13"/>
      <c r="S48" s="13"/>
      <c r="T48" s="13"/>
      <c r="U48" s="13"/>
      <c r="V48" s="14"/>
      <c r="W48" s="13"/>
    </row>
    <row r="49" spans="8:23" x14ac:dyDescent="0.3">
      <c r="H49" s="14"/>
      <c r="P49" s="13"/>
      <c r="Q49" s="13"/>
      <c r="R49" s="13"/>
      <c r="S49" s="13"/>
      <c r="T49" s="13"/>
      <c r="U49" s="13"/>
      <c r="V49" s="14"/>
      <c r="W49" s="13"/>
    </row>
  </sheetData>
  <mergeCells count="1">
    <mergeCell ref="F1:G1"/>
  </mergeCells>
  <hyperlinks>
    <hyperlink ref="F1" location="TOC!A1" display="Return to TOC" xr:uid="{ADDF2593-D959-48DB-B2B5-127422446953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82F-9764-4110-B8B6-D99EDDC8A180}">
  <sheetPr codeName="Sheet30"/>
  <dimension ref="A1:Y10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44140625" customWidth="1"/>
    <col min="4" max="4" width="14.88671875" customWidth="1"/>
    <col min="5" max="5" width="17.6640625" customWidth="1"/>
    <col min="6" max="6" width="16" bestFit="1" customWidth="1"/>
    <col min="7" max="7" width="10.5546875" bestFit="1" customWidth="1"/>
    <col min="8" max="8" width="13.6640625" bestFit="1" customWidth="1"/>
    <col min="9" max="9" width="12.33203125" customWidth="1"/>
    <col min="10" max="10" width="2.6640625" customWidth="1"/>
    <col min="11" max="11" width="15.109375" customWidth="1"/>
    <col min="12" max="12" width="15.88671875" bestFit="1" customWidth="1"/>
    <col min="13" max="13" width="16" bestFit="1" customWidth="1"/>
    <col min="14" max="14" width="15" bestFit="1" customWidth="1"/>
    <col min="15" max="15" width="16.44140625" bestFit="1" customWidth="1"/>
    <col min="16" max="16" width="17" customWidth="1"/>
    <col min="17" max="17" width="10.33203125" bestFit="1" customWidth="1"/>
    <col min="18" max="18" width="10.44140625" customWidth="1"/>
    <col min="19" max="26" width="9" customWidth="1"/>
  </cols>
  <sheetData>
    <row r="1" spans="1:25" x14ac:dyDescent="0.3">
      <c r="A1" s="32" t="s">
        <v>137</v>
      </c>
      <c r="B1" s="33"/>
      <c r="C1" s="33" t="s">
        <v>130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1047</v>
      </c>
      <c r="D2" s="36"/>
      <c r="E2" s="36"/>
      <c r="F2" s="36"/>
      <c r="G2" s="36"/>
      <c r="H2" s="36"/>
      <c r="I2" s="37"/>
      <c r="J2" s="10"/>
      <c r="K2" t="s">
        <v>1048</v>
      </c>
      <c r="X2" s="10"/>
    </row>
    <row r="3" spans="1:25" x14ac:dyDescent="0.3">
      <c r="A3" s="35" t="s">
        <v>141</v>
      </c>
      <c r="B3" s="36"/>
      <c r="C3" s="36" t="s">
        <v>1015</v>
      </c>
      <c r="D3" s="36"/>
      <c r="E3" s="36"/>
      <c r="F3" s="36"/>
      <c r="G3" s="36"/>
      <c r="H3" s="36"/>
      <c r="I3" s="37"/>
      <c r="J3" s="10"/>
      <c r="K3" t="s">
        <v>1049</v>
      </c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1051</v>
      </c>
      <c r="X4" s="14"/>
      <c r="Y4" s="13"/>
    </row>
    <row r="5" spans="1:25" ht="15" customHeight="1" x14ac:dyDescent="0.3">
      <c r="A5" s="41" t="s">
        <v>144</v>
      </c>
      <c r="B5" s="36"/>
      <c r="C5" s="36" t="s">
        <v>1050</v>
      </c>
      <c r="D5" s="36"/>
      <c r="E5" s="36"/>
      <c r="F5" s="36"/>
      <c r="G5" s="36"/>
      <c r="H5" s="36"/>
      <c r="I5" s="37"/>
      <c r="J5" s="14"/>
      <c r="U5" s="13"/>
      <c r="V5" s="13"/>
      <c r="W5" s="13"/>
      <c r="X5" s="14"/>
      <c r="Y5" s="13"/>
    </row>
    <row r="6" spans="1:25" x14ac:dyDescent="0.3">
      <c r="A6" s="45"/>
      <c r="B6" s="36"/>
      <c r="C6" s="36"/>
      <c r="D6" s="36"/>
      <c r="E6" s="36"/>
      <c r="F6" s="36"/>
      <c r="G6" s="36"/>
      <c r="H6" s="36"/>
      <c r="I6" s="37"/>
      <c r="J6" s="14"/>
      <c r="K6" t="s">
        <v>1052</v>
      </c>
      <c r="U6" s="13"/>
      <c r="V6" s="13"/>
      <c r="W6" s="13"/>
      <c r="X6" s="14"/>
      <c r="Y6" s="13"/>
    </row>
    <row r="7" spans="1:25" x14ac:dyDescent="0.3">
      <c r="A7" s="45"/>
      <c r="B7" s="36"/>
      <c r="C7" s="36"/>
      <c r="D7" s="36"/>
      <c r="E7" s="36"/>
      <c r="F7" s="36"/>
      <c r="G7" s="36"/>
      <c r="H7" s="36"/>
      <c r="I7" s="37"/>
      <c r="J7" s="14"/>
      <c r="U7" s="13"/>
      <c r="V7" s="13"/>
      <c r="W7" s="13"/>
      <c r="X7" s="14"/>
      <c r="Y7" s="13"/>
    </row>
    <row r="8" spans="1:25" ht="60" customHeight="1" x14ac:dyDescent="0.3">
      <c r="A8" s="45"/>
      <c r="B8" s="36"/>
      <c r="C8" s="507" t="s">
        <v>1053</v>
      </c>
      <c r="D8" s="334" t="s">
        <v>1054</v>
      </c>
      <c r="E8" s="335" t="s">
        <v>1055</v>
      </c>
      <c r="F8" s="334" t="s">
        <v>1021</v>
      </c>
      <c r="G8" s="334" t="s">
        <v>211</v>
      </c>
      <c r="H8" s="96" t="s">
        <v>1056</v>
      </c>
      <c r="I8" s="37"/>
      <c r="J8" s="14"/>
      <c r="K8" s="253" t="s">
        <v>1053</v>
      </c>
      <c r="L8" s="193" t="s">
        <v>1057</v>
      </c>
      <c r="M8" s="254" t="s">
        <v>1058</v>
      </c>
      <c r="N8" s="193" t="s">
        <v>1059</v>
      </c>
      <c r="O8" s="193" t="s">
        <v>1060</v>
      </c>
      <c r="P8" s="254" t="s">
        <v>1061</v>
      </c>
      <c r="Q8" s="193" t="s">
        <v>1062</v>
      </c>
      <c r="R8" s="255" t="s">
        <v>1063</v>
      </c>
      <c r="U8" s="13"/>
      <c r="V8" s="13"/>
      <c r="W8" s="13"/>
      <c r="X8" s="14"/>
      <c r="Y8" s="13"/>
    </row>
    <row r="9" spans="1:25" x14ac:dyDescent="0.3">
      <c r="A9" s="41"/>
      <c r="B9" s="39"/>
      <c r="C9" s="77">
        <v>1</v>
      </c>
      <c r="D9" s="20">
        <v>0</v>
      </c>
      <c r="E9" s="475">
        <v>15000000</v>
      </c>
      <c r="F9" s="144">
        <v>15000</v>
      </c>
      <c r="G9" s="144">
        <v>5000</v>
      </c>
      <c r="H9" s="362">
        <v>9000000</v>
      </c>
      <c r="I9" s="37"/>
      <c r="J9" s="14"/>
      <c r="K9" s="61">
        <v>1</v>
      </c>
      <c r="L9" s="97">
        <f>SUM(E9:E11)</f>
        <v>370000000</v>
      </c>
      <c r="M9" s="508">
        <f>SUM(F9:F11)</f>
        <v>370000</v>
      </c>
      <c r="N9" s="143">
        <f>SUM(G9:G11)</f>
        <v>122000</v>
      </c>
      <c r="O9" s="509">
        <f>L9/M9</f>
        <v>1000</v>
      </c>
      <c r="P9" s="457">
        <f>O9/$O$12</f>
        <v>1.0033222591362125</v>
      </c>
      <c r="Q9" s="120">
        <f>N9/M9</f>
        <v>0.32972972972972975</v>
      </c>
      <c r="R9" s="510">
        <f>Q9/$Q$12</f>
        <v>1.0847317906141436</v>
      </c>
      <c r="U9" s="13"/>
      <c r="V9" s="13"/>
      <c r="W9" s="13"/>
      <c r="X9" s="14"/>
      <c r="Y9" s="13"/>
    </row>
    <row r="10" spans="1:25" x14ac:dyDescent="0.3">
      <c r="A10" s="41"/>
      <c r="B10" s="39"/>
      <c r="C10" s="77">
        <v>1</v>
      </c>
      <c r="D10" s="20">
        <v>1</v>
      </c>
      <c r="E10" s="475">
        <v>125000000</v>
      </c>
      <c r="F10" s="144">
        <v>125000</v>
      </c>
      <c r="G10" s="144">
        <v>41000</v>
      </c>
      <c r="H10" s="362">
        <v>75000000</v>
      </c>
      <c r="I10" s="37"/>
      <c r="J10" s="14"/>
      <c r="K10" s="61">
        <v>2</v>
      </c>
      <c r="L10" s="97">
        <f>SUM(E12:E14)</f>
        <v>885000000</v>
      </c>
      <c r="M10" s="508">
        <f>SUM(F12:F14)</f>
        <v>860000</v>
      </c>
      <c r="N10" s="144">
        <f>SUM(G12:G14)</f>
        <v>238000</v>
      </c>
      <c r="O10" s="509">
        <f>L10/M10</f>
        <v>1029.0697674418604</v>
      </c>
      <c r="P10" s="457">
        <f>O10/$O$12</f>
        <v>1.0324886038785444</v>
      </c>
      <c r="Q10" s="89">
        <f t="shared" ref="Q10:Q12" si="0">N10/M10</f>
        <v>0.27674418604651163</v>
      </c>
      <c r="R10" s="510">
        <f>Q10/$Q$12</f>
        <v>0.91042204995693377</v>
      </c>
      <c r="U10" s="13"/>
      <c r="V10" s="13"/>
      <c r="W10" s="13"/>
      <c r="X10" s="14"/>
      <c r="Y10" s="13"/>
    </row>
    <row r="11" spans="1:25" x14ac:dyDescent="0.3">
      <c r="A11" s="38"/>
      <c r="B11" s="39"/>
      <c r="C11" s="77">
        <v>1</v>
      </c>
      <c r="D11" s="20" t="s">
        <v>1064</v>
      </c>
      <c r="E11" s="475">
        <v>230000000</v>
      </c>
      <c r="F11" s="144">
        <v>230000</v>
      </c>
      <c r="G11" s="144">
        <v>76000</v>
      </c>
      <c r="H11" s="362">
        <v>138000000</v>
      </c>
      <c r="I11" s="37"/>
      <c r="J11" s="14"/>
      <c r="K11" s="61">
        <v>3</v>
      </c>
      <c r="L11" s="97">
        <f>SUM(E15:E17)</f>
        <v>250000000</v>
      </c>
      <c r="M11" s="508">
        <f>SUM(F15:F17)</f>
        <v>280000</v>
      </c>
      <c r="N11" s="147">
        <f>SUM(G15:G17)</f>
        <v>99000</v>
      </c>
      <c r="O11" s="509">
        <f>L11/M11</f>
        <v>892.85714285714289</v>
      </c>
      <c r="P11" s="457">
        <f>O11/$O$12</f>
        <v>0.89582344565733274</v>
      </c>
      <c r="Q11" s="93">
        <f t="shared" si="0"/>
        <v>0.35357142857142859</v>
      </c>
      <c r="R11" s="510">
        <f>Q11/$Q$12</f>
        <v>1.1631652661064427</v>
      </c>
      <c r="U11" s="13"/>
      <c r="V11" s="13"/>
      <c r="W11" s="13"/>
      <c r="X11" s="14"/>
      <c r="Y11" s="13"/>
    </row>
    <row r="12" spans="1:25" x14ac:dyDescent="0.3">
      <c r="A12" s="38"/>
      <c r="B12" s="39"/>
      <c r="C12" s="77">
        <v>2</v>
      </c>
      <c r="D12" s="20">
        <v>0</v>
      </c>
      <c r="E12" s="475">
        <v>25000000</v>
      </c>
      <c r="F12" s="144">
        <v>25000</v>
      </c>
      <c r="G12" s="144">
        <v>7000</v>
      </c>
      <c r="H12" s="362">
        <v>16000000</v>
      </c>
      <c r="I12" s="37"/>
      <c r="J12" s="14"/>
      <c r="K12" s="86" t="s">
        <v>308</v>
      </c>
      <c r="L12" s="511">
        <f>SUM(L9:L11)</f>
        <v>1505000000</v>
      </c>
      <c r="M12" s="512">
        <f>SUM(M9:M11)</f>
        <v>1510000</v>
      </c>
      <c r="N12" s="504">
        <f>SUM(N9:N11)</f>
        <v>459000</v>
      </c>
      <c r="O12" s="513">
        <f>L12/M12</f>
        <v>996.68874172185429</v>
      </c>
      <c r="P12" s="514">
        <f>O12/$O$12</f>
        <v>1</v>
      </c>
      <c r="Q12" s="515">
        <f t="shared" si="0"/>
        <v>0.30397350993377481</v>
      </c>
      <c r="R12" s="516">
        <f>Q12/$Q$12</f>
        <v>1</v>
      </c>
      <c r="U12" s="13"/>
      <c r="V12" s="13"/>
      <c r="W12" s="13"/>
      <c r="X12" s="14"/>
      <c r="Y12" s="13"/>
    </row>
    <row r="13" spans="1:25" x14ac:dyDescent="0.3">
      <c r="A13" s="38"/>
      <c r="B13" s="39"/>
      <c r="C13" s="77">
        <v>2</v>
      </c>
      <c r="D13" s="20">
        <v>1</v>
      </c>
      <c r="E13" s="475">
        <v>310000000</v>
      </c>
      <c r="F13" s="144">
        <v>300000</v>
      </c>
      <c r="G13" s="144">
        <v>84000</v>
      </c>
      <c r="H13" s="362">
        <v>187000000</v>
      </c>
      <c r="I13" s="37"/>
      <c r="J13" s="14"/>
      <c r="O13" s="478"/>
      <c r="U13" s="13"/>
      <c r="V13" s="13"/>
      <c r="W13" s="13"/>
      <c r="X13" s="14"/>
      <c r="Y13" s="13"/>
    </row>
    <row r="14" spans="1:25" x14ac:dyDescent="0.3">
      <c r="A14" s="38"/>
      <c r="B14" s="39"/>
      <c r="C14" s="77">
        <v>2</v>
      </c>
      <c r="D14" s="20" t="s">
        <v>1064</v>
      </c>
      <c r="E14" s="475">
        <v>550000000</v>
      </c>
      <c r="F14" s="144">
        <v>535000</v>
      </c>
      <c r="G14" s="144">
        <v>147000</v>
      </c>
      <c r="H14" s="362">
        <v>328000000</v>
      </c>
      <c r="I14" s="37"/>
      <c r="J14" s="14"/>
      <c r="K14" t="s">
        <v>1065</v>
      </c>
      <c r="M14" t="s">
        <v>1066</v>
      </c>
      <c r="U14" s="13"/>
      <c r="V14" s="13"/>
      <c r="W14" s="13"/>
      <c r="X14" s="14"/>
      <c r="Y14" s="13"/>
    </row>
    <row r="15" spans="1:25" x14ac:dyDescent="0.3">
      <c r="A15" s="38"/>
      <c r="B15" s="39"/>
      <c r="C15" s="77">
        <v>3</v>
      </c>
      <c r="D15" s="20">
        <v>0</v>
      </c>
      <c r="E15" s="475">
        <v>10000000</v>
      </c>
      <c r="F15" s="144">
        <v>10000</v>
      </c>
      <c r="G15" s="144">
        <v>4000</v>
      </c>
      <c r="H15" s="362">
        <v>7000000</v>
      </c>
      <c r="I15" s="37"/>
      <c r="J15" s="14"/>
      <c r="K15" t="s">
        <v>1067</v>
      </c>
      <c r="M15" t="s">
        <v>1068</v>
      </c>
      <c r="U15" s="13"/>
      <c r="V15" s="13"/>
      <c r="W15" s="13"/>
      <c r="X15" s="14"/>
      <c r="Y15" s="13"/>
    </row>
    <row r="16" spans="1:25" x14ac:dyDescent="0.3">
      <c r="A16" s="45"/>
      <c r="B16" s="36"/>
      <c r="C16" s="77">
        <v>3</v>
      </c>
      <c r="D16" s="20">
        <v>1</v>
      </c>
      <c r="E16" s="475">
        <v>80000000</v>
      </c>
      <c r="F16" s="144">
        <v>100000</v>
      </c>
      <c r="G16" s="144">
        <v>35000</v>
      </c>
      <c r="H16" s="362">
        <v>43000000</v>
      </c>
      <c r="I16" s="37"/>
      <c r="J16" s="14"/>
      <c r="U16" s="13"/>
      <c r="V16" s="13"/>
      <c r="W16" s="13"/>
      <c r="X16" s="14"/>
      <c r="Y16" s="13"/>
    </row>
    <row r="17" spans="1:25" x14ac:dyDescent="0.3">
      <c r="A17" s="45"/>
      <c r="B17" s="36"/>
      <c r="C17" s="82">
        <v>3</v>
      </c>
      <c r="D17" s="22" t="s">
        <v>1064</v>
      </c>
      <c r="E17" s="517">
        <v>160000000</v>
      </c>
      <c r="F17" s="147">
        <v>170000</v>
      </c>
      <c r="G17" s="147">
        <v>60000</v>
      </c>
      <c r="H17" s="518">
        <v>100000000</v>
      </c>
      <c r="I17" s="37"/>
      <c r="J17" s="14"/>
      <c r="K17" t="s">
        <v>1069</v>
      </c>
      <c r="U17" s="13"/>
      <c r="V17" s="13"/>
      <c r="W17" s="13"/>
      <c r="X17" s="14"/>
      <c r="Y17" s="13"/>
    </row>
    <row r="18" spans="1:25" x14ac:dyDescent="0.3">
      <c r="A18" s="45"/>
      <c r="B18" s="36"/>
      <c r="C18" s="36"/>
      <c r="D18" s="36"/>
      <c r="E18" s="36"/>
      <c r="F18" s="36"/>
      <c r="G18" s="36"/>
      <c r="H18" s="36"/>
      <c r="I18" s="37"/>
      <c r="J18" s="14"/>
      <c r="O18" s="478"/>
      <c r="U18" s="13"/>
      <c r="V18" s="13"/>
      <c r="W18" s="13"/>
      <c r="X18" s="14"/>
      <c r="Y18" s="13"/>
    </row>
    <row r="19" spans="1:25" ht="15" customHeight="1" x14ac:dyDescent="0.3">
      <c r="A19" s="35" t="s">
        <v>173</v>
      </c>
      <c r="B19" s="36"/>
      <c r="C19" s="36" t="s">
        <v>1070</v>
      </c>
      <c r="D19" s="36"/>
      <c r="E19" s="36"/>
      <c r="F19" s="36"/>
      <c r="G19" s="36"/>
      <c r="H19" s="36"/>
      <c r="I19" s="37"/>
      <c r="J19" s="14"/>
      <c r="K19" t="s">
        <v>1071</v>
      </c>
      <c r="O19" s="478"/>
      <c r="U19" s="13"/>
      <c r="V19" s="13"/>
      <c r="W19" s="13"/>
      <c r="X19" s="14"/>
      <c r="Y19" s="13"/>
    </row>
    <row r="20" spans="1:25" ht="15" thickBot="1" x14ac:dyDescent="0.35">
      <c r="A20" s="53"/>
      <c r="B20" s="54"/>
      <c r="C20" s="54"/>
      <c r="D20" s="54"/>
      <c r="E20" s="54"/>
      <c r="F20" s="54"/>
      <c r="G20" s="54"/>
      <c r="H20" s="54"/>
      <c r="I20" s="55"/>
      <c r="J20" s="14"/>
      <c r="O20" s="478"/>
      <c r="U20" s="13"/>
      <c r="V20" s="13"/>
      <c r="W20" s="13"/>
      <c r="X20" s="14"/>
      <c r="Y20" s="13"/>
    </row>
    <row r="21" spans="1:25" x14ac:dyDescent="0.3">
      <c r="J21" s="14"/>
      <c r="K21" s="86" t="s">
        <v>1053</v>
      </c>
      <c r="L21" s="24" t="s">
        <v>1072</v>
      </c>
      <c r="M21" s="24" t="s">
        <v>1056</v>
      </c>
      <c r="N21" s="87" t="s">
        <v>1073</v>
      </c>
      <c r="O21" s="478"/>
      <c r="U21" s="13"/>
      <c r="V21" s="13"/>
      <c r="W21" s="13"/>
      <c r="X21" s="14"/>
      <c r="Y21" s="13"/>
    </row>
    <row r="22" spans="1:25" x14ac:dyDescent="0.3">
      <c r="J22" s="14"/>
      <c r="K22" s="63">
        <v>1</v>
      </c>
      <c r="L22" s="519">
        <f>L9</f>
        <v>370000000</v>
      </c>
      <c r="M22" s="519">
        <f>SUM(H9:H11)</f>
        <v>222000000</v>
      </c>
      <c r="N22" s="520">
        <f>M22/L22</f>
        <v>0.6</v>
      </c>
      <c r="O22" s="478"/>
      <c r="S22" s="13"/>
      <c r="T22" s="13"/>
      <c r="U22" s="13"/>
      <c r="V22" s="13"/>
      <c r="W22" s="13"/>
      <c r="X22" s="14"/>
      <c r="Y22" s="13"/>
    </row>
    <row r="23" spans="1:25" ht="15" customHeight="1" x14ac:dyDescent="0.3">
      <c r="J23" s="14"/>
      <c r="K23" s="61">
        <v>2</v>
      </c>
      <c r="L23" s="521">
        <f>L10</f>
        <v>885000000</v>
      </c>
      <c r="M23" s="521">
        <f>SUM(H12:H14)</f>
        <v>531000000</v>
      </c>
      <c r="N23" s="522">
        <f t="shared" ref="N23:N24" si="1">M23/L23</f>
        <v>0.6</v>
      </c>
      <c r="O23" s="478"/>
      <c r="S23" s="13"/>
      <c r="T23" s="13"/>
      <c r="U23" s="13"/>
      <c r="V23" s="13"/>
      <c r="W23" s="13"/>
      <c r="X23" s="14"/>
      <c r="Y23" s="13"/>
    </row>
    <row r="24" spans="1:25" ht="15" customHeight="1" x14ac:dyDescent="0.3">
      <c r="J24" s="14"/>
      <c r="K24" s="65">
        <v>3</v>
      </c>
      <c r="L24" s="523">
        <f>L11</f>
        <v>250000000</v>
      </c>
      <c r="M24" s="523">
        <f>SUM(H15:H17)</f>
        <v>150000000</v>
      </c>
      <c r="N24" s="524">
        <f t="shared" si="1"/>
        <v>0.6</v>
      </c>
      <c r="O24" s="478"/>
      <c r="S24" s="13"/>
      <c r="T24" s="13"/>
      <c r="U24" s="13"/>
      <c r="V24" s="13"/>
      <c r="W24" s="13"/>
      <c r="X24" s="14"/>
      <c r="Y24" s="13"/>
    </row>
    <row r="25" spans="1:25" ht="15" customHeight="1" x14ac:dyDescent="0.3">
      <c r="J25" s="14"/>
      <c r="O25" s="478"/>
      <c r="S25" s="13"/>
      <c r="T25" s="13"/>
      <c r="U25" s="13"/>
      <c r="V25" s="13"/>
      <c r="W25" s="13"/>
      <c r="X25" s="14"/>
      <c r="Y25" s="13"/>
    </row>
    <row r="26" spans="1:25" ht="15" customHeight="1" x14ac:dyDescent="0.3">
      <c r="J26" s="14"/>
      <c r="K26" t="s">
        <v>1074</v>
      </c>
      <c r="O26" s="478"/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3">
      <c r="J27" s="14"/>
      <c r="K27" t="s">
        <v>1075</v>
      </c>
      <c r="O27" s="478"/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3">
      <c r="J28" s="14"/>
      <c r="R28" s="13"/>
      <c r="S28" s="13"/>
      <c r="T28" s="13"/>
      <c r="U28" s="13"/>
      <c r="V28" s="13"/>
      <c r="W28" s="13"/>
      <c r="X28" s="14"/>
      <c r="Y28" s="13"/>
    </row>
    <row r="29" spans="1:25" x14ac:dyDescent="0.3">
      <c r="J29" s="14"/>
      <c r="K29" t="s">
        <v>1076</v>
      </c>
      <c r="O29" s="478"/>
      <c r="R29" s="13"/>
      <c r="S29" s="13"/>
      <c r="T29" s="13"/>
      <c r="U29" s="13"/>
      <c r="V29" s="13"/>
      <c r="W29" s="13"/>
      <c r="X29" s="14"/>
      <c r="Y29" s="13"/>
    </row>
    <row r="30" spans="1:25" x14ac:dyDescent="0.3">
      <c r="J30" s="14"/>
      <c r="O30" s="478"/>
      <c r="R30" s="13"/>
      <c r="S30" s="13"/>
      <c r="T30" s="13"/>
      <c r="U30" s="13"/>
      <c r="V30" s="13"/>
      <c r="W30" s="13"/>
      <c r="X30" s="14"/>
      <c r="Y30" s="13"/>
    </row>
    <row r="31" spans="1:25" x14ac:dyDescent="0.3">
      <c r="J31" s="14"/>
      <c r="O31" s="478"/>
      <c r="R31" s="13"/>
      <c r="S31" s="13"/>
      <c r="T31" s="13"/>
      <c r="U31" s="13"/>
      <c r="V31" s="13"/>
      <c r="W31" s="13"/>
      <c r="X31" s="14"/>
      <c r="Y31" s="13"/>
    </row>
    <row r="32" spans="1:25" x14ac:dyDescent="0.3">
      <c r="J32" s="14"/>
      <c r="O32" s="478"/>
      <c r="R32" s="13"/>
      <c r="S32" s="13"/>
      <c r="T32" s="13"/>
      <c r="U32" s="13"/>
      <c r="V32" s="13"/>
      <c r="W32" s="13"/>
      <c r="X32" s="14"/>
      <c r="Y32" s="13"/>
    </row>
    <row r="33" spans="1:25" x14ac:dyDescent="0.3">
      <c r="J33" s="14"/>
      <c r="O33" s="478"/>
      <c r="R33" s="13"/>
      <c r="S33" s="13"/>
      <c r="T33" s="13"/>
      <c r="U33" s="13"/>
      <c r="V33" s="13"/>
      <c r="W33" s="13"/>
      <c r="X33" s="14"/>
      <c r="Y33" s="13"/>
    </row>
    <row r="34" spans="1:25" x14ac:dyDescent="0.3">
      <c r="J34" s="14"/>
      <c r="O34" s="478"/>
      <c r="R34" s="13"/>
      <c r="S34" s="13"/>
      <c r="T34" s="13"/>
      <c r="U34" s="13"/>
      <c r="V34" s="13"/>
      <c r="W34" s="13"/>
      <c r="X34" s="14"/>
      <c r="Y34" s="13"/>
    </row>
    <row r="35" spans="1:25" x14ac:dyDescent="0.3">
      <c r="J35" s="14"/>
      <c r="O35" s="478"/>
      <c r="R35" s="13"/>
      <c r="S35" s="13"/>
      <c r="T35" s="13"/>
      <c r="U35" s="13"/>
      <c r="V35" s="13"/>
      <c r="W35" s="13"/>
      <c r="X35" s="14"/>
      <c r="Y35" s="13"/>
    </row>
    <row r="36" spans="1:25" x14ac:dyDescent="0.3">
      <c r="J36" s="14"/>
      <c r="O36" s="478"/>
      <c r="R36" s="13"/>
      <c r="S36" s="13"/>
      <c r="T36" s="13"/>
      <c r="U36" s="13"/>
      <c r="V36" s="13"/>
      <c r="W36" s="13"/>
      <c r="X36" s="14"/>
      <c r="Y36" s="13"/>
    </row>
    <row r="37" spans="1:25" x14ac:dyDescent="0.3">
      <c r="J37" s="14"/>
      <c r="O37" s="478"/>
      <c r="R37" s="13"/>
      <c r="S37" s="13"/>
      <c r="T37" s="13"/>
      <c r="U37" s="13"/>
      <c r="V37" s="13"/>
      <c r="W37" s="13"/>
      <c r="X37" s="14"/>
      <c r="Y37" s="13"/>
    </row>
    <row r="38" spans="1:25" x14ac:dyDescent="0.3">
      <c r="J38" s="14"/>
      <c r="O38" s="478"/>
      <c r="R38" s="13"/>
      <c r="S38" s="13"/>
      <c r="T38" s="13"/>
      <c r="U38" s="13"/>
      <c r="V38" s="13"/>
      <c r="W38" s="13"/>
      <c r="X38" s="14"/>
      <c r="Y38" s="13"/>
    </row>
    <row r="39" spans="1:25" x14ac:dyDescent="0.3">
      <c r="A39" s="13"/>
      <c r="B39" s="13"/>
      <c r="J39" s="14"/>
      <c r="O39" s="478"/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J40" s="14"/>
      <c r="O40" s="478"/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J41" s="14"/>
      <c r="O41" s="478"/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J42" s="14"/>
      <c r="O42" s="478"/>
      <c r="R42" s="13"/>
      <c r="S42" s="13"/>
      <c r="T42" s="13"/>
      <c r="U42" s="13"/>
      <c r="V42" s="13"/>
      <c r="W42" s="13"/>
      <c r="X42" s="14"/>
      <c r="Y42" s="13"/>
    </row>
    <row r="43" spans="1:25" x14ac:dyDescent="0.3">
      <c r="J43" s="14"/>
      <c r="O43" s="478"/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J44" s="14"/>
      <c r="O44" s="478"/>
      <c r="R44" s="13"/>
      <c r="S44" s="13"/>
      <c r="T44" s="13"/>
      <c r="U44" s="13"/>
      <c r="V44" s="13"/>
      <c r="W44" s="13"/>
      <c r="X44" s="14"/>
      <c r="Y44" s="13"/>
    </row>
    <row r="45" spans="1:25" x14ac:dyDescent="0.3">
      <c r="J45" s="14"/>
      <c r="O45" s="478"/>
      <c r="R45" s="13"/>
      <c r="S45" s="13"/>
      <c r="T45" s="13"/>
      <c r="U45" s="13"/>
      <c r="V45" s="13"/>
      <c r="W45" s="13"/>
      <c r="X45" s="14"/>
      <c r="Y45" s="13"/>
    </row>
    <row r="46" spans="1:25" x14ac:dyDescent="0.3">
      <c r="J46" s="14"/>
      <c r="O46" s="478"/>
      <c r="R46" s="13"/>
      <c r="S46" s="13"/>
      <c r="T46" s="13"/>
      <c r="U46" s="13"/>
      <c r="V46" s="13"/>
      <c r="W46" s="13"/>
      <c r="X46" s="14"/>
      <c r="Y46" s="13"/>
    </row>
    <row r="47" spans="1:25" x14ac:dyDescent="0.3">
      <c r="J47" s="14"/>
      <c r="O47" s="478"/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J48" s="14"/>
      <c r="O48" s="478"/>
      <c r="R48" s="13"/>
      <c r="S48" s="13"/>
      <c r="T48" s="13"/>
      <c r="U48" s="13"/>
      <c r="V48" s="13"/>
      <c r="W48" s="13"/>
      <c r="X48" s="14"/>
      <c r="Y48" s="13"/>
    </row>
    <row r="49" spans="10:25" x14ac:dyDescent="0.3">
      <c r="J49" s="14"/>
      <c r="O49" s="478"/>
      <c r="R49" s="13"/>
      <c r="S49" s="13"/>
      <c r="T49" s="13"/>
      <c r="U49" s="13"/>
      <c r="V49" s="13"/>
      <c r="W49" s="13"/>
      <c r="X49" s="14"/>
      <c r="Y49" s="13"/>
    </row>
    <row r="58" spans="10:25" ht="62.25" customHeight="1" x14ac:dyDescent="0.3"/>
    <row r="108" ht="60" customHeight="1" x14ac:dyDescent="0.3"/>
  </sheetData>
  <mergeCells count="1">
    <mergeCell ref="H1:I1"/>
  </mergeCells>
  <hyperlinks>
    <hyperlink ref="H1" location="TOC!A1" display="Return to TOC" xr:uid="{6AE3489D-E5F5-4357-BE34-671ED89FB47E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74D6-CE6D-4431-B652-009719F36DF5}">
  <sheetPr codeName="Sheet29"/>
  <dimension ref="A1:Y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5.109375" customWidth="1"/>
    <col min="4" max="4" width="19.6640625" customWidth="1"/>
    <col min="5" max="5" width="17.6640625" customWidth="1"/>
    <col min="6" max="6" width="17.33203125" customWidth="1"/>
    <col min="7" max="7" width="12.5546875" bestFit="1" customWidth="1"/>
    <col min="9" max="9" width="3.6640625" customWidth="1"/>
    <col min="10" max="10" width="2.6640625" customWidth="1"/>
    <col min="11" max="13" width="15.6640625" customWidth="1"/>
    <col min="14" max="14" width="17.5546875" customWidth="1"/>
    <col min="15" max="15" width="14.33203125" customWidth="1"/>
    <col min="16" max="16" width="15.6640625" customWidth="1"/>
    <col min="17" max="17" width="9.109375" customWidth="1"/>
    <col min="18" max="18" width="11" customWidth="1"/>
    <col min="19" max="24" width="9" customWidth="1"/>
  </cols>
  <sheetData>
    <row r="1" spans="1:25" x14ac:dyDescent="0.3">
      <c r="A1" s="32" t="s">
        <v>137</v>
      </c>
      <c r="B1" s="33"/>
      <c r="C1" s="33" t="s">
        <v>130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1077</v>
      </c>
      <c r="D2" s="36"/>
      <c r="E2" s="36"/>
      <c r="F2" s="36"/>
      <c r="G2" s="36"/>
      <c r="H2" s="36"/>
      <c r="I2" s="37"/>
      <c r="J2" s="10"/>
      <c r="K2" t="s">
        <v>1079</v>
      </c>
      <c r="X2" s="10"/>
    </row>
    <row r="3" spans="1:25" x14ac:dyDescent="0.3">
      <c r="A3" s="35" t="s">
        <v>141</v>
      </c>
      <c r="B3" s="36"/>
      <c r="C3" s="36" t="s">
        <v>1078</v>
      </c>
      <c r="D3" s="36"/>
      <c r="E3" s="36"/>
      <c r="F3" s="36"/>
      <c r="G3" s="36"/>
      <c r="H3" s="36"/>
      <c r="I3" s="37"/>
      <c r="J3" s="10"/>
      <c r="K3" t="s">
        <v>1080</v>
      </c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X4" s="14"/>
      <c r="Y4" s="13"/>
    </row>
    <row r="5" spans="1:25" ht="15" customHeight="1" x14ac:dyDescent="0.3">
      <c r="A5" s="41" t="s">
        <v>144</v>
      </c>
      <c r="B5" s="36"/>
      <c r="C5" s="36" t="s">
        <v>1081</v>
      </c>
      <c r="D5" s="36"/>
      <c r="E5" s="36"/>
      <c r="F5" s="36"/>
      <c r="G5" s="36"/>
      <c r="H5" s="36"/>
      <c r="I5" s="37"/>
      <c r="J5" s="14"/>
      <c r="K5" t="s">
        <v>1083</v>
      </c>
      <c r="U5" s="13"/>
      <c r="V5" s="13"/>
      <c r="W5" s="13"/>
      <c r="X5" s="14"/>
      <c r="Y5" s="13"/>
    </row>
    <row r="6" spans="1:25" x14ac:dyDescent="0.3">
      <c r="A6" s="45"/>
      <c r="B6" s="36"/>
      <c r="C6" s="36" t="s">
        <v>1082</v>
      </c>
      <c r="D6" s="36"/>
      <c r="E6" s="36"/>
      <c r="F6" s="36"/>
      <c r="G6" s="36"/>
      <c r="H6" s="36"/>
      <c r="I6" s="37"/>
      <c r="J6" s="14"/>
      <c r="K6" t="s">
        <v>1084</v>
      </c>
      <c r="U6" s="13"/>
      <c r="V6" s="13"/>
      <c r="W6" s="13"/>
      <c r="X6" s="14"/>
      <c r="Y6" s="13"/>
    </row>
    <row r="7" spans="1:25" ht="15" customHeight="1" x14ac:dyDescent="0.3">
      <c r="A7" s="45"/>
      <c r="B7" s="36"/>
      <c r="C7" s="36"/>
      <c r="D7" s="36"/>
      <c r="E7" s="36"/>
      <c r="F7" s="36"/>
      <c r="G7" s="36"/>
      <c r="H7" s="36"/>
      <c r="I7" s="37"/>
      <c r="J7" s="14"/>
      <c r="K7" t="s">
        <v>1088</v>
      </c>
      <c r="N7" t="str">
        <f>"= "&amp;TEXT(F13,"#,###") &amp; " / " &amp;TEXT(E13,"#,###") &amp;" ="</f>
        <v>= 855 / 1,150,000 =</v>
      </c>
      <c r="O7" s="525">
        <f>F13/E13</f>
        <v>7.4347826086956521E-4</v>
      </c>
      <c r="U7" s="13"/>
      <c r="V7" s="13"/>
      <c r="W7" s="13"/>
      <c r="X7" s="14"/>
      <c r="Y7" s="13"/>
    </row>
    <row r="8" spans="1:25" ht="43.2" x14ac:dyDescent="0.3">
      <c r="A8" s="41"/>
      <c r="B8" s="39"/>
      <c r="C8" s="334" t="s">
        <v>895</v>
      </c>
      <c r="D8" s="334" t="s">
        <v>1085</v>
      </c>
      <c r="E8" s="334" t="s">
        <v>1086</v>
      </c>
      <c r="F8" s="334" t="s">
        <v>1087</v>
      </c>
      <c r="G8" s="36"/>
      <c r="H8" s="36"/>
      <c r="I8" s="37"/>
      <c r="J8" s="14"/>
      <c r="U8" s="13"/>
      <c r="V8" s="13"/>
      <c r="W8" s="13"/>
      <c r="X8" s="14"/>
      <c r="Y8" s="13"/>
    </row>
    <row r="9" spans="1:25" x14ac:dyDescent="0.3">
      <c r="A9" s="41"/>
      <c r="B9" s="39"/>
      <c r="C9" s="20" t="s">
        <v>654</v>
      </c>
      <c r="D9" s="20" t="s">
        <v>1025</v>
      </c>
      <c r="E9" s="97">
        <v>500000</v>
      </c>
      <c r="F9" s="20">
        <v>240</v>
      </c>
      <c r="G9" s="36"/>
      <c r="H9" s="36"/>
      <c r="I9" s="37"/>
      <c r="J9" s="14"/>
      <c r="K9" t="s">
        <v>1090</v>
      </c>
      <c r="U9" s="13"/>
      <c r="V9" s="13"/>
      <c r="W9" s="13"/>
      <c r="X9" s="14"/>
      <c r="Y9" s="13"/>
    </row>
    <row r="10" spans="1:25" x14ac:dyDescent="0.3">
      <c r="A10" s="38"/>
      <c r="B10" s="39"/>
      <c r="C10" s="20" t="s">
        <v>1089</v>
      </c>
      <c r="D10" s="20">
        <v>2</v>
      </c>
      <c r="E10" s="97">
        <v>150000</v>
      </c>
      <c r="F10" s="20">
        <v>125</v>
      </c>
      <c r="G10" s="36"/>
      <c r="H10" s="36"/>
      <c r="I10" s="37"/>
      <c r="J10" s="14"/>
      <c r="K10" s="526" t="s">
        <v>1092</v>
      </c>
      <c r="L10" s="527"/>
      <c r="M10" s="527"/>
      <c r="N10" s="527"/>
      <c r="O10" s="527"/>
      <c r="P10" s="527"/>
      <c r="Q10" s="527"/>
      <c r="R10" s="339"/>
      <c r="U10" s="13"/>
      <c r="V10" s="13"/>
      <c r="W10" s="13"/>
      <c r="X10" s="14"/>
      <c r="Y10" s="13"/>
    </row>
    <row r="11" spans="1:25" x14ac:dyDescent="0.3">
      <c r="A11" s="38"/>
      <c r="B11" s="39"/>
      <c r="C11" s="20" t="s">
        <v>1091</v>
      </c>
      <c r="D11" s="20">
        <v>1</v>
      </c>
      <c r="E11" s="97">
        <v>200000</v>
      </c>
      <c r="F11" s="20">
        <v>190</v>
      </c>
      <c r="G11" s="36"/>
      <c r="H11" s="36"/>
      <c r="I11" s="37"/>
      <c r="J11" s="14"/>
      <c r="U11" s="13"/>
      <c r="V11" s="13"/>
      <c r="W11" s="13"/>
      <c r="X11" s="14"/>
      <c r="Y11" s="13"/>
    </row>
    <row r="12" spans="1:25" x14ac:dyDescent="0.3">
      <c r="A12" s="38"/>
      <c r="B12" s="39"/>
      <c r="C12" s="20" t="s">
        <v>1093</v>
      </c>
      <c r="D12" s="20" t="s">
        <v>1094</v>
      </c>
      <c r="E12" s="97">
        <v>300000</v>
      </c>
      <c r="F12" s="20">
        <v>300</v>
      </c>
      <c r="G12" s="36"/>
      <c r="H12" s="36"/>
      <c r="I12" s="37"/>
      <c r="J12" s="14"/>
      <c r="K12" t="s">
        <v>1095</v>
      </c>
      <c r="U12" s="13"/>
      <c r="V12" s="13"/>
      <c r="W12" s="13"/>
      <c r="X12" s="14"/>
      <c r="Y12" s="13"/>
    </row>
    <row r="13" spans="1:25" x14ac:dyDescent="0.3">
      <c r="A13" s="38"/>
      <c r="B13" s="39"/>
      <c r="C13" s="48" t="s">
        <v>308</v>
      </c>
      <c r="D13" s="48"/>
      <c r="E13" s="511">
        <f>SUM(E9:E12)</f>
        <v>1150000</v>
      </c>
      <c r="F13" s="48">
        <f>SUM(F9:F12)</f>
        <v>855</v>
      </c>
      <c r="G13" s="36"/>
      <c r="H13" s="36"/>
      <c r="I13" s="37"/>
      <c r="J13" s="14"/>
      <c r="K13" t="s">
        <v>1096</v>
      </c>
      <c r="U13" s="13"/>
      <c r="V13" s="13"/>
      <c r="W13" s="13"/>
      <c r="X13" s="14"/>
      <c r="Y13" s="13"/>
    </row>
    <row r="14" spans="1:25" x14ac:dyDescent="0.3">
      <c r="A14" s="38"/>
      <c r="B14" s="39"/>
      <c r="C14" s="36"/>
      <c r="D14" s="36"/>
      <c r="E14" s="36"/>
      <c r="F14" s="36"/>
      <c r="G14" s="36"/>
      <c r="H14" s="36"/>
      <c r="I14" s="37"/>
      <c r="J14" s="14"/>
      <c r="U14" s="13"/>
      <c r="V14" s="13"/>
      <c r="W14" s="13"/>
      <c r="X14" s="14"/>
      <c r="Y14" s="13"/>
    </row>
    <row r="15" spans="1:25" x14ac:dyDescent="0.3">
      <c r="A15" s="45"/>
      <c r="B15" s="36"/>
      <c r="C15" s="36" t="s">
        <v>1097</v>
      </c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3">
      <c r="A16" s="45"/>
      <c r="B16" s="36"/>
      <c r="C16" s="36"/>
      <c r="D16" s="36"/>
      <c r="E16" s="36"/>
      <c r="F16" s="36"/>
      <c r="G16" s="36"/>
      <c r="H16" s="36"/>
      <c r="I16" s="37"/>
      <c r="J16" s="14"/>
      <c r="K16" s="198" t="s">
        <v>1098</v>
      </c>
      <c r="U16" s="13"/>
      <c r="V16" s="13"/>
      <c r="W16" s="13"/>
      <c r="X16" s="14"/>
      <c r="Y16" s="13"/>
    </row>
    <row r="17" spans="1:25" ht="43.2" x14ac:dyDescent="0.3">
      <c r="A17" s="45"/>
      <c r="B17" s="36"/>
      <c r="C17" s="507" t="s">
        <v>1020</v>
      </c>
      <c r="D17" s="334" t="s">
        <v>1099</v>
      </c>
      <c r="E17" s="177"/>
      <c r="F17" s="36"/>
      <c r="G17" s="36"/>
      <c r="H17" s="36"/>
      <c r="I17" s="37"/>
      <c r="J17" s="14"/>
      <c r="K17" s="86" t="s">
        <v>895</v>
      </c>
      <c r="L17" s="193" t="s">
        <v>1020</v>
      </c>
      <c r="M17" s="254" t="s">
        <v>1099</v>
      </c>
      <c r="N17" s="24" t="s">
        <v>1100</v>
      </c>
      <c r="O17" s="255" t="s">
        <v>1101</v>
      </c>
      <c r="U17" s="13"/>
      <c r="V17" s="13"/>
      <c r="W17" s="13"/>
      <c r="X17" s="14"/>
      <c r="Y17" s="13"/>
    </row>
    <row r="18" spans="1:25" x14ac:dyDescent="0.3">
      <c r="A18" s="45"/>
      <c r="B18" s="36"/>
      <c r="C18" s="80" t="s">
        <v>1025</v>
      </c>
      <c r="D18" s="152">
        <v>0.7</v>
      </c>
      <c r="E18" s="181"/>
      <c r="F18" s="36"/>
      <c r="G18" s="36"/>
      <c r="H18" s="36"/>
      <c r="I18" s="37"/>
      <c r="J18" s="14"/>
      <c r="K18" s="63" t="s">
        <v>654</v>
      </c>
      <c r="L18" s="58" t="s">
        <v>1025</v>
      </c>
      <c r="M18" s="528">
        <f>(SUM($F$9:F9)/SUM($E$9:E9))/$O$7</f>
        <v>0.64561403508771931</v>
      </c>
      <c r="N18" s="120">
        <f>1-M18</f>
        <v>0.35438596491228069</v>
      </c>
      <c r="O18" s="529">
        <f>N18/$N$20</f>
        <v>2.9101694915254237</v>
      </c>
      <c r="U18" s="13"/>
      <c r="V18" s="13"/>
      <c r="W18" s="13"/>
      <c r="X18" s="14"/>
      <c r="Y18" s="13"/>
    </row>
    <row r="19" spans="1:25" ht="15" customHeight="1" x14ac:dyDescent="0.3">
      <c r="A19" s="45"/>
      <c r="B19" s="36"/>
      <c r="C19" s="77" t="s">
        <v>1037</v>
      </c>
      <c r="D19" s="155">
        <v>0.77</v>
      </c>
      <c r="E19" s="181"/>
      <c r="F19" s="36"/>
      <c r="G19" s="36"/>
      <c r="H19" s="36"/>
      <c r="I19" s="37"/>
      <c r="J19" s="14"/>
      <c r="K19" s="61" t="s">
        <v>1102</v>
      </c>
      <c r="L19" s="100" t="s">
        <v>1037</v>
      </c>
      <c r="M19" s="478">
        <f>(SUM($F$9:F10)/SUM($E$9:E10))/$O$7</f>
        <v>0.75528565002249215</v>
      </c>
      <c r="N19" s="89">
        <f t="shared" ref="N19:N20" si="0">1-M19</f>
        <v>0.24471434997750785</v>
      </c>
      <c r="O19" s="510">
        <f>N19/$N$20</f>
        <v>2.0095610604085179</v>
      </c>
      <c r="U19" s="13"/>
      <c r="V19" s="13"/>
      <c r="W19" s="13"/>
      <c r="X19" s="14"/>
      <c r="Y19" s="13"/>
    </row>
    <row r="20" spans="1:25" x14ac:dyDescent="0.3">
      <c r="A20" s="45"/>
      <c r="B20" s="36"/>
      <c r="C20" s="82" t="s">
        <v>1038</v>
      </c>
      <c r="D20" s="162">
        <v>0.84</v>
      </c>
      <c r="E20" s="181"/>
      <c r="F20" s="36"/>
      <c r="G20" s="36"/>
      <c r="H20" s="36"/>
      <c r="I20" s="37"/>
      <c r="J20" s="14"/>
      <c r="K20" s="65" t="s">
        <v>1103</v>
      </c>
      <c r="L20" s="67" t="s">
        <v>1038</v>
      </c>
      <c r="M20" s="480">
        <f>(SUM($F$9:F11)/SUM($E$9:E11))/$O$7</f>
        <v>0.8782249742002064</v>
      </c>
      <c r="N20" s="93">
        <f t="shared" si="0"/>
        <v>0.1217750257997936</v>
      </c>
      <c r="O20" s="530">
        <f>N20/$N$20</f>
        <v>1</v>
      </c>
      <c r="U20" s="13"/>
      <c r="V20" s="13"/>
      <c r="W20" s="13"/>
      <c r="X20" s="14"/>
      <c r="Y20" s="13"/>
    </row>
    <row r="21" spans="1:25" x14ac:dyDescent="0.3">
      <c r="A21" s="45"/>
      <c r="B21" s="36"/>
      <c r="C21" s="36"/>
      <c r="D21" s="36"/>
      <c r="E21" s="36"/>
      <c r="F21" s="36"/>
      <c r="G21" s="36"/>
      <c r="H21" s="36"/>
      <c r="I21" s="37"/>
      <c r="J21" s="14"/>
      <c r="K21" s="10"/>
      <c r="L21" s="478"/>
      <c r="U21" s="13"/>
      <c r="V21" s="13"/>
      <c r="W21" s="13"/>
      <c r="X21" s="14"/>
      <c r="Y21" s="13"/>
    </row>
    <row r="22" spans="1:25" x14ac:dyDescent="0.3">
      <c r="A22" s="35" t="s">
        <v>173</v>
      </c>
      <c r="B22" s="36"/>
      <c r="C22" s="36" t="s">
        <v>1104</v>
      </c>
      <c r="D22" s="36"/>
      <c r="E22" s="36"/>
      <c r="F22" s="36"/>
      <c r="G22" s="36"/>
      <c r="H22" s="36"/>
      <c r="I22" s="37"/>
      <c r="J22" s="14"/>
      <c r="K22" s="11" t="s">
        <v>1105</v>
      </c>
      <c r="R22" s="13"/>
      <c r="S22" s="13"/>
      <c r="T22" s="13"/>
      <c r="U22" s="13"/>
      <c r="V22" s="13"/>
      <c r="W22" s="13"/>
      <c r="X22" s="14"/>
      <c r="Y22" s="13"/>
    </row>
    <row r="23" spans="1:25" ht="15" customHeight="1" thickBot="1" x14ac:dyDescent="0.35">
      <c r="A23" s="53"/>
      <c r="B23" s="54"/>
      <c r="C23" s="54" t="s">
        <v>1106</v>
      </c>
      <c r="D23" s="54"/>
      <c r="E23" s="54"/>
      <c r="F23" s="54"/>
      <c r="G23" s="54"/>
      <c r="H23" s="54"/>
      <c r="I23" s="55"/>
      <c r="J23" s="14"/>
      <c r="K23" s="198" t="s">
        <v>1107</v>
      </c>
      <c r="R23" s="13"/>
      <c r="S23" s="13"/>
      <c r="T23" s="13"/>
      <c r="U23" s="13"/>
      <c r="V23" s="13"/>
      <c r="W23" s="13"/>
      <c r="X23" s="14"/>
      <c r="Y23" s="13"/>
    </row>
    <row r="24" spans="1:25" ht="43.2" x14ac:dyDescent="0.3">
      <c r="J24" s="14"/>
      <c r="K24" s="253" t="s">
        <v>1020</v>
      </c>
      <c r="L24" s="193" t="s">
        <v>1099</v>
      </c>
      <c r="M24" s="24" t="s">
        <v>1100</v>
      </c>
      <c r="N24" s="255" t="s">
        <v>1101</v>
      </c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3">
      <c r="J25" s="14"/>
      <c r="K25" s="63" t="s">
        <v>1025</v>
      </c>
      <c r="L25" s="120">
        <f>D18</f>
        <v>0.7</v>
      </c>
      <c r="M25" s="120">
        <f>1-L25</f>
        <v>0.30000000000000004</v>
      </c>
      <c r="N25" s="529">
        <f t="shared" ref="N25:N26" si="1">M25/$M$27</f>
        <v>1.875</v>
      </c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3">
      <c r="J26" s="14"/>
      <c r="K26" s="61" t="s">
        <v>1037</v>
      </c>
      <c r="L26" s="89">
        <f>D19</f>
        <v>0.77</v>
      </c>
      <c r="M26" s="89">
        <f t="shared" ref="M26:M27" si="2">1-L26</f>
        <v>0.22999999999999998</v>
      </c>
      <c r="N26" s="510">
        <f t="shared" si="1"/>
        <v>1.4374999999999996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3">
      <c r="J27" s="14"/>
      <c r="K27" s="65" t="s">
        <v>1038</v>
      </c>
      <c r="L27" s="93">
        <f>D20</f>
        <v>0.84</v>
      </c>
      <c r="M27" s="93">
        <f t="shared" si="2"/>
        <v>0.16000000000000003</v>
      </c>
      <c r="N27" s="530">
        <f>M27/$M$27</f>
        <v>1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3">
      <c r="J28" s="14"/>
      <c r="R28" s="13"/>
      <c r="S28" s="13"/>
      <c r="T28" s="13"/>
      <c r="U28" s="13"/>
      <c r="V28" s="13"/>
      <c r="W28" s="13"/>
      <c r="X28" s="14"/>
      <c r="Y28" s="13"/>
    </row>
    <row r="29" spans="1:25" x14ac:dyDescent="0.3">
      <c r="J29" s="14"/>
      <c r="K29" s="11" t="s">
        <v>1108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3">
      <c r="J30" s="14"/>
      <c r="K30" s="11" t="s">
        <v>1109</v>
      </c>
      <c r="R30" s="13"/>
      <c r="S30" s="13"/>
      <c r="T30" s="13"/>
      <c r="U30" s="13"/>
      <c r="V30" s="13"/>
      <c r="W30" s="13"/>
      <c r="X30" s="14"/>
      <c r="Y30" s="13"/>
    </row>
    <row r="31" spans="1:25" x14ac:dyDescent="0.3">
      <c r="J31" s="14"/>
      <c r="R31" s="13"/>
      <c r="S31" s="13"/>
      <c r="T31" s="13"/>
      <c r="U31" s="13"/>
      <c r="V31" s="13"/>
      <c r="W31" s="13"/>
      <c r="X31" s="14"/>
      <c r="Y31" s="13"/>
    </row>
    <row r="32" spans="1:25" x14ac:dyDescent="0.3">
      <c r="J32" s="14"/>
      <c r="R32" s="13"/>
      <c r="S32" s="13"/>
      <c r="T32" s="13"/>
      <c r="U32" s="13"/>
      <c r="V32" s="13"/>
      <c r="W32" s="13"/>
      <c r="X32" s="14"/>
      <c r="Y32" s="13"/>
    </row>
    <row r="33" spans="1:25" x14ac:dyDescent="0.3">
      <c r="J33" s="14"/>
      <c r="R33" s="13"/>
      <c r="S33" s="13"/>
      <c r="T33" s="13"/>
      <c r="U33" s="13"/>
      <c r="V33" s="13"/>
      <c r="W33" s="13"/>
      <c r="X33" s="14"/>
      <c r="Y33" s="13"/>
    </row>
    <row r="34" spans="1:25" x14ac:dyDescent="0.3">
      <c r="J34" s="14"/>
      <c r="R34" s="13"/>
      <c r="S34" s="13"/>
      <c r="T34" s="13"/>
      <c r="U34" s="13"/>
      <c r="V34" s="13"/>
      <c r="W34" s="13"/>
      <c r="X34" s="14"/>
      <c r="Y34" s="13"/>
    </row>
    <row r="35" spans="1:25" x14ac:dyDescent="0.3">
      <c r="J35" s="14"/>
      <c r="R35" s="13"/>
      <c r="S35" s="13"/>
      <c r="T35" s="13"/>
      <c r="U35" s="13"/>
      <c r="V35" s="13"/>
      <c r="W35" s="13"/>
      <c r="X35" s="14"/>
      <c r="Y35" s="13"/>
    </row>
    <row r="36" spans="1:25" x14ac:dyDescent="0.3">
      <c r="J36" s="14"/>
      <c r="R36" s="13"/>
      <c r="S36" s="13"/>
      <c r="T36" s="13"/>
      <c r="U36" s="13"/>
      <c r="V36" s="13"/>
      <c r="W36" s="13"/>
      <c r="X36" s="14"/>
      <c r="Y36" s="13"/>
    </row>
    <row r="37" spans="1:25" x14ac:dyDescent="0.3"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3"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3">
      <c r="A39" s="13"/>
      <c r="B39" s="13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3"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3">
      <c r="J45" s="14"/>
      <c r="R45" s="13"/>
      <c r="S45" s="13"/>
      <c r="T45" s="13"/>
      <c r="U45" s="13"/>
      <c r="V45" s="13"/>
      <c r="W45" s="13"/>
      <c r="X45" s="14"/>
      <c r="Y45" s="13"/>
    </row>
    <row r="46" spans="1:25" x14ac:dyDescent="0.3"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3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3">
      <c r="J49" s="14"/>
      <c r="R49" s="13"/>
      <c r="S49" s="13"/>
      <c r="T49" s="13"/>
      <c r="U49" s="13"/>
      <c r="V49" s="13"/>
      <c r="W49" s="13"/>
      <c r="X49" s="14"/>
      <c r="Y49" s="13"/>
    </row>
  </sheetData>
  <mergeCells count="1">
    <mergeCell ref="H1:I1"/>
  </mergeCells>
  <hyperlinks>
    <hyperlink ref="H1" location="TOC!A1" display="Return to TOC" xr:uid="{C703CE97-5C6A-4170-8E0F-5B48E67AEB9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3952-6E7A-4E77-9BFF-33F0DEE6FED7}">
  <sheetPr codeName="Sheet94"/>
  <dimension ref="A1:AA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5546875" customWidth="1"/>
    <col min="3" max="3" width="10.6640625" customWidth="1"/>
    <col min="4" max="5" width="17.6640625" customWidth="1"/>
    <col min="6" max="6" width="6.109375" customWidth="1"/>
    <col min="7" max="7" width="10.6640625" customWidth="1"/>
    <col min="8" max="9" width="17.6640625" customWidth="1"/>
    <col min="10" max="11" width="9" customWidth="1"/>
    <col min="12" max="12" width="2.6640625" customWidth="1"/>
    <col min="13" max="13" width="10.6640625" customWidth="1"/>
    <col min="14" max="17" width="13.6640625" customWidth="1"/>
    <col min="18" max="19" width="9.33203125" customWidth="1"/>
    <col min="20" max="21" width="9.109375" customWidth="1"/>
    <col min="23" max="23" width="9.109375" customWidth="1"/>
    <col min="25" max="25" width="4.5546875" customWidth="1"/>
  </cols>
  <sheetData>
    <row r="1" spans="1:27" x14ac:dyDescent="0.3">
      <c r="A1" s="32" t="s">
        <v>137</v>
      </c>
      <c r="B1" s="33"/>
      <c r="C1" s="33" t="s">
        <v>29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200</v>
      </c>
      <c r="D2" s="36"/>
      <c r="E2" s="36"/>
      <c r="F2" s="36"/>
      <c r="G2" s="36"/>
      <c r="H2" s="36"/>
      <c r="I2" s="36"/>
      <c r="J2" s="36"/>
      <c r="K2" s="37"/>
      <c r="L2" s="10"/>
      <c r="M2" t="s">
        <v>201</v>
      </c>
      <c r="Z2" s="10"/>
    </row>
    <row r="3" spans="1:27" x14ac:dyDescent="0.3">
      <c r="A3" s="35" t="s">
        <v>141</v>
      </c>
      <c r="B3" s="36"/>
      <c r="C3" s="36" t="s">
        <v>22</v>
      </c>
      <c r="D3" s="36"/>
      <c r="E3" s="36"/>
      <c r="F3" s="36"/>
      <c r="G3" s="36"/>
      <c r="H3" s="36"/>
      <c r="I3" s="36"/>
      <c r="J3" s="36"/>
      <c r="K3" s="37"/>
      <c r="L3" s="10"/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s="57" t="s">
        <v>203</v>
      </c>
      <c r="N4" s="57"/>
      <c r="O4" s="57"/>
      <c r="W4" s="13"/>
      <c r="X4" s="13"/>
      <c r="Z4" s="14"/>
      <c r="AA4" s="13"/>
    </row>
    <row r="5" spans="1:27" ht="15" customHeight="1" x14ac:dyDescent="0.3">
      <c r="A5" s="41" t="s">
        <v>144</v>
      </c>
      <c r="B5" s="36"/>
      <c r="C5" s="36" t="s">
        <v>202</v>
      </c>
      <c r="D5" s="36"/>
      <c r="E5" s="36"/>
      <c r="F5" s="36"/>
      <c r="G5" s="36"/>
      <c r="H5" s="36"/>
      <c r="I5" s="36"/>
      <c r="J5" s="36"/>
      <c r="K5" s="40"/>
      <c r="L5" s="14"/>
      <c r="M5" s="58" t="s">
        <v>205</v>
      </c>
      <c r="N5" s="59" t="s">
        <v>206</v>
      </c>
      <c r="O5" s="60"/>
      <c r="W5" s="13"/>
      <c r="X5" s="13"/>
      <c r="Y5" s="13"/>
      <c r="Z5" s="14"/>
      <c r="AA5" s="13"/>
    </row>
    <row r="6" spans="1:27" x14ac:dyDescent="0.3">
      <c r="A6" s="45"/>
      <c r="B6" s="36"/>
      <c r="C6" s="36" t="s">
        <v>204</v>
      </c>
      <c r="D6" s="36"/>
      <c r="E6" s="36"/>
      <c r="F6" s="36"/>
      <c r="G6" s="36"/>
      <c r="H6" s="36"/>
      <c r="I6" s="36"/>
      <c r="J6" s="36"/>
      <c r="K6" s="40"/>
      <c r="L6" s="14"/>
      <c r="M6" s="61" t="s">
        <v>207</v>
      </c>
      <c r="N6" s="62" t="s">
        <v>208</v>
      </c>
      <c r="O6" s="58" t="s">
        <v>209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s="63" t="s">
        <v>212</v>
      </c>
      <c r="N7" s="64">
        <f>D11/H11</f>
        <v>426285.71428571426</v>
      </c>
      <c r="O7" s="64">
        <f>E11/I11</f>
        <v>145485.71428571429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72" t="s">
        <v>210</v>
      </c>
      <c r="D8" s="73"/>
      <c r="E8" s="73"/>
      <c r="F8" s="36"/>
      <c r="G8" s="72" t="s">
        <v>211</v>
      </c>
      <c r="H8" s="72"/>
      <c r="I8" s="72"/>
      <c r="J8" s="36"/>
      <c r="K8" s="40"/>
      <c r="L8" s="14"/>
      <c r="M8" s="65" t="s">
        <v>213</v>
      </c>
      <c r="N8" s="66">
        <f>D12/H12</f>
        <v>243869.5652173913</v>
      </c>
      <c r="O8" s="66">
        <f>E12/I12</f>
        <v>62944.444444444445</v>
      </c>
      <c r="W8" s="13"/>
      <c r="X8" s="13"/>
      <c r="Y8" s="13"/>
      <c r="Z8" s="14"/>
      <c r="AA8" s="13"/>
    </row>
    <row r="9" spans="1:27" x14ac:dyDescent="0.3">
      <c r="A9" s="41"/>
      <c r="B9" s="39"/>
      <c r="C9" s="17" t="s">
        <v>205</v>
      </c>
      <c r="D9" s="74" t="s">
        <v>206</v>
      </c>
      <c r="E9" s="75"/>
      <c r="F9" s="36"/>
      <c r="G9" s="17" t="s">
        <v>205</v>
      </c>
      <c r="H9" s="74" t="s">
        <v>206</v>
      </c>
      <c r="I9" s="75"/>
      <c r="J9" s="36"/>
      <c r="K9" s="40"/>
      <c r="L9" s="14"/>
      <c r="W9" s="13"/>
      <c r="X9" s="13"/>
      <c r="Y9" s="13"/>
      <c r="Z9" s="14"/>
      <c r="AA9" s="13"/>
    </row>
    <row r="10" spans="1:27" x14ac:dyDescent="0.3">
      <c r="A10" s="38"/>
      <c r="B10" s="39"/>
      <c r="C10" s="22" t="s">
        <v>207</v>
      </c>
      <c r="D10" s="76" t="s">
        <v>208</v>
      </c>
      <c r="E10" s="48" t="s">
        <v>209</v>
      </c>
      <c r="F10" s="36"/>
      <c r="G10" s="77" t="s">
        <v>207</v>
      </c>
      <c r="H10" s="78" t="s">
        <v>208</v>
      </c>
      <c r="I10" s="17" t="s">
        <v>209</v>
      </c>
      <c r="J10" s="36"/>
      <c r="K10" s="40"/>
      <c r="L10" s="14"/>
      <c r="M10" s="11" t="s">
        <v>214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17" t="s">
        <v>212</v>
      </c>
      <c r="D11" s="79">
        <v>5968000</v>
      </c>
      <c r="E11" s="79">
        <v>5092000</v>
      </c>
      <c r="F11" s="36"/>
      <c r="G11" s="80" t="s">
        <v>212</v>
      </c>
      <c r="H11" s="17">
        <v>14</v>
      </c>
      <c r="I11" s="17">
        <v>35</v>
      </c>
      <c r="J11" s="36"/>
      <c r="K11" s="40"/>
      <c r="L11" s="14"/>
      <c r="M11" s="11" t="s">
        <v>215</v>
      </c>
      <c r="W11" s="13"/>
      <c r="X11" s="13"/>
      <c r="Y11" s="13"/>
      <c r="Z11" s="14"/>
      <c r="AA11" s="13"/>
    </row>
    <row r="12" spans="1:27" x14ac:dyDescent="0.3">
      <c r="A12" s="38"/>
      <c r="B12" s="39"/>
      <c r="C12" s="22" t="s">
        <v>213</v>
      </c>
      <c r="D12" s="81">
        <v>5609000</v>
      </c>
      <c r="E12" s="81">
        <v>1133000</v>
      </c>
      <c r="F12" s="36"/>
      <c r="G12" s="82" t="s">
        <v>213</v>
      </c>
      <c r="H12" s="22">
        <v>23</v>
      </c>
      <c r="I12" s="22">
        <v>18</v>
      </c>
      <c r="J12" s="36"/>
      <c r="K12" s="40"/>
      <c r="L12" s="14"/>
      <c r="M12" s="69" t="s">
        <v>216</v>
      </c>
      <c r="W12" s="13"/>
      <c r="X12" s="13"/>
      <c r="Y12" s="13"/>
      <c r="Z12" s="14"/>
      <c r="AA12" s="13"/>
    </row>
    <row r="13" spans="1:27" x14ac:dyDescent="0.3">
      <c r="A13" s="38"/>
      <c r="B13" s="39"/>
      <c r="C13" s="36"/>
      <c r="D13" s="36"/>
      <c r="E13" s="36"/>
      <c r="F13" s="36"/>
      <c r="G13" s="36"/>
      <c r="H13" s="36"/>
      <c r="I13" s="36"/>
      <c r="J13" s="36"/>
      <c r="K13" s="40"/>
      <c r="L13" s="14"/>
      <c r="M13" s="69"/>
      <c r="W13" s="13"/>
      <c r="X13" s="13"/>
      <c r="Y13" s="13"/>
      <c r="Z13" s="14"/>
      <c r="AA13" s="13"/>
    </row>
    <row r="14" spans="1:27" x14ac:dyDescent="0.3">
      <c r="A14" s="38"/>
      <c r="B14" s="39"/>
      <c r="C14" s="72" t="s">
        <v>217</v>
      </c>
      <c r="D14" s="72"/>
      <c r="E14" s="72"/>
      <c r="F14" s="36"/>
      <c r="G14" s="36"/>
      <c r="H14" s="36"/>
      <c r="I14" s="36"/>
      <c r="J14" s="36"/>
      <c r="K14" s="40"/>
      <c r="L14" s="14"/>
      <c r="M14" t="s">
        <v>218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17" t="s">
        <v>205</v>
      </c>
      <c r="D15" s="74" t="s">
        <v>206</v>
      </c>
      <c r="E15" s="75"/>
      <c r="F15" s="36"/>
      <c r="G15" s="36"/>
      <c r="H15" s="36"/>
      <c r="I15" s="36"/>
      <c r="J15" s="36"/>
      <c r="K15" s="40"/>
      <c r="L15" s="14"/>
      <c r="M15" t="s">
        <v>219</v>
      </c>
      <c r="W15" s="13"/>
      <c r="X15" s="13"/>
      <c r="Y15" s="13"/>
      <c r="Z15" s="14"/>
      <c r="AA15" s="13"/>
    </row>
    <row r="16" spans="1:27" x14ac:dyDescent="0.3">
      <c r="A16" s="45"/>
      <c r="B16" s="36"/>
      <c r="C16" s="77" t="s">
        <v>207</v>
      </c>
      <c r="D16" s="78" t="s">
        <v>208</v>
      </c>
      <c r="E16" s="17" t="s">
        <v>209</v>
      </c>
      <c r="F16" s="36"/>
      <c r="G16" s="36"/>
      <c r="H16" s="36"/>
      <c r="I16" s="36"/>
      <c r="J16" s="36"/>
      <c r="K16" s="40"/>
      <c r="L16" s="14"/>
      <c r="W16" s="13"/>
      <c r="X16" s="13"/>
      <c r="Y16" s="13"/>
      <c r="Z16" s="14"/>
      <c r="AA16" s="13"/>
    </row>
    <row r="17" spans="1:27" x14ac:dyDescent="0.3">
      <c r="A17" s="45"/>
      <c r="B17" s="36"/>
      <c r="C17" s="80" t="s">
        <v>212</v>
      </c>
      <c r="D17" s="83">
        <v>446000</v>
      </c>
      <c r="E17" s="83">
        <v>350000</v>
      </c>
      <c r="F17" s="36"/>
      <c r="G17" s="36"/>
      <c r="H17" s="36"/>
      <c r="I17" s="36"/>
      <c r="J17" s="36"/>
      <c r="K17" s="40"/>
      <c r="L17" s="14"/>
      <c r="N17" s="70" t="s">
        <v>220</v>
      </c>
      <c r="O17" s="70" t="s">
        <v>221</v>
      </c>
      <c r="P17" s="70" t="s">
        <v>222</v>
      </c>
      <c r="Q17" s="70" t="s">
        <v>223</v>
      </c>
      <c r="W17" s="13"/>
      <c r="X17" s="13"/>
      <c r="Y17" s="13"/>
      <c r="Z17" s="14"/>
      <c r="AA17" s="13"/>
    </row>
    <row r="18" spans="1:27" x14ac:dyDescent="0.3">
      <c r="A18" s="45"/>
      <c r="B18" s="36"/>
      <c r="C18" s="82" t="s">
        <v>213</v>
      </c>
      <c r="D18" s="81">
        <v>251000</v>
      </c>
      <c r="E18" s="81">
        <v>269000</v>
      </c>
      <c r="F18" s="36"/>
      <c r="G18" s="36"/>
      <c r="H18" s="36"/>
      <c r="I18" s="36"/>
      <c r="J18" s="36"/>
      <c r="K18" s="40"/>
      <c r="L18" s="14"/>
      <c r="N18" s="10">
        <v>1</v>
      </c>
      <c r="O18" s="10">
        <v>1</v>
      </c>
      <c r="P18" s="10">
        <v>0</v>
      </c>
      <c r="Q18" s="10" t="str">
        <f>"LN("&amp;TEXT(D17,"0,000")&amp;")"</f>
        <v>LN(446,000)</v>
      </c>
      <c r="S18" s="69" t="s">
        <v>224</v>
      </c>
      <c r="W18" s="13"/>
      <c r="X18" s="13"/>
      <c r="Y18" s="13"/>
      <c r="Z18" s="14"/>
      <c r="AA18" s="13"/>
    </row>
    <row r="19" spans="1:27" ht="15" customHeight="1" x14ac:dyDescent="0.3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M19" s="10" t="s">
        <v>226</v>
      </c>
      <c r="N19" s="10">
        <v>1</v>
      </c>
      <c r="O19" s="10">
        <v>1</v>
      </c>
      <c r="P19" s="10">
        <v>1</v>
      </c>
      <c r="Q19" s="10" t="str">
        <f>"LN("&amp;TEXT(E17,"0,000")&amp;")"</f>
        <v>LN(350,000)</v>
      </c>
      <c r="S19" s="69" t="s">
        <v>227</v>
      </c>
      <c r="W19" s="13"/>
      <c r="X19" s="13"/>
      <c r="Y19" s="13"/>
      <c r="Z19" s="14"/>
      <c r="AA19" s="13"/>
    </row>
    <row r="20" spans="1:27" ht="15" x14ac:dyDescent="0.35">
      <c r="A20" s="45"/>
      <c r="B20" s="36"/>
      <c r="C20" s="84" t="s">
        <v>225</v>
      </c>
      <c r="D20" s="36"/>
      <c r="E20" s="36"/>
      <c r="F20" s="36"/>
      <c r="G20" s="36"/>
      <c r="H20" s="36"/>
      <c r="I20" s="36"/>
      <c r="J20" s="36"/>
      <c r="K20" s="40"/>
      <c r="L20" s="14"/>
      <c r="N20" s="10">
        <v>1</v>
      </c>
      <c r="O20" s="10">
        <v>0</v>
      </c>
      <c r="P20" s="10">
        <v>0</v>
      </c>
      <c r="Q20" s="10" t="str">
        <f>"LN("&amp;TEXT(D18,"0,000")&amp;")"</f>
        <v>LN(251,000)</v>
      </c>
      <c r="W20" s="13"/>
      <c r="X20" s="13"/>
      <c r="Y20" s="13"/>
      <c r="Z20" s="14"/>
      <c r="AA20" s="13"/>
    </row>
    <row r="21" spans="1:27" ht="15.6" x14ac:dyDescent="0.35">
      <c r="A21" s="45"/>
      <c r="B21" s="36"/>
      <c r="C21" s="84" t="s">
        <v>228</v>
      </c>
      <c r="D21" s="36"/>
      <c r="E21" s="36"/>
      <c r="F21" s="36"/>
      <c r="G21" s="36"/>
      <c r="H21" s="36"/>
      <c r="I21" s="36"/>
      <c r="J21" s="36"/>
      <c r="K21" s="40"/>
      <c r="L21" s="14"/>
      <c r="N21" s="10">
        <v>1</v>
      </c>
      <c r="O21" s="10">
        <v>0</v>
      </c>
      <c r="P21" s="10">
        <v>1</v>
      </c>
      <c r="Q21" s="10" t="str">
        <f>"LN("&amp;TEXT(E18,"0,000")&amp;")"</f>
        <v>LN(269,000)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3">
      <c r="A22" s="45"/>
      <c r="B22" s="36"/>
      <c r="C22" s="36" t="s">
        <v>229</v>
      </c>
      <c r="D22" s="36"/>
      <c r="E22" s="36"/>
      <c r="F22" s="36"/>
      <c r="G22" s="36"/>
      <c r="H22" s="36"/>
      <c r="I22" s="36"/>
      <c r="J22" s="36"/>
      <c r="K22" s="40"/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40"/>
      <c r="L23" s="14"/>
      <c r="M23" s="69" t="s">
        <v>232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A24" s="35" t="s">
        <v>173</v>
      </c>
      <c r="B24" s="52" t="s">
        <v>230</v>
      </c>
      <c r="C24" s="36" t="s">
        <v>231</v>
      </c>
      <c r="D24" s="36"/>
      <c r="E24" s="36"/>
      <c r="F24" s="36"/>
      <c r="G24" s="36"/>
      <c r="H24" s="36"/>
      <c r="I24" s="36"/>
      <c r="J24" s="36"/>
      <c r="K24" s="40"/>
      <c r="L24" s="14"/>
      <c r="M24" s="69" t="s">
        <v>233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A25" s="45"/>
      <c r="B25" s="52"/>
      <c r="C25" s="36"/>
      <c r="D25" s="36"/>
      <c r="E25" s="36"/>
      <c r="F25" s="36"/>
      <c r="G25" s="36"/>
      <c r="H25" s="36"/>
      <c r="I25" s="36"/>
      <c r="J25" s="36"/>
      <c r="K25" s="40"/>
      <c r="L25" s="14"/>
      <c r="M25" s="69" t="s">
        <v>236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A26" s="45"/>
      <c r="B26" s="52" t="s">
        <v>234</v>
      </c>
      <c r="C26" s="36" t="s">
        <v>235</v>
      </c>
      <c r="D26" s="36"/>
      <c r="E26" s="36"/>
      <c r="F26" s="36"/>
      <c r="G26" s="36"/>
      <c r="H26" s="36"/>
      <c r="I26" s="36"/>
      <c r="J26" s="36"/>
      <c r="K26" s="40"/>
      <c r="L26" s="14"/>
      <c r="M26" s="69" t="s">
        <v>237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thickBot="1" x14ac:dyDescent="0.3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85"/>
      <c r="L27" s="14"/>
      <c r="M27" s="69" t="s">
        <v>238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M30" t="s">
        <v>239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K31" s="13"/>
      <c r="L31" s="14"/>
      <c r="M31" t="s">
        <v>240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N33" s="71">
        <f>N7</f>
        <v>426285.71428571426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M34" s="10" t="s">
        <v>241</v>
      </c>
      <c r="N34" s="71">
        <f>O7</f>
        <v>145485.71428571429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N35" s="71">
        <f>N8</f>
        <v>243869.5652173913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N36" s="71">
        <f>O8</f>
        <v>62944.444444444445</v>
      </c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3">
      <c r="L49" s="14"/>
      <c r="Y49" s="13"/>
      <c r="Z49" s="14"/>
      <c r="AA49" s="13"/>
    </row>
  </sheetData>
  <mergeCells count="1">
    <mergeCell ref="J1:K1"/>
  </mergeCells>
  <hyperlinks>
    <hyperlink ref="J1" location="TOC!A1" display="Return to TOC" xr:uid="{8709254B-49DA-4EF7-9D96-7DDEF9A64FD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227E-DE3C-4F3A-A854-EA1198727EDF}">
  <sheetPr codeName="Sheet84"/>
  <dimension ref="A1:X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5546875" customWidth="1"/>
    <col min="3" max="3" width="17.109375" customWidth="1"/>
    <col min="4" max="4" width="26.109375" customWidth="1"/>
    <col min="5" max="5" width="17.6640625" customWidth="1"/>
    <col min="6" max="6" width="12.33203125" customWidth="1"/>
    <col min="7" max="7" width="12.5546875" bestFit="1" customWidth="1"/>
    <col min="8" max="8" width="10.44140625" customWidth="1"/>
    <col min="9" max="9" width="2.6640625" customWidth="1"/>
    <col min="10" max="10" width="11.33203125" customWidth="1"/>
    <col min="11" max="11" width="9.6640625" customWidth="1"/>
    <col min="12" max="12" width="12" customWidth="1"/>
    <col min="13" max="15" width="9.33203125" customWidth="1"/>
    <col min="16" max="16" width="10" customWidth="1"/>
    <col min="17" max="17" width="21" bestFit="1" customWidth="1"/>
    <col min="18" max="18" width="9.109375" customWidth="1"/>
    <col min="20" max="20" width="9.109375" customWidth="1"/>
    <col min="22" max="22" width="4" customWidth="1"/>
  </cols>
  <sheetData>
    <row r="1" spans="1:24" x14ac:dyDescent="0.3">
      <c r="A1" s="32" t="s">
        <v>137</v>
      </c>
      <c r="B1" s="33"/>
      <c r="C1" s="33" t="s">
        <v>131</v>
      </c>
      <c r="D1" s="34"/>
      <c r="E1" s="33"/>
      <c r="F1" s="33"/>
      <c r="G1" s="772" t="s">
        <v>199</v>
      </c>
      <c r="H1" s="773"/>
      <c r="I1" s="10"/>
      <c r="J1" s="12" t="s">
        <v>140</v>
      </c>
      <c r="W1" s="10"/>
    </row>
    <row r="2" spans="1:24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7"/>
      <c r="I2" s="10"/>
      <c r="J2" t="s">
        <v>1111</v>
      </c>
      <c r="W2" s="10"/>
    </row>
    <row r="3" spans="1:24" x14ac:dyDescent="0.3">
      <c r="A3" s="35" t="s">
        <v>141</v>
      </c>
      <c r="B3" s="36"/>
      <c r="C3" s="36" t="s">
        <v>1110</v>
      </c>
      <c r="D3" s="36"/>
      <c r="E3" s="36"/>
      <c r="F3" s="36"/>
      <c r="G3" s="36"/>
      <c r="H3" s="37"/>
      <c r="I3" s="10"/>
      <c r="J3" t="s">
        <v>1112</v>
      </c>
      <c r="W3" s="14"/>
    </row>
    <row r="4" spans="1:24" x14ac:dyDescent="0.3">
      <c r="A4" s="38"/>
      <c r="B4" s="39"/>
      <c r="C4" s="39"/>
      <c r="D4" s="39"/>
      <c r="E4" s="39"/>
      <c r="F4" s="39"/>
      <c r="G4" s="39"/>
      <c r="H4" s="40"/>
      <c r="I4" s="14"/>
      <c r="J4" t="s">
        <v>1114</v>
      </c>
      <c r="T4" s="13"/>
      <c r="U4" s="13"/>
      <c r="V4" s="13"/>
      <c r="W4" s="14"/>
      <c r="X4" s="13"/>
    </row>
    <row r="5" spans="1:24" ht="15" customHeight="1" x14ac:dyDescent="0.3">
      <c r="A5" s="41" t="s">
        <v>144</v>
      </c>
      <c r="B5" s="36"/>
      <c r="C5" s="36" t="s">
        <v>1113</v>
      </c>
      <c r="D5" s="36"/>
      <c r="E5" s="36"/>
      <c r="F5" s="36"/>
      <c r="G5" s="36"/>
      <c r="H5" s="37"/>
      <c r="I5" s="14"/>
      <c r="T5" s="13"/>
      <c r="U5" s="13"/>
      <c r="V5" s="13"/>
      <c r="W5" s="14"/>
      <c r="X5" s="13"/>
    </row>
    <row r="6" spans="1:24" x14ac:dyDescent="0.3">
      <c r="A6" s="45"/>
      <c r="B6" s="36"/>
      <c r="C6" s="36"/>
      <c r="D6" s="36"/>
      <c r="E6" s="36"/>
      <c r="F6" s="36"/>
      <c r="G6" s="36"/>
      <c r="H6" s="37"/>
      <c r="I6" s="14"/>
      <c r="J6" t="s">
        <v>1116</v>
      </c>
      <c r="T6" s="13"/>
      <c r="U6" s="13"/>
      <c r="V6" s="13"/>
      <c r="W6" s="14"/>
      <c r="X6" s="13"/>
    </row>
    <row r="7" spans="1:24" ht="15" customHeight="1" x14ac:dyDescent="0.3">
      <c r="A7" s="45"/>
      <c r="B7" s="36"/>
      <c r="C7" s="531">
        <v>41974</v>
      </c>
      <c r="D7" s="43" t="s">
        <v>1115</v>
      </c>
      <c r="E7" s="36"/>
      <c r="F7" s="36"/>
      <c r="G7" s="36"/>
      <c r="H7" s="37"/>
      <c r="I7" s="14"/>
      <c r="J7" t="s">
        <v>1119</v>
      </c>
      <c r="T7" s="13"/>
      <c r="U7" s="13"/>
      <c r="V7" s="13"/>
      <c r="W7" s="14"/>
      <c r="X7" s="13"/>
    </row>
    <row r="8" spans="1:24" ht="15" customHeight="1" x14ac:dyDescent="0.3">
      <c r="A8" s="41"/>
      <c r="B8" s="39"/>
      <c r="C8" s="20" t="s">
        <v>1117</v>
      </c>
      <c r="D8" s="46" t="s">
        <v>1118</v>
      </c>
      <c r="E8" s="36"/>
      <c r="F8" s="36"/>
      <c r="G8" s="36"/>
      <c r="H8" s="37"/>
      <c r="I8" s="14"/>
      <c r="T8" s="13"/>
      <c r="U8" s="13"/>
      <c r="V8" s="13"/>
      <c r="W8" s="14"/>
      <c r="X8" s="13"/>
    </row>
    <row r="9" spans="1:24" x14ac:dyDescent="0.3">
      <c r="A9" s="41"/>
      <c r="B9" s="39"/>
      <c r="C9" s="532">
        <v>0.65</v>
      </c>
      <c r="D9" s="47" t="s">
        <v>1120</v>
      </c>
      <c r="E9" s="36"/>
      <c r="F9" s="36"/>
      <c r="G9" s="36"/>
      <c r="H9" s="37"/>
      <c r="I9" s="14"/>
      <c r="J9" t="s">
        <v>1121</v>
      </c>
      <c r="T9" s="13"/>
      <c r="U9" s="13"/>
      <c r="V9" s="13"/>
      <c r="W9" s="14"/>
      <c r="X9" s="13"/>
    </row>
    <row r="10" spans="1:24" x14ac:dyDescent="0.3">
      <c r="A10" s="38"/>
      <c r="B10" s="39"/>
      <c r="C10" s="36"/>
      <c r="D10" s="36"/>
      <c r="E10" s="36"/>
      <c r="F10" s="36"/>
      <c r="G10" s="36"/>
      <c r="H10" s="37"/>
      <c r="I10" s="14"/>
      <c r="J10" t="s">
        <v>1123</v>
      </c>
      <c r="T10" s="13"/>
      <c r="U10" s="13"/>
      <c r="V10" s="13"/>
      <c r="W10" s="14"/>
      <c r="X10" s="13"/>
    </row>
    <row r="11" spans="1:24" ht="16.2" x14ac:dyDescent="0.3">
      <c r="A11" s="38"/>
      <c r="B11" s="39"/>
      <c r="C11" s="36"/>
      <c r="D11" s="230" t="s">
        <v>1122</v>
      </c>
      <c r="E11" s="36"/>
      <c r="F11" s="36"/>
      <c r="G11" s="36"/>
      <c r="H11" s="37"/>
      <c r="I11" s="14"/>
      <c r="J11" t="s">
        <v>1125</v>
      </c>
      <c r="T11" s="13"/>
      <c r="U11" s="13"/>
      <c r="V11" s="13"/>
      <c r="W11" s="14"/>
      <c r="X11" s="13"/>
    </row>
    <row r="12" spans="1:24" x14ac:dyDescent="0.3">
      <c r="A12" s="38"/>
      <c r="B12" s="39"/>
      <c r="C12" s="325">
        <v>75000</v>
      </c>
      <c r="D12" s="43" t="s">
        <v>1124</v>
      </c>
      <c r="E12" s="36"/>
      <c r="F12" s="36"/>
      <c r="G12" s="36"/>
      <c r="H12" s="37"/>
      <c r="I12" s="14"/>
      <c r="T12" s="13"/>
      <c r="U12" s="13"/>
      <c r="V12" s="13"/>
      <c r="W12" s="14"/>
      <c r="X12" s="13"/>
    </row>
    <row r="13" spans="1:24" x14ac:dyDescent="0.3">
      <c r="A13" s="38"/>
      <c r="B13" s="39"/>
      <c r="C13" s="98">
        <v>25000</v>
      </c>
      <c r="D13" s="47" t="s">
        <v>1126</v>
      </c>
      <c r="E13" s="36"/>
      <c r="F13" s="36"/>
      <c r="G13" s="36"/>
      <c r="H13" s="37"/>
      <c r="I13" s="14"/>
      <c r="K13" s="26" t="s">
        <v>1127</v>
      </c>
      <c r="L13" s="341" t="str">
        <f>TEXT(C9,"#%")&amp;" * "&amp;TEXT(C12,"$#,###")&amp;" = "&amp;TEXT(C9*C12,"$#,###")</f>
        <v>65% * $75,000 = $48,750</v>
      </c>
      <c r="M13" s="341"/>
      <c r="N13" s="341"/>
      <c r="T13" s="13"/>
      <c r="U13" s="13"/>
      <c r="V13" s="13"/>
      <c r="W13" s="14"/>
      <c r="X13" s="13"/>
    </row>
    <row r="14" spans="1:24" x14ac:dyDescent="0.3">
      <c r="A14" s="38"/>
      <c r="B14" s="39"/>
      <c r="C14" s="36"/>
      <c r="D14" s="36"/>
      <c r="E14" s="36"/>
      <c r="F14" s="36"/>
      <c r="G14" s="36"/>
      <c r="H14" s="37"/>
      <c r="I14" s="14"/>
      <c r="K14" s="26" t="s">
        <v>1128</v>
      </c>
      <c r="L14" s="341" t="str">
        <f>TEXT(C9,"#%")&amp;" * "&amp;TEXT(C13,"$#,###")&amp;" = "&amp;TEXT(C9*C13,"$#,###")</f>
        <v>65% * $25,000 = $16,250</v>
      </c>
      <c r="M14" s="341"/>
      <c r="N14" s="341"/>
      <c r="T14" s="13"/>
      <c r="U14" s="13"/>
      <c r="V14" s="13"/>
      <c r="W14" s="14"/>
      <c r="X14" s="13"/>
    </row>
    <row r="15" spans="1:24" x14ac:dyDescent="0.3">
      <c r="A15" s="45"/>
      <c r="B15" s="36"/>
      <c r="C15" s="48" t="s">
        <v>1115</v>
      </c>
      <c r="D15" s="49" t="s">
        <v>1118</v>
      </c>
      <c r="E15" s="36"/>
      <c r="F15" s="36"/>
      <c r="G15" s="36"/>
      <c r="H15" s="37"/>
      <c r="I15" s="14"/>
      <c r="T15" s="13"/>
      <c r="U15" s="13"/>
      <c r="V15" s="13"/>
      <c r="W15" s="14"/>
      <c r="X15" s="13"/>
    </row>
    <row r="16" spans="1:24" x14ac:dyDescent="0.3">
      <c r="A16" s="45"/>
      <c r="B16" s="36"/>
      <c r="C16" s="531">
        <v>41244</v>
      </c>
      <c r="D16" s="43" t="s">
        <v>1129</v>
      </c>
      <c r="E16" s="36"/>
      <c r="F16" s="36"/>
      <c r="G16" s="36"/>
      <c r="H16" s="37"/>
      <c r="I16" s="14"/>
      <c r="J16" t="s">
        <v>1131</v>
      </c>
      <c r="T16" s="13"/>
      <c r="U16" s="13"/>
      <c r="V16" s="13"/>
      <c r="W16" s="14"/>
      <c r="X16" s="13"/>
    </row>
    <row r="17" spans="1:24" x14ac:dyDescent="0.3">
      <c r="A17" s="45"/>
      <c r="B17" s="36"/>
      <c r="C17" s="533">
        <v>40878</v>
      </c>
      <c r="D17" s="46" t="s">
        <v>1130</v>
      </c>
      <c r="E17" s="36"/>
      <c r="F17" s="36"/>
      <c r="G17" s="36"/>
      <c r="H17" s="37"/>
      <c r="I17" s="14"/>
      <c r="J17" s="58"/>
      <c r="K17" s="269"/>
      <c r="L17" s="58"/>
      <c r="M17" s="269"/>
      <c r="N17" s="58"/>
      <c r="O17" s="269"/>
      <c r="P17" s="58"/>
      <c r="Q17" s="158" t="s">
        <v>1154</v>
      </c>
      <c r="T17" s="13"/>
      <c r="U17" s="13"/>
      <c r="V17" s="13"/>
      <c r="W17" s="14"/>
      <c r="X17" s="13"/>
    </row>
    <row r="18" spans="1:24" x14ac:dyDescent="0.3">
      <c r="A18" s="45"/>
      <c r="B18" s="36"/>
      <c r="C18" s="534">
        <v>40513</v>
      </c>
      <c r="D18" s="47" t="s">
        <v>1130</v>
      </c>
      <c r="E18" s="36"/>
      <c r="F18" s="36"/>
      <c r="G18" s="36"/>
      <c r="H18" s="37"/>
      <c r="I18" s="14"/>
      <c r="J18" s="555" t="s">
        <v>1156</v>
      </c>
      <c r="K18" s="174" t="s">
        <v>1137</v>
      </c>
      <c r="L18" s="555" t="s">
        <v>1118</v>
      </c>
      <c r="M18" s="174" t="s">
        <v>1157</v>
      </c>
      <c r="N18" s="555" t="s">
        <v>1158</v>
      </c>
      <c r="O18" s="174" t="s">
        <v>1159</v>
      </c>
      <c r="P18" s="555" t="s">
        <v>1160</v>
      </c>
      <c r="Q18" s="280" t="s">
        <v>1155</v>
      </c>
      <c r="T18" s="13"/>
      <c r="U18" s="13"/>
      <c r="V18" s="13"/>
      <c r="W18" s="14"/>
      <c r="X18" s="13"/>
    </row>
    <row r="19" spans="1:24" x14ac:dyDescent="0.3">
      <c r="A19" s="45"/>
      <c r="B19" s="36"/>
      <c r="C19" s="36"/>
      <c r="D19" s="36"/>
      <c r="E19" s="36"/>
      <c r="F19" s="36"/>
      <c r="G19" s="36"/>
      <c r="H19" s="37"/>
      <c r="I19" s="14"/>
      <c r="J19" s="556" t="s">
        <v>566</v>
      </c>
      <c r="K19" s="553" t="s">
        <v>567</v>
      </c>
      <c r="L19" s="556" t="s">
        <v>568</v>
      </c>
      <c r="M19" s="553" t="s">
        <v>569</v>
      </c>
      <c r="N19" s="556" t="s">
        <v>570</v>
      </c>
      <c r="O19" s="553" t="s">
        <v>571</v>
      </c>
      <c r="P19" s="556" t="s">
        <v>577</v>
      </c>
      <c r="Q19" s="554" t="s">
        <v>578</v>
      </c>
      <c r="T19" s="13"/>
      <c r="U19" s="13"/>
      <c r="V19" s="13"/>
      <c r="W19" s="14"/>
      <c r="X19" s="13"/>
    </row>
    <row r="20" spans="1:24" x14ac:dyDescent="0.3">
      <c r="A20" s="35" t="s">
        <v>173</v>
      </c>
      <c r="B20" s="36"/>
      <c r="C20" s="36" t="s">
        <v>1132</v>
      </c>
      <c r="D20" s="36"/>
      <c r="E20" s="36"/>
      <c r="F20" s="36"/>
      <c r="G20" s="36"/>
      <c r="H20" s="37"/>
      <c r="I20" s="14"/>
      <c r="J20" s="58">
        <v>2012</v>
      </c>
      <c r="K20" s="269" t="s">
        <v>1133</v>
      </c>
      <c r="L20" s="58" t="s">
        <v>1134</v>
      </c>
      <c r="M20" s="535">
        <f>$C$9*C12</f>
        <v>48750</v>
      </c>
      <c r="N20" s="536">
        <f>$E$26</f>
        <v>1.2</v>
      </c>
      <c r="O20" s="537">
        <f>$G$31</f>
        <v>0.47</v>
      </c>
      <c r="P20" s="538">
        <f t="shared" ref="P20:P25" si="0">E36</f>
        <v>0.90700000000000003</v>
      </c>
      <c r="Q20" s="115">
        <f>ROUND(PRODUCT(M20:P20),0)</f>
        <v>24938</v>
      </c>
      <c r="T20" s="13"/>
      <c r="U20" s="13"/>
      <c r="V20" s="13"/>
      <c r="W20" s="14"/>
      <c r="X20" s="13"/>
    </row>
    <row r="21" spans="1:24" x14ac:dyDescent="0.3">
      <c r="A21" s="45"/>
      <c r="B21" s="36"/>
      <c r="C21" s="36"/>
      <c r="D21" s="36"/>
      <c r="E21" s="36"/>
      <c r="F21" s="36"/>
      <c r="G21" s="36"/>
      <c r="H21" s="37"/>
      <c r="I21" s="14"/>
      <c r="J21" s="67">
        <v>2012</v>
      </c>
      <c r="K21" s="110" t="s">
        <v>1126</v>
      </c>
      <c r="L21" s="67" t="s">
        <v>1134</v>
      </c>
      <c r="M21" s="539">
        <f>$C$9*C13</f>
        <v>16250</v>
      </c>
      <c r="N21" s="540">
        <f>$E$27</f>
        <v>1.59</v>
      </c>
      <c r="O21" s="541">
        <f>$G$32</f>
        <v>0.22</v>
      </c>
      <c r="P21" s="540">
        <f t="shared" si="0"/>
        <v>0.88200000000000001</v>
      </c>
      <c r="Q21" s="118">
        <f t="shared" ref="Q21:Q25" si="1">ROUND(PRODUCT(M21:P21),0)</f>
        <v>5014</v>
      </c>
      <c r="S21" s="13"/>
      <c r="T21" s="13"/>
      <c r="U21" s="13"/>
      <c r="V21" s="13"/>
      <c r="W21" s="14"/>
      <c r="X21" s="13"/>
    </row>
    <row r="22" spans="1:24" x14ac:dyDescent="0.3">
      <c r="A22" s="45"/>
      <c r="B22" s="550">
        <v>1</v>
      </c>
      <c r="C22" s="36" t="s">
        <v>1135</v>
      </c>
      <c r="D22" s="36"/>
      <c r="E22" s="36"/>
      <c r="F22" s="36"/>
      <c r="G22" s="36"/>
      <c r="H22" s="37"/>
      <c r="I22" s="14"/>
      <c r="J22" s="58">
        <v>2011</v>
      </c>
      <c r="K22" s="269" t="s">
        <v>1133</v>
      </c>
      <c r="L22" s="58" t="s">
        <v>1130</v>
      </c>
      <c r="M22" s="535">
        <f>$C$9*C12</f>
        <v>48750</v>
      </c>
      <c r="N22" s="536">
        <f>$E$26</f>
        <v>1.2</v>
      </c>
      <c r="O22" s="542">
        <f>$D$31</f>
        <v>1</v>
      </c>
      <c r="P22" s="538">
        <f t="shared" si="0"/>
        <v>0.86399999999999999</v>
      </c>
      <c r="Q22" s="115">
        <f t="shared" si="1"/>
        <v>50544</v>
      </c>
      <c r="R22" s="13"/>
      <c r="S22" s="13"/>
      <c r="T22" s="13"/>
      <c r="U22" s="13"/>
      <c r="V22" s="13"/>
      <c r="W22" s="14"/>
      <c r="X22" s="13"/>
    </row>
    <row r="23" spans="1:24" ht="15" customHeight="1" x14ac:dyDescent="0.3">
      <c r="A23" s="45"/>
      <c r="B23" s="36"/>
      <c r="C23" s="36"/>
      <c r="D23" s="36"/>
      <c r="E23" s="36"/>
      <c r="F23" s="36"/>
      <c r="G23" s="36"/>
      <c r="H23" s="37"/>
      <c r="I23" s="14"/>
      <c r="J23" s="67">
        <v>2011</v>
      </c>
      <c r="K23" s="110" t="s">
        <v>1126</v>
      </c>
      <c r="L23" s="67" t="s">
        <v>1130</v>
      </c>
      <c r="M23" s="539">
        <f>$C$9*C13</f>
        <v>16250</v>
      </c>
      <c r="N23" s="540">
        <f>$E$27</f>
        <v>1.59</v>
      </c>
      <c r="O23" s="543">
        <f>$D$32</f>
        <v>1</v>
      </c>
      <c r="P23" s="540">
        <f t="shared" si="0"/>
        <v>0.82799999999999996</v>
      </c>
      <c r="Q23" s="118">
        <f t="shared" si="1"/>
        <v>21393</v>
      </c>
      <c r="R23" s="13"/>
      <c r="S23" s="13"/>
      <c r="T23" s="13"/>
      <c r="U23" s="13"/>
      <c r="V23" s="13"/>
      <c r="W23" s="14"/>
      <c r="X23" s="13"/>
    </row>
    <row r="24" spans="1:24" ht="15" customHeight="1" x14ac:dyDescent="0.3">
      <c r="A24" s="45"/>
      <c r="B24" s="36"/>
      <c r="C24" s="551" t="s">
        <v>1136</v>
      </c>
      <c r="D24" s="36"/>
      <c r="E24" s="36"/>
      <c r="F24" s="36"/>
      <c r="G24" s="36"/>
      <c r="H24" s="37"/>
      <c r="I24" s="14"/>
      <c r="J24" s="100">
        <v>2010</v>
      </c>
      <c r="K24" s="10" t="s">
        <v>1133</v>
      </c>
      <c r="L24" s="100" t="s">
        <v>1130</v>
      </c>
      <c r="M24" s="544">
        <f>$C$9*C12</f>
        <v>48750</v>
      </c>
      <c r="N24" s="545">
        <f>$E$26</f>
        <v>1.2</v>
      </c>
      <c r="O24" s="546">
        <f>$D$31</f>
        <v>1</v>
      </c>
      <c r="P24" s="547">
        <f t="shared" si="0"/>
        <v>0.82299999999999995</v>
      </c>
      <c r="Q24" s="116">
        <f t="shared" si="1"/>
        <v>48146</v>
      </c>
      <c r="R24" s="13"/>
      <c r="S24" s="13"/>
      <c r="T24" s="13"/>
      <c r="U24" s="13"/>
      <c r="V24" s="13"/>
      <c r="W24" s="14"/>
      <c r="X24" s="13"/>
    </row>
    <row r="25" spans="1:24" ht="15" customHeight="1" x14ac:dyDescent="0.3">
      <c r="A25" s="45"/>
      <c r="B25" s="36"/>
      <c r="C25" s="333" t="s">
        <v>1137</v>
      </c>
      <c r="D25" s="48" t="s">
        <v>1130</v>
      </c>
      <c r="E25" s="212" t="s">
        <v>1138</v>
      </c>
      <c r="F25" s="48" t="s">
        <v>1139</v>
      </c>
      <c r="G25" s="48" t="s">
        <v>1134</v>
      </c>
      <c r="H25" s="37"/>
      <c r="I25" s="14"/>
      <c r="J25" s="67">
        <v>2010</v>
      </c>
      <c r="K25" s="110" t="s">
        <v>1126</v>
      </c>
      <c r="L25" s="67" t="s">
        <v>1130</v>
      </c>
      <c r="M25" s="539">
        <f>$C$9*C13</f>
        <v>16250</v>
      </c>
      <c r="N25" s="540">
        <f>$E$27</f>
        <v>1.59</v>
      </c>
      <c r="O25" s="543">
        <f>$D$32</f>
        <v>1</v>
      </c>
      <c r="P25" s="540">
        <f t="shared" si="0"/>
        <v>0.77700000000000002</v>
      </c>
      <c r="Q25" s="118">
        <f t="shared" si="1"/>
        <v>20076</v>
      </c>
      <c r="R25" s="13"/>
      <c r="S25" s="13"/>
      <c r="T25" s="13"/>
      <c r="U25" s="13"/>
      <c r="V25" s="13"/>
      <c r="W25" s="14"/>
      <c r="X25" s="13"/>
    </row>
    <row r="26" spans="1:24" ht="15" customHeight="1" thickBot="1" x14ac:dyDescent="0.35">
      <c r="A26" s="45"/>
      <c r="B26" s="36"/>
      <c r="C26" s="77" t="s">
        <v>1133</v>
      </c>
      <c r="D26" s="155">
        <v>1</v>
      </c>
      <c r="E26" s="401">
        <v>1.2</v>
      </c>
      <c r="F26" s="20">
        <v>1.32</v>
      </c>
      <c r="G26" s="20">
        <v>1.62</v>
      </c>
      <c r="H26" s="37"/>
      <c r="I26" s="14"/>
      <c r="Q26" s="548">
        <f>SUM(Q20:Q25)</f>
        <v>170111</v>
      </c>
      <c r="R26" s="19" t="s">
        <v>1140</v>
      </c>
      <c r="S26" s="13"/>
      <c r="T26" s="13"/>
      <c r="U26" s="13"/>
      <c r="V26" s="13"/>
      <c r="W26" s="14"/>
      <c r="X26" s="13"/>
    </row>
    <row r="27" spans="1:24" ht="15" customHeight="1" x14ac:dyDescent="0.3">
      <c r="A27" s="45"/>
      <c r="B27" s="36"/>
      <c r="C27" s="82" t="s">
        <v>1126</v>
      </c>
      <c r="D27" s="162">
        <v>1</v>
      </c>
      <c r="E27" s="319">
        <v>1.59</v>
      </c>
      <c r="F27" s="22">
        <v>2.0299999999999998</v>
      </c>
      <c r="G27" s="22">
        <v>2.39</v>
      </c>
      <c r="H27" s="37"/>
      <c r="I27" s="14"/>
      <c r="J27" s="198" t="s">
        <v>1141</v>
      </c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3">
      <c r="A28" s="45"/>
      <c r="B28" s="36"/>
      <c r="C28" s="36"/>
      <c r="D28" s="36"/>
      <c r="E28" s="36"/>
      <c r="F28" s="36"/>
      <c r="G28" s="36"/>
      <c r="H28" s="37"/>
      <c r="I28" s="14"/>
      <c r="J28" t="s">
        <v>1143</v>
      </c>
      <c r="Q28" s="13"/>
      <c r="R28" s="13"/>
      <c r="S28" s="13"/>
      <c r="T28" s="13"/>
      <c r="U28" s="13"/>
      <c r="V28" s="13"/>
      <c r="W28" s="14"/>
      <c r="X28" s="13"/>
    </row>
    <row r="29" spans="1:24" x14ac:dyDescent="0.3">
      <c r="A29" s="45"/>
      <c r="B29" s="36"/>
      <c r="C29" s="552" t="s">
        <v>1142</v>
      </c>
      <c r="D29" s="36"/>
      <c r="E29" s="36"/>
      <c r="F29" s="36"/>
      <c r="G29" s="36"/>
      <c r="H29" s="37"/>
      <c r="I29" s="14"/>
      <c r="J29" t="s">
        <v>1144</v>
      </c>
      <c r="Q29" s="13"/>
      <c r="R29" s="13"/>
      <c r="S29" s="13"/>
      <c r="T29" s="13"/>
      <c r="U29" s="13"/>
      <c r="V29" s="13"/>
      <c r="W29" s="14"/>
      <c r="X29" s="13"/>
    </row>
    <row r="30" spans="1:24" x14ac:dyDescent="0.3">
      <c r="A30" s="45"/>
      <c r="B30" s="36"/>
      <c r="C30" s="333" t="s">
        <v>1137</v>
      </c>
      <c r="D30" s="48" t="s">
        <v>1130</v>
      </c>
      <c r="E30" s="212" t="s">
        <v>1138</v>
      </c>
      <c r="F30" s="48" t="s">
        <v>1139</v>
      </c>
      <c r="G30" s="48" t="s">
        <v>1134</v>
      </c>
      <c r="H30" s="37"/>
      <c r="I30" s="14"/>
      <c r="J30" t="s">
        <v>1145</v>
      </c>
      <c r="Q30" s="13"/>
      <c r="R30" s="13"/>
      <c r="S30" s="13"/>
      <c r="T30" s="13"/>
      <c r="U30" s="13"/>
      <c r="V30" s="13"/>
      <c r="W30" s="14"/>
      <c r="X30" s="13"/>
    </row>
    <row r="31" spans="1:24" x14ac:dyDescent="0.3">
      <c r="A31" s="45"/>
      <c r="B31" s="36"/>
      <c r="C31" s="77" t="s">
        <v>1133</v>
      </c>
      <c r="D31" s="155">
        <v>1</v>
      </c>
      <c r="E31" s="401">
        <v>0.78</v>
      </c>
      <c r="F31" s="20">
        <v>0.67</v>
      </c>
      <c r="G31" s="20">
        <v>0.47</v>
      </c>
      <c r="H31" s="37"/>
      <c r="I31" s="14"/>
      <c r="J31" t="s">
        <v>1146</v>
      </c>
      <c r="Q31" s="13"/>
      <c r="R31" s="13"/>
      <c r="S31" s="13"/>
      <c r="T31" s="13"/>
      <c r="U31" s="13"/>
      <c r="V31" s="13"/>
      <c r="W31" s="14"/>
      <c r="X31" s="13"/>
    </row>
    <row r="32" spans="1:24" x14ac:dyDescent="0.3">
      <c r="A32" s="45"/>
      <c r="B32" s="36"/>
      <c r="C32" s="82" t="s">
        <v>1126</v>
      </c>
      <c r="D32" s="162">
        <v>1</v>
      </c>
      <c r="E32" s="319">
        <v>0.43</v>
      </c>
      <c r="F32" s="22">
        <v>0.35</v>
      </c>
      <c r="G32" s="22">
        <v>0.22</v>
      </c>
      <c r="H32" s="37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A33" s="45"/>
      <c r="B33" s="36"/>
      <c r="C33" s="36"/>
      <c r="D33" s="36"/>
      <c r="E33" s="36"/>
      <c r="F33" s="36"/>
      <c r="G33" s="36"/>
      <c r="H33" s="37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3">
      <c r="A34" s="45"/>
      <c r="B34" s="36"/>
      <c r="C34" s="552" t="s">
        <v>1147</v>
      </c>
      <c r="D34" s="36"/>
      <c r="E34" s="36"/>
      <c r="F34" s="36"/>
      <c r="G34" s="36"/>
      <c r="H34" s="37"/>
      <c r="I34" s="14"/>
      <c r="Q34" s="13"/>
      <c r="R34" s="13"/>
      <c r="S34" s="13"/>
      <c r="T34" s="13"/>
      <c r="U34" s="13"/>
      <c r="V34" s="13"/>
      <c r="W34" s="14"/>
      <c r="X34" s="13"/>
    </row>
    <row r="35" spans="1:24" ht="28.8" x14ac:dyDescent="0.3">
      <c r="A35" s="45"/>
      <c r="B35" s="36"/>
      <c r="C35" s="334" t="s">
        <v>1148</v>
      </c>
      <c r="D35" s="333" t="s">
        <v>1137</v>
      </c>
      <c r="E35" s="48" t="s">
        <v>1149</v>
      </c>
      <c r="F35" s="96" t="s">
        <v>1150</v>
      </c>
      <c r="G35" s="36"/>
      <c r="H35" s="37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3">
      <c r="A36" s="45"/>
      <c r="B36" s="36"/>
      <c r="C36" s="777" t="s">
        <v>1151</v>
      </c>
      <c r="D36" s="80" t="s">
        <v>1133</v>
      </c>
      <c r="E36" s="17">
        <v>0.90700000000000003</v>
      </c>
      <c r="F36" s="17">
        <v>0.92600000000000005</v>
      </c>
      <c r="G36" s="36"/>
      <c r="H36" s="37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3">
      <c r="A37" s="45"/>
      <c r="B37" s="36"/>
      <c r="C37" s="778"/>
      <c r="D37" s="82" t="s">
        <v>1126</v>
      </c>
      <c r="E37" s="22">
        <v>0.88200000000000001</v>
      </c>
      <c r="F37" s="22">
        <v>0.90100000000000002</v>
      </c>
      <c r="G37" s="36"/>
      <c r="H37" s="37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A38" s="45"/>
      <c r="B38" s="36"/>
      <c r="C38" s="777" t="s">
        <v>1152</v>
      </c>
      <c r="D38" s="80" t="s">
        <v>1133</v>
      </c>
      <c r="E38" s="17">
        <v>0.86399999999999999</v>
      </c>
      <c r="F38" s="17">
        <v>0.89200000000000002</v>
      </c>
      <c r="G38" s="36"/>
      <c r="H38" s="37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38"/>
      <c r="B39" s="39"/>
      <c r="C39" s="778"/>
      <c r="D39" s="82" t="s">
        <v>1126</v>
      </c>
      <c r="E39" s="22">
        <v>0.82799999999999996</v>
      </c>
      <c r="F39" s="22">
        <v>0.85399999999999998</v>
      </c>
      <c r="G39" s="36"/>
      <c r="H39" s="37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3">
      <c r="A40" s="45"/>
      <c r="B40" s="36"/>
      <c r="C40" s="777" t="s">
        <v>1153</v>
      </c>
      <c r="D40" s="77" t="s">
        <v>1133</v>
      </c>
      <c r="E40" s="20">
        <v>0.82299999999999995</v>
      </c>
      <c r="F40" s="20">
        <v>0.85799999999999998</v>
      </c>
      <c r="G40" s="36"/>
      <c r="H40" s="37"/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A41" s="45"/>
      <c r="B41" s="36"/>
      <c r="C41" s="778"/>
      <c r="D41" s="82" t="s">
        <v>1126</v>
      </c>
      <c r="E41" s="22">
        <v>0.77700000000000002</v>
      </c>
      <c r="F41" s="549">
        <v>0.81</v>
      </c>
      <c r="G41" s="36"/>
      <c r="H41" s="37"/>
      <c r="I41" s="14"/>
      <c r="Q41" s="13"/>
      <c r="R41" s="13"/>
      <c r="S41" s="13"/>
      <c r="T41" s="13"/>
      <c r="U41" s="13"/>
      <c r="V41" s="13"/>
      <c r="W41" s="14"/>
      <c r="X41" s="13"/>
    </row>
    <row r="42" spans="1:24" ht="15" thickBot="1" x14ac:dyDescent="0.35">
      <c r="A42" s="53"/>
      <c r="B42" s="54"/>
      <c r="C42" s="54"/>
      <c r="D42" s="54"/>
      <c r="E42" s="54"/>
      <c r="F42" s="54"/>
      <c r="G42" s="54"/>
      <c r="H42" s="55"/>
      <c r="I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3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3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3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3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3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3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3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3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3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3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3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3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3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3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3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3">
      <c r="I65" s="14"/>
      <c r="W65" s="14"/>
    </row>
    <row r="66" spans="9:23" x14ac:dyDescent="0.3">
      <c r="I66" s="14"/>
      <c r="W66" s="14"/>
    </row>
    <row r="67" spans="9:23" x14ac:dyDescent="0.3">
      <c r="I67" s="14"/>
      <c r="W67" s="14"/>
    </row>
    <row r="68" spans="9:23" x14ac:dyDescent="0.3">
      <c r="I68" s="14"/>
      <c r="W68" s="14"/>
    </row>
    <row r="69" spans="9:23" x14ac:dyDescent="0.3">
      <c r="I69" s="14"/>
      <c r="W69" s="14"/>
    </row>
    <row r="70" spans="9:23" x14ac:dyDescent="0.3">
      <c r="I70" s="14"/>
      <c r="W70" s="14"/>
    </row>
    <row r="71" spans="9:23" x14ac:dyDescent="0.3">
      <c r="I71" s="14"/>
      <c r="W71" s="14"/>
    </row>
    <row r="72" spans="9:23" x14ac:dyDescent="0.3">
      <c r="I72" s="14"/>
      <c r="W72" s="14"/>
    </row>
    <row r="73" spans="9:23" x14ac:dyDescent="0.3">
      <c r="I73" s="14"/>
      <c r="W73" s="14"/>
    </row>
    <row r="74" spans="9:23" x14ac:dyDescent="0.3">
      <c r="I74" s="14"/>
      <c r="W74" s="14"/>
    </row>
    <row r="75" spans="9:23" x14ac:dyDescent="0.3">
      <c r="I75" s="14"/>
      <c r="W75" s="14"/>
    </row>
    <row r="76" spans="9:23" x14ac:dyDescent="0.3">
      <c r="I76" s="14"/>
      <c r="W76" s="14"/>
    </row>
    <row r="77" spans="9:23" x14ac:dyDescent="0.3">
      <c r="I77" s="14"/>
      <c r="W77" s="14"/>
    </row>
    <row r="78" spans="9:23" x14ac:dyDescent="0.3">
      <c r="I78" s="14"/>
      <c r="W78" s="14"/>
    </row>
    <row r="79" spans="9:23" x14ac:dyDescent="0.3">
      <c r="I79" s="14"/>
      <c r="W79" s="14"/>
    </row>
    <row r="80" spans="9:23" x14ac:dyDescent="0.3">
      <c r="I80" s="14"/>
      <c r="W80" s="14"/>
    </row>
    <row r="81" spans="9:23" x14ac:dyDescent="0.3">
      <c r="I81" s="14"/>
      <c r="W81" s="14"/>
    </row>
    <row r="82" spans="9:23" x14ac:dyDescent="0.3">
      <c r="I82" s="14"/>
      <c r="W82" s="14"/>
    </row>
    <row r="83" spans="9:23" x14ac:dyDescent="0.3">
      <c r="I83" s="14"/>
      <c r="W83" s="14"/>
    </row>
    <row r="84" spans="9:23" x14ac:dyDescent="0.3">
      <c r="I84" s="14"/>
      <c r="W84" s="14"/>
    </row>
    <row r="85" spans="9:23" x14ac:dyDescent="0.3">
      <c r="I85" s="14"/>
      <c r="W85" s="14"/>
    </row>
    <row r="86" spans="9:23" x14ac:dyDescent="0.3">
      <c r="I86" s="14"/>
      <c r="W86" s="14"/>
    </row>
    <row r="87" spans="9:23" x14ac:dyDescent="0.3">
      <c r="I87" s="14"/>
      <c r="W87" s="14"/>
    </row>
    <row r="88" spans="9:23" x14ac:dyDescent="0.3">
      <c r="I88" s="14"/>
      <c r="W88" s="14"/>
    </row>
    <row r="89" spans="9:23" x14ac:dyDescent="0.3">
      <c r="I89" s="14"/>
      <c r="W89" s="14"/>
    </row>
    <row r="90" spans="9:23" x14ac:dyDescent="0.3">
      <c r="I90" s="14"/>
      <c r="W90" s="14"/>
    </row>
    <row r="91" spans="9:23" x14ac:dyDescent="0.3">
      <c r="I91" s="14"/>
      <c r="W91" s="14"/>
    </row>
    <row r="92" spans="9:23" x14ac:dyDescent="0.3">
      <c r="I92" s="14"/>
      <c r="W92" s="14"/>
    </row>
    <row r="93" spans="9:23" x14ac:dyDescent="0.3">
      <c r="I93" s="14"/>
      <c r="W93" s="14"/>
    </row>
    <row r="94" spans="9:23" x14ac:dyDescent="0.3">
      <c r="I94" s="14"/>
      <c r="W94" s="14"/>
    </row>
    <row r="95" spans="9:23" x14ac:dyDescent="0.3">
      <c r="I95" s="14"/>
      <c r="W95" s="14"/>
    </row>
    <row r="96" spans="9:23" x14ac:dyDescent="0.3">
      <c r="I96" s="14"/>
      <c r="W96" s="14"/>
    </row>
    <row r="97" spans="1:23" x14ac:dyDescent="0.3">
      <c r="I97" s="14"/>
      <c r="W97" s="14"/>
    </row>
    <row r="98" spans="1:23" x14ac:dyDescent="0.3">
      <c r="I98" s="14"/>
      <c r="W98" s="14"/>
    </row>
    <row r="99" spans="1:23" x14ac:dyDescent="0.3">
      <c r="I99" s="14"/>
      <c r="W99" s="14"/>
    </row>
    <row r="100" spans="1:23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3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3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3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3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3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3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3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3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3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3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3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3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3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3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3">
      <c r="I115" s="14"/>
      <c r="W115" s="14"/>
    </row>
    <row r="116" spans="9:23" x14ac:dyDescent="0.3">
      <c r="I116" s="14"/>
      <c r="W116" s="14"/>
    </row>
    <row r="117" spans="9:23" x14ac:dyDescent="0.3">
      <c r="I117" s="14"/>
      <c r="W117" s="14"/>
    </row>
    <row r="118" spans="9:23" x14ac:dyDescent="0.3">
      <c r="I118" s="14"/>
      <c r="W118" s="14"/>
    </row>
    <row r="119" spans="9:23" x14ac:dyDescent="0.3">
      <c r="I119" s="14"/>
      <c r="W119" s="14"/>
    </row>
    <row r="120" spans="9:23" x14ac:dyDescent="0.3">
      <c r="I120" s="14"/>
      <c r="W120" s="14"/>
    </row>
    <row r="121" spans="9:23" x14ac:dyDescent="0.3">
      <c r="I121" s="14"/>
      <c r="W121" s="14"/>
    </row>
    <row r="122" spans="9:23" x14ac:dyDescent="0.3">
      <c r="I122" s="14"/>
      <c r="W122" s="14"/>
    </row>
    <row r="123" spans="9:23" x14ac:dyDescent="0.3">
      <c r="I123" s="14"/>
      <c r="W123" s="14"/>
    </row>
    <row r="124" spans="9:23" x14ac:dyDescent="0.3">
      <c r="I124" s="14"/>
      <c r="W124" s="14"/>
    </row>
    <row r="125" spans="9:23" x14ac:dyDescent="0.3">
      <c r="I125" s="14"/>
      <c r="W125" s="14"/>
    </row>
    <row r="126" spans="9:23" x14ac:dyDescent="0.3">
      <c r="I126" s="14"/>
      <c r="W126" s="14"/>
    </row>
    <row r="127" spans="9:23" x14ac:dyDescent="0.3">
      <c r="I127" s="14"/>
      <c r="W127" s="14"/>
    </row>
    <row r="128" spans="9:23" x14ac:dyDescent="0.3">
      <c r="I128" s="14"/>
      <c r="W128" s="14"/>
    </row>
    <row r="129" spans="9:23" x14ac:dyDescent="0.3">
      <c r="I129" s="14"/>
      <c r="W129" s="14"/>
    </row>
    <row r="130" spans="9:23" x14ac:dyDescent="0.3">
      <c r="I130" s="14"/>
      <c r="W130" s="14"/>
    </row>
    <row r="131" spans="9:23" x14ac:dyDescent="0.3">
      <c r="I131" s="14"/>
      <c r="W131" s="14"/>
    </row>
    <row r="132" spans="9:23" x14ac:dyDescent="0.3">
      <c r="I132" s="14"/>
      <c r="W132" s="14"/>
    </row>
    <row r="133" spans="9:23" x14ac:dyDescent="0.3">
      <c r="I133" s="14"/>
      <c r="W133" s="14"/>
    </row>
    <row r="134" spans="9:23" x14ac:dyDescent="0.3">
      <c r="I134" s="14"/>
      <c r="W134" s="14"/>
    </row>
    <row r="135" spans="9:23" x14ac:dyDescent="0.3">
      <c r="I135" s="14"/>
      <c r="W135" s="14"/>
    </row>
    <row r="136" spans="9:23" x14ac:dyDescent="0.3">
      <c r="I136" s="14"/>
      <c r="W136" s="14"/>
    </row>
    <row r="137" spans="9:23" x14ac:dyDescent="0.3">
      <c r="I137" s="14"/>
      <c r="W137" s="14"/>
    </row>
    <row r="138" spans="9:23" x14ac:dyDescent="0.3">
      <c r="I138" s="14"/>
      <c r="W138" s="14"/>
    </row>
    <row r="139" spans="9:23" x14ac:dyDescent="0.3">
      <c r="I139" s="14"/>
      <c r="W139" s="14"/>
    </row>
    <row r="140" spans="9:23" x14ac:dyDescent="0.3">
      <c r="I140" s="14"/>
      <c r="W140" s="14"/>
    </row>
    <row r="141" spans="9:23" x14ac:dyDescent="0.3">
      <c r="I141" s="14"/>
      <c r="W141" s="14"/>
    </row>
    <row r="142" spans="9:23" x14ac:dyDescent="0.3">
      <c r="I142" s="14"/>
      <c r="W142" s="14"/>
    </row>
    <row r="143" spans="9:23" x14ac:dyDescent="0.3">
      <c r="I143" s="14"/>
      <c r="W143" s="14"/>
    </row>
    <row r="144" spans="9:23" x14ac:dyDescent="0.3">
      <c r="I144" s="14"/>
      <c r="W144" s="14"/>
    </row>
    <row r="145" spans="1:23" x14ac:dyDescent="0.3">
      <c r="I145" s="14"/>
      <c r="W145" s="14"/>
    </row>
    <row r="146" spans="1:23" x14ac:dyDescent="0.3">
      <c r="I146" s="14"/>
      <c r="W146" s="14"/>
    </row>
    <row r="147" spans="1:23" x14ac:dyDescent="0.3">
      <c r="I147" s="14"/>
      <c r="W147" s="14"/>
    </row>
    <row r="148" spans="1:23" x14ac:dyDescent="0.3">
      <c r="I148" s="14"/>
      <c r="W148" s="14"/>
    </row>
    <row r="149" spans="1:23" x14ac:dyDescent="0.3">
      <c r="I149" s="14"/>
      <c r="W149" s="14"/>
    </row>
    <row r="150" spans="1:23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3">
      <c r="I151" s="14"/>
      <c r="W151" s="14"/>
    </row>
    <row r="152" spans="1:23" x14ac:dyDescent="0.3">
      <c r="I152" s="14"/>
      <c r="W152" s="14"/>
    </row>
    <row r="153" spans="1:23" x14ac:dyDescent="0.3">
      <c r="I153" s="14"/>
      <c r="W153" s="14"/>
    </row>
    <row r="154" spans="1:23" x14ac:dyDescent="0.3">
      <c r="I154" s="14"/>
      <c r="W154" s="14"/>
    </row>
    <row r="155" spans="1:23" x14ac:dyDescent="0.3">
      <c r="I155" s="14"/>
      <c r="W155" s="14"/>
    </row>
    <row r="156" spans="1:23" x14ac:dyDescent="0.3">
      <c r="I156" s="14"/>
      <c r="W156" s="14"/>
    </row>
    <row r="157" spans="1:23" x14ac:dyDescent="0.3">
      <c r="I157" s="14"/>
      <c r="W157" s="14"/>
    </row>
    <row r="158" spans="1:23" x14ac:dyDescent="0.3">
      <c r="I158" s="14"/>
      <c r="W158" s="14"/>
    </row>
  </sheetData>
  <mergeCells count="4">
    <mergeCell ref="C36:C37"/>
    <mergeCell ref="C38:C39"/>
    <mergeCell ref="C40:C41"/>
    <mergeCell ref="G1:H1"/>
  </mergeCells>
  <hyperlinks>
    <hyperlink ref="G1" location="TOC!A1" display="Return to TOC" xr:uid="{0116D7B5-FFB4-4DBC-8AAD-14839C9248A5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3319-931A-47EE-94BA-52E54A14584C}">
  <sheetPr codeName="Sheet85"/>
  <dimension ref="A1:Y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109375" customWidth="1"/>
    <col min="3" max="3" width="16.88671875" customWidth="1"/>
    <col min="4" max="4" width="26.5546875" customWidth="1"/>
    <col min="5" max="5" width="12.88671875" bestFit="1" customWidth="1"/>
    <col min="6" max="6" width="12.33203125" customWidth="1"/>
    <col min="7" max="7" width="12.5546875" bestFit="1" customWidth="1"/>
    <col min="9" max="9" width="5.5546875" customWidth="1"/>
    <col min="10" max="10" width="2.6640625" customWidth="1"/>
    <col min="11" max="11" width="10.44140625" customWidth="1"/>
    <col min="12" max="12" width="9.5546875" customWidth="1"/>
    <col min="13" max="13" width="11.109375" bestFit="1" customWidth="1"/>
    <col min="14" max="14" width="15.44140625" customWidth="1"/>
    <col min="15" max="15" width="9.88671875" bestFit="1" customWidth="1"/>
    <col min="16" max="17" width="9.33203125" customWidth="1"/>
    <col min="18" max="18" width="17.88671875" customWidth="1"/>
    <col min="19" max="19" width="9.109375" customWidth="1"/>
    <col min="21" max="21" width="15" customWidth="1"/>
    <col min="22" max="24" width="9" customWidth="1"/>
  </cols>
  <sheetData>
    <row r="1" spans="1:25" x14ac:dyDescent="0.3">
      <c r="A1" s="32" t="s">
        <v>137</v>
      </c>
      <c r="B1" s="33"/>
      <c r="C1" s="33" t="s">
        <v>131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7"/>
      <c r="J2" s="10"/>
      <c r="K2" t="s">
        <v>1111</v>
      </c>
      <c r="X2" s="10"/>
    </row>
    <row r="3" spans="1:25" x14ac:dyDescent="0.3">
      <c r="A3" s="35" t="s">
        <v>141</v>
      </c>
      <c r="B3" s="36"/>
      <c r="C3" s="36" t="s">
        <v>1161</v>
      </c>
      <c r="D3" s="36"/>
      <c r="E3" s="36"/>
      <c r="F3" s="36"/>
      <c r="G3" s="36"/>
      <c r="H3" s="36"/>
      <c r="I3" s="37"/>
      <c r="J3" s="10"/>
      <c r="K3" t="s">
        <v>1112</v>
      </c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1162</v>
      </c>
      <c r="U4" s="13"/>
      <c r="V4" s="13"/>
      <c r="X4" s="14"/>
      <c r="Y4" s="13"/>
    </row>
    <row r="5" spans="1:25" ht="15" customHeight="1" x14ac:dyDescent="0.3">
      <c r="A5" s="41" t="s">
        <v>144</v>
      </c>
      <c r="B5" s="36"/>
      <c r="C5" s="36" t="s">
        <v>1113</v>
      </c>
      <c r="D5" s="36"/>
      <c r="E5" s="36"/>
      <c r="F5" s="36"/>
      <c r="G5" s="36"/>
      <c r="H5" s="36"/>
      <c r="I5" s="37"/>
      <c r="J5" s="14"/>
      <c r="U5" s="13"/>
      <c r="V5" s="13"/>
      <c r="W5" s="13"/>
      <c r="X5" s="14"/>
      <c r="Y5" s="13"/>
    </row>
    <row r="6" spans="1:25" x14ac:dyDescent="0.3">
      <c r="A6" s="45"/>
      <c r="B6" s="36"/>
      <c r="C6" s="36"/>
      <c r="D6" s="36"/>
      <c r="E6" s="36"/>
      <c r="F6" s="36"/>
      <c r="G6" s="36"/>
      <c r="H6" s="36"/>
      <c r="I6" s="37"/>
      <c r="J6" s="14"/>
      <c r="K6" t="s">
        <v>1163</v>
      </c>
      <c r="U6" s="13"/>
      <c r="V6" s="13"/>
      <c r="W6" s="13"/>
      <c r="X6" s="14"/>
      <c r="Y6" s="13"/>
    </row>
    <row r="7" spans="1:25" ht="15" customHeight="1" x14ac:dyDescent="0.3">
      <c r="A7" s="45"/>
      <c r="B7" s="36"/>
      <c r="C7" s="531">
        <v>42339</v>
      </c>
      <c r="D7" s="418" t="s">
        <v>1115</v>
      </c>
      <c r="E7" s="36"/>
      <c r="F7" s="36"/>
      <c r="G7" s="36"/>
      <c r="H7" s="36"/>
      <c r="I7" s="37"/>
      <c r="J7" s="14"/>
      <c r="K7" t="s">
        <v>1164</v>
      </c>
      <c r="U7" s="13"/>
      <c r="V7" s="13"/>
      <c r="W7" s="13"/>
      <c r="X7" s="14"/>
      <c r="Y7" s="13"/>
    </row>
    <row r="8" spans="1:25" ht="15" customHeight="1" x14ac:dyDescent="0.3">
      <c r="A8" s="41"/>
      <c r="B8" s="39"/>
      <c r="C8" s="20" t="s">
        <v>1117</v>
      </c>
      <c r="D8" s="575" t="s">
        <v>1118</v>
      </c>
      <c r="E8" s="36"/>
      <c r="F8" s="36"/>
      <c r="G8" s="36"/>
      <c r="H8" s="36"/>
      <c r="I8" s="37"/>
      <c r="J8" s="14"/>
      <c r="U8" s="13"/>
      <c r="V8" s="13"/>
      <c r="W8" s="13"/>
      <c r="X8" s="14"/>
      <c r="Y8" s="13"/>
    </row>
    <row r="9" spans="1:25" x14ac:dyDescent="0.3">
      <c r="A9" s="41"/>
      <c r="B9" s="39"/>
      <c r="C9" s="558">
        <v>0.7</v>
      </c>
      <c r="D9" s="575" t="s">
        <v>1120</v>
      </c>
      <c r="E9" s="36"/>
      <c r="F9" s="36"/>
      <c r="G9" s="36"/>
      <c r="H9" s="36"/>
      <c r="I9" s="37"/>
      <c r="J9" s="14"/>
      <c r="K9" t="s">
        <v>1165</v>
      </c>
      <c r="U9" s="13"/>
      <c r="V9" s="13"/>
      <c r="W9" s="13"/>
      <c r="X9" s="14"/>
      <c r="Y9" s="13"/>
    </row>
    <row r="10" spans="1:25" x14ac:dyDescent="0.3">
      <c r="A10" s="41"/>
      <c r="B10" s="39"/>
      <c r="C10" s="98">
        <v>100000</v>
      </c>
      <c r="D10" s="576" t="s">
        <v>1166</v>
      </c>
      <c r="E10" s="36"/>
      <c r="F10" s="36"/>
      <c r="G10" s="36"/>
      <c r="H10" s="36"/>
      <c r="I10" s="37"/>
      <c r="J10" s="14"/>
      <c r="K10" t="s">
        <v>1167</v>
      </c>
      <c r="U10" s="13"/>
      <c r="V10" s="13"/>
      <c r="W10" s="13"/>
      <c r="X10" s="14"/>
      <c r="Y10" s="13"/>
    </row>
    <row r="11" spans="1:25" x14ac:dyDescent="0.3">
      <c r="A11" s="38"/>
      <c r="B11" s="39"/>
      <c r="C11" s="36"/>
      <c r="D11" s="36"/>
      <c r="E11" s="36"/>
      <c r="F11" s="36"/>
      <c r="G11" s="36"/>
      <c r="H11" s="36"/>
      <c r="I11" s="37"/>
      <c r="J11" s="14"/>
      <c r="K11" t="s">
        <v>1168</v>
      </c>
      <c r="U11" s="13"/>
      <c r="V11" s="13"/>
      <c r="W11" s="13"/>
      <c r="X11" s="14"/>
      <c r="Y11" s="13"/>
    </row>
    <row r="12" spans="1:25" ht="16.2" x14ac:dyDescent="0.3">
      <c r="A12" s="38"/>
      <c r="B12" s="39"/>
      <c r="C12" s="36"/>
      <c r="D12" s="230" t="s">
        <v>1122</v>
      </c>
      <c r="E12" s="36"/>
      <c r="F12" s="36"/>
      <c r="G12" s="36"/>
      <c r="H12" s="36"/>
      <c r="I12" s="37"/>
      <c r="J12" s="14"/>
      <c r="U12" s="13"/>
      <c r="V12" s="13"/>
      <c r="W12" s="13"/>
      <c r="X12" s="14"/>
      <c r="Y12" s="13"/>
    </row>
    <row r="13" spans="1:25" x14ac:dyDescent="0.3">
      <c r="A13" s="38"/>
      <c r="B13" s="39"/>
      <c r="C13" s="325">
        <v>80000</v>
      </c>
      <c r="D13" s="43" t="s">
        <v>1124</v>
      </c>
      <c r="E13" s="36"/>
      <c r="F13" s="36"/>
      <c r="G13" s="36"/>
      <c r="H13" s="36"/>
      <c r="I13" s="37"/>
      <c r="J13" s="14"/>
      <c r="K13" t="s">
        <v>1169</v>
      </c>
      <c r="U13" s="13"/>
      <c r="V13" s="13"/>
      <c r="W13" s="13"/>
      <c r="X13" s="14"/>
      <c r="Y13" s="13"/>
    </row>
    <row r="14" spans="1:25" x14ac:dyDescent="0.3">
      <c r="A14" s="38"/>
      <c r="B14" s="39"/>
      <c r="C14" s="98">
        <v>30000</v>
      </c>
      <c r="D14" s="47" t="s">
        <v>1126</v>
      </c>
      <c r="E14" s="36"/>
      <c r="F14" s="36"/>
      <c r="G14" s="36"/>
      <c r="H14" s="36"/>
      <c r="I14" s="37"/>
      <c r="J14" s="14"/>
      <c r="K14" t="s">
        <v>1170</v>
      </c>
      <c r="U14" s="13"/>
      <c r="V14" s="13"/>
      <c r="W14" s="13"/>
      <c r="X14" s="14"/>
      <c r="Y14" s="13"/>
    </row>
    <row r="15" spans="1:25" x14ac:dyDescent="0.3">
      <c r="A15" s="38"/>
      <c r="B15" s="39"/>
      <c r="C15" s="475"/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3">
      <c r="A16" s="38"/>
      <c r="B16" s="39"/>
      <c r="C16" s="36" t="s">
        <v>1171</v>
      </c>
      <c r="D16" s="36"/>
      <c r="E16" s="36"/>
      <c r="F16" s="36"/>
      <c r="G16" s="36"/>
      <c r="H16" s="36"/>
      <c r="I16" s="37"/>
      <c r="J16" s="14"/>
      <c r="K16" s="560" t="s">
        <v>566</v>
      </c>
      <c r="L16" s="560" t="s">
        <v>567</v>
      </c>
      <c r="M16" s="560" t="s">
        <v>568</v>
      </c>
      <c r="N16" s="560" t="s">
        <v>569</v>
      </c>
      <c r="O16" s="560" t="s">
        <v>570</v>
      </c>
      <c r="P16" s="560" t="s">
        <v>571</v>
      </c>
      <c r="Q16" s="560" t="s">
        <v>577</v>
      </c>
      <c r="R16" s="560" t="s">
        <v>578</v>
      </c>
      <c r="S16" s="560" t="s">
        <v>579</v>
      </c>
      <c r="T16" s="560" t="s">
        <v>580</v>
      </c>
      <c r="U16" s="561" t="s">
        <v>547</v>
      </c>
      <c r="V16" s="13"/>
      <c r="W16" s="13"/>
      <c r="X16" s="14"/>
      <c r="Y16" s="13"/>
    </row>
    <row r="17" spans="1:25" ht="44.25" customHeight="1" x14ac:dyDescent="0.3">
      <c r="A17" s="45"/>
      <c r="B17" s="36"/>
      <c r="C17" s="48" t="s">
        <v>1115</v>
      </c>
      <c r="D17" s="49" t="s">
        <v>1118</v>
      </c>
      <c r="E17" s="334" t="s">
        <v>1172</v>
      </c>
      <c r="F17" s="36"/>
      <c r="G17" s="36"/>
      <c r="H17" s="36"/>
      <c r="I17" s="37"/>
      <c r="J17" s="14"/>
      <c r="K17" s="67" t="s">
        <v>1156</v>
      </c>
      <c r="L17" s="67" t="s">
        <v>1137</v>
      </c>
      <c r="M17" s="559" t="s">
        <v>1118</v>
      </c>
      <c r="N17" s="149" t="s">
        <v>1173</v>
      </c>
      <c r="O17" s="149" t="s">
        <v>1174</v>
      </c>
      <c r="P17" s="67" t="s">
        <v>1175</v>
      </c>
      <c r="Q17" s="67" t="s">
        <v>1157</v>
      </c>
      <c r="R17" s="67" t="s">
        <v>1158</v>
      </c>
      <c r="S17" s="67" t="s">
        <v>1159</v>
      </c>
      <c r="T17" s="67" t="s">
        <v>1176</v>
      </c>
      <c r="U17" s="160" t="s">
        <v>1177</v>
      </c>
      <c r="W17" s="13"/>
      <c r="X17" s="14"/>
      <c r="Y17" s="13"/>
    </row>
    <row r="18" spans="1:25" x14ac:dyDescent="0.3">
      <c r="A18" s="45"/>
      <c r="B18" s="36"/>
      <c r="C18" s="531">
        <v>41974</v>
      </c>
      <c r="D18" s="43" t="s">
        <v>1178</v>
      </c>
      <c r="E18" s="97">
        <v>75000</v>
      </c>
      <c r="F18" s="36"/>
      <c r="G18" s="36"/>
      <c r="H18" s="36"/>
      <c r="I18" s="37"/>
      <c r="J18" s="14"/>
      <c r="K18" s="63">
        <v>2013</v>
      </c>
      <c r="L18" s="63" t="s">
        <v>1133</v>
      </c>
      <c r="M18" s="58" t="s">
        <v>1139</v>
      </c>
      <c r="N18" s="542">
        <f>$C$13/$C$10</f>
        <v>0.8</v>
      </c>
      <c r="O18" s="519">
        <f>$E$19</f>
        <v>63000</v>
      </c>
      <c r="P18" s="562">
        <f>$C$9</f>
        <v>0.7</v>
      </c>
      <c r="Q18" s="563">
        <f>PRODUCT(N18:P18)</f>
        <v>35280</v>
      </c>
      <c r="R18" s="542">
        <f>$E$30</f>
        <v>1.1399999999999999</v>
      </c>
      <c r="S18" s="538">
        <f>G35</f>
        <v>0.67</v>
      </c>
      <c r="T18" s="538">
        <f t="shared" ref="T18:T23" si="0">F40</f>
        <v>0.92600000000000005</v>
      </c>
      <c r="U18" s="564">
        <f>ROUND(PRODUCT(Q18:T18),0)</f>
        <v>24953</v>
      </c>
      <c r="W18" s="13"/>
      <c r="X18" s="14"/>
      <c r="Y18" s="13"/>
    </row>
    <row r="19" spans="1:25" x14ac:dyDescent="0.3">
      <c r="A19" s="45"/>
      <c r="B19" s="36"/>
      <c r="C19" s="533">
        <v>41609</v>
      </c>
      <c r="D19" s="46" t="s">
        <v>1179</v>
      </c>
      <c r="E19" s="97">
        <v>63000</v>
      </c>
      <c r="F19" s="36"/>
      <c r="G19" s="36"/>
      <c r="H19" s="36"/>
      <c r="I19" s="37"/>
      <c r="J19" s="14"/>
      <c r="K19" s="65">
        <v>2013</v>
      </c>
      <c r="L19" s="65" t="s">
        <v>1126</v>
      </c>
      <c r="M19" s="67" t="s">
        <v>1139</v>
      </c>
      <c r="N19" s="543">
        <f>$C$14/$C$10</f>
        <v>0.3</v>
      </c>
      <c r="O19" s="523">
        <f>$E$19</f>
        <v>63000</v>
      </c>
      <c r="P19" s="565">
        <f t="shared" ref="P19:P23" si="1">$C$9</f>
        <v>0.7</v>
      </c>
      <c r="Q19" s="566">
        <f t="shared" ref="Q19:Q23" si="2">PRODUCT(N19:P19)</f>
        <v>13230</v>
      </c>
      <c r="R19" s="541">
        <f>$E$31</f>
        <v>1.51</v>
      </c>
      <c r="S19" s="540">
        <f>G36</f>
        <v>0.35</v>
      </c>
      <c r="T19" s="540">
        <f t="shared" si="0"/>
        <v>0.90100000000000002</v>
      </c>
      <c r="U19" s="567">
        <f t="shared" ref="U19:U23" si="3">ROUND(PRODUCT(Q19:T19),0)</f>
        <v>6300</v>
      </c>
      <c r="W19" s="13"/>
      <c r="X19" s="14"/>
      <c r="Y19" s="13"/>
    </row>
    <row r="20" spans="1:25" x14ac:dyDescent="0.3">
      <c r="A20" s="45"/>
      <c r="B20" s="36"/>
      <c r="C20" s="533">
        <v>41244</v>
      </c>
      <c r="D20" s="46" t="s">
        <v>1129</v>
      </c>
      <c r="E20" s="97">
        <v>42000</v>
      </c>
      <c r="F20" s="36"/>
      <c r="G20" s="36"/>
      <c r="H20" s="36"/>
      <c r="I20" s="37"/>
      <c r="J20" s="14"/>
      <c r="K20" s="63">
        <v>2012</v>
      </c>
      <c r="L20" s="63" t="s">
        <v>1133</v>
      </c>
      <c r="M20" s="58" t="s">
        <v>1134</v>
      </c>
      <c r="N20" s="542">
        <f>$C$13/$C$10</f>
        <v>0.8</v>
      </c>
      <c r="O20" s="519">
        <f>$E$20</f>
        <v>42000</v>
      </c>
      <c r="P20" s="562">
        <f t="shared" si="1"/>
        <v>0.7</v>
      </c>
      <c r="Q20" s="563">
        <f t="shared" si="2"/>
        <v>23520</v>
      </c>
      <c r="R20" s="542">
        <f>$E$30</f>
        <v>1.1399999999999999</v>
      </c>
      <c r="S20" s="538">
        <f>H35</f>
        <v>0.47</v>
      </c>
      <c r="T20" s="538">
        <f t="shared" si="0"/>
        <v>0.89200000000000002</v>
      </c>
      <c r="U20" s="564">
        <f t="shared" si="3"/>
        <v>11241</v>
      </c>
      <c r="W20" s="13"/>
      <c r="X20" s="14"/>
      <c r="Y20" s="13"/>
    </row>
    <row r="21" spans="1:25" x14ac:dyDescent="0.3">
      <c r="A21" s="45"/>
      <c r="B21" s="36"/>
      <c r="C21" s="534">
        <v>40878</v>
      </c>
      <c r="D21" s="47" t="s">
        <v>1130</v>
      </c>
      <c r="E21" s="98">
        <v>29000</v>
      </c>
      <c r="F21" s="36"/>
      <c r="G21" s="36"/>
      <c r="H21" s="36"/>
      <c r="I21" s="37"/>
      <c r="J21" s="14"/>
      <c r="K21" s="65">
        <v>2012</v>
      </c>
      <c r="L21" s="65" t="s">
        <v>1126</v>
      </c>
      <c r="M21" s="67" t="s">
        <v>1134</v>
      </c>
      <c r="N21" s="543">
        <f>$C$14/$C$10</f>
        <v>0.3</v>
      </c>
      <c r="O21" s="523">
        <f>$E$20</f>
        <v>42000</v>
      </c>
      <c r="P21" s="565">
        <f t="shared" si="1"/>
        <v>0.7</v>
      </c>
      <c r="Q21" s="566">
        <f t="shared" si="2"/>
        <v>8820</v>
      </c>
      <c r="R21" s="541">
        <f>$E$31</f>
        <v>1.51</v>
      </c>
      <c r="S21" s="540">
        <f>H36</f>
        <v>0.22</v>
      </c>
      <c r="T21" s="540">
        <f t="shared" si="0"/>
        <v>0.85399999999999998</v>
      </c>
      <c r="U21" s="567">
        <f t="shared" si="3"/>
        <v>2502</v>
      </c>
      <c r="W21" s="13"/>
      <c r="X21" s="14"/>
      <c r="Y21" s="13"/>
    </row>
    <row r="22" spans="1:25" x14ac:dyDescent="0.3">
      <c r="A22" s="45"/>
      <c r="B22" s="36"/>
      <c r="C22" s="36"/>
      <c r="D22" s="36"/>
      <c r="E22" s="36"/>
      <c r="F22" s="36"/>
      <c r="G22" s="36"/>
      <c r="H22" s="36"/>
      <c r="I22" s="37"/>
      <c r="J22" s="14"/>
      <c r="K22" s="61">
        <v>2011</v>
      </c>
      <c r="L22" s="61" t="s">
        <v>1133</v>
      </c>
      <c r="M22" s="100" t="s">
        <v>1130</v>
      </c>
      <c r="N22" s="546">
        <f>$C$13/$C$10</f>
        <v>0.8</v>
      </c>
      <c r="O22" s="521">
        <f>$E$21</f>
        <v>29000</v>
      </c>
      <c r="P22" s="568">
        <f t="shared" si="1"/>
        <v>0.7</v>
      </c>
      <c r="Q22" s="569">
        <f t="shared" si="2"/>
        <v>16239.999999999998</v>
      </c>
      <c r="R22" s="546">
        <f>$E$30</f>
        <v>1.1399999999999999</v>
      </c>
      <c r="S22" s="545">
        <f>D35</f>
        <v>1</v>
      </c>
      <c r="T22" s="547">
        <f t="shared" si="0"/>
        <v>0.85799999999999998</v>
      </c>
      <c r="U22" s="570">
        <f t="shared" si="3"/>
        <v>15885</v>
      </c>
      <c r="W22" s="13"/>
      <c r="X22" s="14"/>
      <c r="Y22" s="13"/>
    </row>
    <row r="23" spans="1:25" x14ac:dyDescent="0.3">
      <c r="A23" s="35" t="s">
        <v>173</v>
      </c>
      <c r="B23" s="36"/>
      <c r="C23" s="36" t="s">
        <v>1188</v>
      </c>
      <c r="D23" s="36"/>
      <c r="E23" s="36"/>
      <c r="F23" s="36"/>
      <c r="G23" s="36"/>
      <c r="H23" s="36"/>
      <c r="I23" s="37"/>
      <c r="J23" s="14"/>
      <c r="K23" s="65">
        <v>2011</v>
      </c>
      <c r="L23" s="65" t="s">
        <v>1126</v>
      </c>
      <c r="M23" s="67" t="s">
        <v>1130</v>
      </c>
      <c r="N23" s="543">
        <f>$C$14/$C$10</f>
        <v>0.3</v>
      </c>
      <c r="O23" s="523">
        <f>$E$21</f>
        <v>29000</v>
      </c>
      <c r="P23" s="565">
        <f t="shared" si="1"/>
        <v>0.7</v>
      </c>
      <c r="Q23" s="566">
        <f t="shared" si="2"/>
        <v>6090</v>
      </c>
      <c r="R23" s="541">
        <f>$E$31</f>
        <v>1.51</v>
      </c>
      <c r="S23" s="571">
        <f>D36</f>
        <v>1</v>
      </c>
      <c r="T23" s="572">
        <f t="shared" si="0"/>
        <v>0.81</v>
      </c>
      <c r="U23" s="567">
        <f t="shared" si="3"/>
        <v>7449</v>
      </c>
      <c r="W23" s="13"/>
      <c r="X23" s="14"/>
      <c r="Y23" s="13"/>
    </row>
    <row r="24" spans="1:25" ht="15" thickBot="1" x14ac:dyDescent="0.35">
      <c r="A24" s="45"/>
      <c r="B24" s="36"/>
      <c r="C24" s="36" t="s">
        <v>1189</v>
      </c>
      <c r="D24" s="36"/>
      <c r="E24" s="36"/>
      <c r="F24" s="36"/>
      <c r="G24" s="36"/>
      <c r="H24" s="36"/>
      <c r="I24" s="37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573" t="s">
        <v>1180</v>
      </c>
      <c r="U24" s="574">
        <f>SUM(U18:U23)</f>
        <v>68330</v>
      </c>
      <c r="W24" s="13"/>
      <c r="X24" s="14"/>
      <c r="Y24" s="13"/>
    </row>
    <row r="25" spans="1:25" x14ac:dyDescent="0.3">
      <c r="A25" s="45"/>
      <c r="B25" s="36"/>
      <c r="C25" s="36"/>
      <c r="D25" s="36"/>
      <c r="E25" s="36"/>
      <c r="F25" s="36"/>
      <c r="G25" s="36"/>
      <c r="H25" s="36"/>
      <c r="I25" s="37"/>
      <c r="J25" s="14"/>
      <c r="W25" s="13"/>
      <c r="X25" s="14"/>
      <c r="Y25" s="13"/>
    </row>
    <row r="26" spans="1:25" ht="15" customHeight="1" x14ac:dyDescent="0.3">
      <c r="A26" s="45"/>
      <c r="B26" s="550">
        <v>1</v>
      </c>
      <c r="C26" s="36" t="s">
        <v>1135</v>
      </c>
      <c r="D26" s="36"/>
      <c r="E26" s="36"/>
      <c r="F26" s="36"/>
      <c r="G26" s="36"/>
      <c r="H26" s="36"/>
      <c r="I26" s="37"/>
      <c r="J26" s="14"/>
      <c r="K26" s="198" t="s">
        <v>1141</v>
      </c>
      <c r="W26" s="13"/>
      <c r="X26" s="14"/>
      <c r="Y26" s="13"/>
    </row>
    <row r="27" spans="1:25" ht="15" customHeight="1" x14ac:dyDescent="0.3">
      <c r="A27" s="45"/>
      <c r="B27" s="36"/>
      <c r="C27" s="36"/>
      <c r="D27" s="36"/>
      <c r="E27" s="36"/>
      <c r="F27" s="36"/>
      <c r="G27" s="36"/>
      <c r="H27" s="36"/>
      <c r="I27" s="37"/>
      <c r="J27" s="14"/>
      <c r="K27" t="s">
        <v>1181</v>
      </c>
      <c r="W27" s="13"/>
      <c r="X27" s="14"/>
      <c r="Y27" s="13"/>
    </row>
    <row r="28" spans="1:25" ht="15" customHeight="1" x14ac:dyDescent="0.3">
      <c r="A28" s="45"/>
      <c r="B28" s="36"/>
      <c r="C28" s="551" t="s">
        <v>1136</v>
      </c>
      <c r="D28" s="36"/>
      <c r="E28" s="36"/>
      <c r="F28" s="36"/>
      <c r="G28" s="36"/>
      <c r="H28" s="36"/>
      <c r="I28" s="37"/>
      <c r="J28" s="14"/>
      <c r="K28" t="s">
        <v>1183</v>
      </c>
      <c r="W28" s="13"/>
      <c r="X28" s="14"/>
      <c r="Y28" s="13"/>
    </row>
    <row r="29" spans="1:25" ht="15" customHeight="1" x14ac:dyDescent="0.3">
      <c r="A29" s="45"/>
      <c r="B29" s="36"/>
      <c r="C29" s="333" t="s">
        <v>1137</v>
      </c>
      <c r="D29" s="48" t="s">
        <v>1130</v>
      </c>
      <c r="E29" s="48" t="s">
        <v>1182</v>
      </c>
      <c r="F29" s="212" t="s">
        <v>1138</v>
      </c>
      <c r="G29" s="48" t="s">
        <v>1139</v>
      </c>
      <c r="H29" s="48" t="s">
        <v>1134</v>
      </c>
      <c r="I29" s="37"/>
      <c r="J29" s="14"/>
      <c r="K29" t="s">
        <v>1184</v>
      </c>
      <c r="W29" s="13"/>
      <c r="X29" s="14"/>
      <c r="Y29" s="13"/>
    </row>
    <row r="30" spans="1:25" ht="15" customHeight="1" x14ac:dyDescent="0.3">
      <c r="A30" s="45"/>
      <c r="B30" s="36"/>
      <c r="C30" s="77" t="s">
        <v>1133</v>
      </c>
      <c r="D30" s="155">
        <v>1</v>
      </c>
      <c r="E30" s="155">
        <v>1.1399999999999999</v>
      </c>
      <c r="F30" s="401">
        <v>1.2</v>
      </c>
      <c r="G30" s="20">
        <v>1.32</v>
      </c>
      <c r="H30" s="20">
        <v>1.62</v>
      </c>
      <c r="I30" s="37"/>
      <c r="J30" s="14"/>
      <c r="K30" t="s">
        <v>1185</v>
      </c>
      <c r="W30" s="13"/>
      <c r="X30" s="14"/>
      <c r="Y30" s="13"/>
    </row>
    <row r="31" spans="1:25" ht="15" customHeight="1" x14ac:dyDescent="0.3">
      <c r="A31" s="45"/>
      <c r="B31" s="36"/>
      <c r="C31" s="82" t="s">
        <v>1126</v>
      </c>
      <c r="D31" s="162">
        <v>1</v>
      </c>
      <c r="E31" s="22">
        <v>1.51</v>
      </c>
      <c r="F31" s="319">
        <v>1.59</v>
      </c>
      <c r="G31" s="22">
        <v>2.0299999999999998</v>
      </c>
      <c r="H31" s="22">
        <v>2.39</v>
      </c>
      <c r="I31" s="37"/>
      <c r="J31" s="14"/>
      <c r="K31" t="s">
        <v>1186</v>
      </c>
      <c r="W31" s="13"/>
      <c r="X31" s="14"/>
      <c r="Y31" s="13"/>
    </row>
    <row r="32" spans="1:25" x14ac:dyDescent="0.3">
      <c r="A32" s="45"/>
      <c r="B32" s="36"/>
      <c r="C32" s="36"/>
      <c r="D32" s="36"/>
      <c r="E32" s="36"/>
      <c r="F32" s="36"/>
      <c r="G32" s="36"/>
      <c r="H32" s="36"/>
      <c r="I32" s="37"/>
      <c r="J32" s="14"/>
      <c r="K32" t="s">
        <v>1187</v>
      </c>
      <c r="W32" s="13"/>
      <c r="X32" s="14"/>
      <c r="Y32" s="13"/>
    </row>
    <row r="33" spans="1:25" x14ac:dyDescent="0.3">
      <c r="A33" s="45"/>
      <c r="B33" s="36"/>
      <c r="C33" s="552" t="s">
        <v>1142</v>
      </c>
      <c r="D33" s="36"/>
      <c r="E33" s="36"/>
      <c r="F33" s="36"/>
      <c r="G33" s="36"/>
      <c r="H33" s="36"/>
      <c r="I33" s="37"/>
      <c r="J33" s="14"/>
      <c r="W33" s="13"/>
      <c r="X33" s="14"/>
      <c r="Y33" s="13"/>
    </row>
    <row r="34" spans="1:25" x14ac:dyDescent="0.3">
      <c r="A34" s="45"/>
      <c r="B34" s="36"/>
      <c r="C34" s="333" t="s">
        <v>1137</v>
      </c>
      <c r="D34" s="48" t="s">
        <v>1130</v>
      </c>
      <c r="E34" s="48" t="s">
        <v>1182</v>
      </c>
      <c r="F34" s="212" t="s">
        <v>1138</v>
      </c>
      <c r="G34" s="48" t="s">
        <v>1139</v>
      </c>
      <c r="H34" s="48" t="s">
        <v>1134</v>
      </c>
      <c r="I34" s="37"/>
      <c r="J34" s="14"/>
      <c r="W34" s="13"/>
      <c r="X34" s="14"/>
      <c r="Y34" s="13"/>
    </row>
    <row r="35" spans="1:25" x14ac:dyDescent="0.3">
      <c r="A35" s="45"/>
      <c r="B35" s="36"/>
      <c r="C35" s="77" t="s">
        <v>1133</v>
      </c>
      <c r="D35" s="155">
        <v>1</v>
      </c>
      <c r="E35" s="20">
        <v>0.84</v>
      </c>
      <c r="F35" s="401">
        <v>0.78</v>
      </c>
      <c r="G35" s="20">
        <v>0.67</v>
      </c>
      <c r="H35" s="20">
        <v>0.47</v>
      </c>
      <c r="I35" s="37"/>
      <c r="J35" s="14"/>
      <c r="W35" s="13"/>
      <c r="X35" s="14"/>
      <c r="Y35" s="13"/>
    </row>
    <row r="36" spans="1:25" x14ac:dyDescent="0.3">
      <c r="A36" s="45"/>
      <c r="B36" s="36"/>
      <c r="C36" s="82" t="s">
        <v>1126</v>
      </c>
      <c r="D36" s="162">
        <v>1</v>
      </c>
      <c r="E36" s="22">
        <v>0.49</v>
      </c>
      <c r="F36" s="319">
        <v>0.43</v>
      </c>
      <c r="G36" s="22">
        <v>0.35</v>
      </c>
      <c r="H36" s="22">
        <v>0.22</v>
      </c>
      <c r="I36" s="37"/>
      <c r="J36" s="14"/>
      <c r="W36" s="13"/>
      <c r="X36" s="14"/>
      <c r="Y36" s="13"/>
    </row>
    <row r="37" spans="1:25" x14ac:dyDescent="0.3">
      <c r="A37" s="45"/>
      <c r="B37" s="36"/>
      <c r="C37" s="36"/>
      <c r="D37" s="36"/>
      <c r="E37" s="36"/>
      <c r="F37" s="36"/>
      <c r="G37" s="36"/>
      <c r="H37" s="36"/>
      <c r="I37" s="37"/>
      <c r="J37" s="14"/>
      <c r="W37" s="13"/>
      <c r="X37" s="14"/>
      <c r="Y37" s="13"/>
    </row>
    <row r="38" spans="1:25" x14ac:dyDescent="0.3">
      <c r="A38" s="45"/>
      <c r="B38" s="36"/>
      <c r="C38" s="552" t="s">
        <v>1147</v>
      </c>
      <c r="D38" s="36"/>
      <c r="E38" s="36"/>
      <c r="F38" s="36"/>
      <c r="G38" s="36"/>
      <c r="H38" s="36"/>
      <c r="I38" s="37"/>
      <c r="J38" s="14"/>
      <c r="R38" s="13"/>
      <c r="S38" s="13"/>
      <c r="T38" s="13"/>
      <c r="U38" s="13"/>
      <c r="V38" s="13"/>
      <c r="W38" s="13"/>
      <c r="X38" s="14"/>
      <c r="Y38" s="13"/>
    </row>
    <row r="39" spans="1:25" ht="28.8" x14ac:dyDescent="0.3">
      <c r="A39" s="45"/>
      <c r="B39" s="36"/>
      <c r="C39" s="334" t="s">
        <v>1148</v>
      </c>
      <c r="D39" s="333" t="s">
        <v>1137</v>
      </c>
      <c r="E39" s="48" t="s">
        <v>1149</v>
      </c>
      <c r="F39" s="96" t="s">
        <v>1150</v>
      </c>
      <c r="G39" s="36"/>
      <c r="H39" s="36"/>
      <c r="I39" s="37"/>
      <c r="J39" s="14"/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A40" s="45"/>
      <c r="B40" s="36"/>
      <c r="C40" s="777" t="s">
        <v>1151</v>
      </c>
      <c r="D40" s="80" t="s">
        <v>1133</v>
      </c>
      <c r="E40" s="17">
        <v>0.90700000000000003</v>
      </c>
      <c r="F40" s="17">
        <v>0.92600000000000005</v>
      </c>
      <c r="G40" s="36"/>
      <c r="H40" s="36"/>
      <c r="I40" s="37"/>
      <c r="J40" s="14"/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A41" s="45"/>
      <c r="B41" s="36"/>
      <c r="C41" s="778"/>
      <c r="D41" s="82" t="s">
        <v>1126</v>
      </c>
      <c r="E41" s="22">
        <v>0.88200000000000001</v>
      </c>
      <c r="F41" s="22">
        <v>0.90100000000000002</v>
      </c>
      <c r="G41" s="36"/>
      <c r="H41" s="36"/>
      <c r="I41" s="37"/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A42" s="45"/>
      <c r="B42" s="36"/>
      <c r="C42" s="777" t="s">
        <v>1152</v>
      </c>
      <c r="D42" s="80" t="s">
        <v>1133</v>
      </c>
      <c r="E42" s="17">
        <v>0.86399999999999999</v>
      </c>
      <c r="F42" s="17">
        <v>0.89200000000000002</v>
      </c>
      <c r="G42" s="36"/>
      <c r="H42" s="36"/>
      <c r="I42" s="37"/>
      <c r="J42" s="14"/>
      <c r="R42" s="13"/>
      <c r="S42" s="13"/>
      <c r="T42" s="13"/>
      <c r="U42" s="13"/>
      <c r="V42" s="13"/>
      <c r="W42" s="13"/>
      <c r="X42" s="14"/>
      <c r="Y42" s="13"/>
    </row>
    <row r="43" spans="1:25" x14ac:dyDescent="0.3">
      <c r="A43" s="38"/>
      <c r="B43" s="39"/>
      <c r="C43" s="778"/>
      <c r="D43" s="82" t="s">
        <v>1126</v>
      </c>
      <c r="E43" s="22">
        <v>0.82799999999999996</v>
      </c>
      <c r="F43" s="22">
        <v>0.85399999999999998</v>
      </c>
      <c r="G43" s="36"/>
      <c r="H43" s="36"/>
      <c r="I43" s="37"/>
      <c r="J43" s="14"/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A44" s="45"/>
      <c r="B44" s="36"/>
      <c r="C44" s="777" t="s">
        <v>1153</v>
      </c>
      <c r="D44" s="77" t="s">
        <v>1133</v>
      </c>
      <c r="E44" s="20">
        <v>0.82299999999999995</v>
      </c>
      <c r="F44" s="20">
        <v>0.85799999999999998</v>
      </c>
      <c r="G44" s="36"/>
      <c r="H44" s="36"/>
      <c r="I44" s="37"/>
      <c r="J44" s="14"/>
      <c r="R44" s="13"/>
      <c r="S44" s="13"/>
      <c r="T44" s="13"/>
      <c r="U44" s="13"/>
      <c r="V44" s="13"/>
      <c r="W44" s="13"/>
      <c r="X44" s="14"/>
      <c r="Y44" s="13"/>
    </row>
    <row r="45" spans="1:25" x14ac:dyDescent="0.3">
      <c r="A45" s="45"/>
      <c r="B45" s="36"/>
      <c r="C45" s="778"/>
      <c r="D45" s="82" t="s">
        <v>1126</v>
      </c>
      <c r="E45" s="22">
        <v>0.77700000000000002</v>
      </c>
      <c r="F45" s="549">
        <v>0.81</v>
      </c>
      <c r="G45" s="36"/>
      <c r="H45" s="36"/>
      <c r="I45" s="37"/>
      <c r="J45" s="14"/>
      <c r="R45" s="13"/>
      <c r="S45" s="13"/>
      <c r="T45" s="13"/>
      <c r="U45" s="13"/>
      <c r="V45" s="13"/>
      <c r="W45" s="13"/>
      <c r="X45" s="14"/>
      <c r="Y45" s="13"/>
    </row>
    <row r="46" spans="1:25" ht="15" thickBot="1" x14ac:dyDescent="0.35">
      <c r="A46" s="53"/>
      <c r="B46" s="54"/>
      <c r="C46" s="54"/>
      <c r="D46" s="54"/>
      <c r="E46" s="54"/>
      <c r="F46" s="54"/>
      <c r="G46" s="54"/>
      <c r="H46" s="54"/>
      <c r="I46" s="55"/>
      <c r="J46" s="14"/>
      <c r="R46" s="13"/>
      <c r="S46" s="13"/>
      <c r="T46" s="13"/>
      <c r="U46" s="13"/>
      <c r="V46" s="13"/>
      <c r="W46" s="13"/>
      <c r="X46" s="14"/>
      <c r="Y46" s="13"/>
    </row>
    <row r="47" spans="1:25" x14ac:dyDescent="0.3">
      <c r="J47" s="14"/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J48" s="14"/>
      <c r="R48" s="13"/>
      <c r="S48" s="13"/>
      <c r="T48" s="13"/>
      <c r="U48" s="13"/>
      <c r="V48" s="13"/>
      <c r="W48" s="13"/>
      <c r="X48" s="14"/>
      <c r="Y48" s="13"/>
    </row>
    <row r="49" spans="10:25" x14ac:dyDescent="0.3">
      <c r="J49" s="14"/>
      <c r="R49" s="13"/>
      <c r="S49" s="13"/>
      <c r="T49" s="13"/>
      <c r="U49" s="13"/>
      <c r="V49" s="13"/>
      <c r="W49" s="13"/>
      <c r="X49" s="14"/>
      <c r="Y49" s="13"/>
    </row>
    <row r="50" spans="10:25" x14ac:dyDescent="0.3"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0:25" x14ac:dyDescent="0.3"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0:25" x14ac:dyDescent="0.3"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0:25" x14ac:dyDescent="0.3"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0:25" x14ac:dyDescent="0.3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0:25" x14ac:dyDescent="0.3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0:25" x14ac:dyDescent="0.3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0:25" x14ac:dyDescent="0.3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0:25" x14ac:dyDescent="0.3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0:25" x14ac:dyDescent="0.3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0:25" x14ac:dyDescent="0.3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0:25" x14ac:dyDescent="0.3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0:25" x14ac:dyDescent="0.3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0:25" x14ac:dyDescent="0.3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0:25" x14ac:dyDescent="0.3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3">
      <c r="J65" s="14"/>
      <c r="X65" s="14"/>
    </row>
    <row r="66" spans="10:24" x14ac:dyDescent="0.3">
      <c r="J66" s="14"/>
      <c r="X66" s="14"/>
    </row>
    <row r="67" spans="10:24" x14ac:dyDescent="0.3">
      <c r="J67" s="14"/>
      <c r="X67" s="14"/>
    </row>
    <row r="68" spans="10:24" x14ac:dyDescent="0.3">
      <c r="J68" s="14"/>
      <c r="X68" s="14"/>
    </row>
    <row r="69" spans="10:24" x14ac:dyDescent="0.3">
      <c r="J69" s="14"/>
      <c r="X69" s="14"/>
    </row>
    <row r="70" spans="10:24" x14ac:dyDescent="0.3">
      <c r="J70" s="14"/>
      <c r="X70" s="14"/>
    </row>
    <row r="71" spans="10:24" x14ac:dyDescent="0.3">
      <c r="J71" s="14"/>
      <c r="X71" s="14"/>
    </row>
    <row r="72" spans="10:24" x14ac:dyDescent="0.3">
      <c r="J72" s="14"/>
      <c r="X72" s="14"/>
    </row>
    <row r="73" spans="10:24" x14ac:dyDescent="0.3">
      <c r="J73" s="14"/>
      <c r="X73" s="14"/>
    </row>
    <row r="74" spans="10:24" x14ac:dyDescent="0.3">
      <c r="J74" s="14"/>
      <c r="X74" s="14"/>
    </row>
    <row r="75" spans="10:24" x14ac:dyDescent="0.3">
      <c r="J75" s="14"/>
      <c r="X75" s="14"/>
    </row>
    <row r="76" spans="10:24" x14ac:dyDescent="0.3">
      <c r="J76" s="14"/>
      <c r="X76" s="14"/>
    </row>
    <row r="77" spans="10:24" x14ac:dyDescent="0.3">
      <c r="J77" s="14"/>
      <c r="X77" s="14"/>
    </row>
    <row r="78" spans="10:24" x14ac:dyDescent="0.3">
      <c r="J78" s="14"/>
      <c r="X78" s="14"/>
    </row>
    <row r="79" spans="10:24" x14ac:dyDescent="0.3">
      <c r="J79" s="14"/>
      <c r="X79" s="14"/>
    </row>
    <row r="80" spans="10:24" x14ac:dyDescent="0.3">
      <c r="J80" s="14"/>
      <c r="X80" s="14"/>
    </row>
    <row r="81" spans="10:24" x14ac:dyDescent="0.3">
      <c r="J81" s="14"/>
      <c r="X81" s="14"/>
    </row>
    <row r="82" spans="10:24" x14ac:dyDescent="0.3">
      <c r="J82" s="14"/>
      <c r="X82" s="14"/>
    </row>
    <row r="83" spans="10:24" x14ac:dyDescent="0.3">
      <c r="J83" s="14"/>
      <c r="X83" s="14"/>
    </row>
    <row r="84" spans="10:24" x14ac:dyDescent="0.3">
      <c r="J84" s="14"/>
      <c r="X84" s="14"/>
    </row>
    <row r="85" spans="10:24" x14ac:dyDescent="0.3">
      <c r="J85" s="14"/>
      <c r="X85" s="14"/>
    </row>
    <row r="86" spans="10:24" x14ac:dyDescent="0.3">
      <c r="J86" s="14"/>
      <c r="X86" s="14"/>
    </row>
    <row r="87" spans="10:24" x14ac:dyDescent="0.3">
      <c r="J87" s="14"/>
      <c r="X87" s="14"/>
    </row>
    <row r="88" spans="10:24" x14ac:dyDescent="0.3">
      <c r="J88" s="14"/>
      <c r="X88" s="14"/>
    </row>
    <row r="89" spans="10:24" x14ac:dyDescent="0.3">
      <c r="J89" s="14"/>
      <c r="X89" s="14"/>
    </row>
    <row r="90" spans="10:24" x14ac:dyDescent="0.3">
      <c r="J90" s="14"/>
      <c r="X90" s="14"/>
    </row>
    <row r="91" spans="10:24" x14ac:dyDescent="0.3">
      <c r="J91" s="14"/>
      <c r="X91" s="14"/>
    </row>
    <row r="92" spans="10:24" x14ac:dyDescent="0.3">
      <c r="J92" s="14"/>
      <c r="X92" s="14"/>
    </row>
    <row r="93" spans="10:24" x14ac:dyDescent="0.3">
      <c r="J93" s="14"/>
      <c r="X93" s="14"/>
    </row>
    <row r="94" spans="10:24" x14ac:dyDescent="0.3">
      <c r="J94" s="14"/>
      <c r="X94" s="14"/>
    </row>
    <row r="95" spans="10:24" x14ac:dyDescent="0.3">
      <c r="J95" s="14"/>
      <c r="X95" s="14"/>
    </row>
    <row r="96" spans="10:24" x14ac:dyDescent="0.3">
      <c r="J96" s="14"/>
      <c r="X96" s="14"/>
    </row>
    <row r="97" spans="1:24" x14ac:dyDescent="0.3">
      <c r="J97" s="14"/>
      <c r="X97" s="14"/>
    </row>
    <row r="98" spans="1:24" x14ac:dyDescent="0.3">
      <c r="J98" s="14"/>
      <c r="X98" s="14"/>
    </row>
    <row r="99" spans="1:24" x14ac:dyDescent="0.3">
      <c r="J99" s="14"/>
      <c r="X99" s="14"/>
    </row>
    <row r="100" spans="1:24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3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3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3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3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3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3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3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3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3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3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3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3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3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3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3">
      <c r="J115" s="14"/>
      <c r="X115" s="14"/>
    </row>
    <row r="116" spans="10:24" x14ac:dyDescent="0.3">
      <c r="J116" s="14"/>
      <c r="X116" s="14"/>
    </row>
    <row r="117" spans="10:24" x14ac:dyDescent="0.3">
      <c r="J117" s="14"/>
      <c r="X117" s="14"/>
    </row>
    <row r="118" spans="10:24" x14ac:dyDescent="0.3">
      <c r="J118" s="14"/>
      <c r="X118" s="14"/>
    </row>
    <row r="119" spans="10:24" x14ac:dyDescent="0.3">
      <c r="J119" s="14"/>
      <c r="X119" s="14"/>
    </row>
    <row r="120" spans="10:24" x14ac:dyDescent="0.3">
      <c r="J120" s="14"/>
      <c r="X120" s="14"/>
    </row>
    <row r="121" spans="10:24" x14ac:dyDescent="0.3">
      <c r="J121" s="14"/>
      <c r="X121" s="14"/>
    </row>
    <row r="122" spans="10:24" x14ac:dyDescent="0.3">
      <c r="J122" s="14"/>
      <c r="X122" s="14"/>
    </row>
    <row r="123" spans="10:24" x14ac:dyDescent="0.3">
      <c r="J123" s="14"/>
      <c r="X123" s="14"/>
    </row>
    <row r="124" spans="10:24" x14ac:dyDescent="0.3">
      <c r="J124" s="14"/>
      <c r="X124" s="14"/>
    </row>
    <row r="125" spans="10:24" x14ac:dyDescent="0.3">
      <c r="J125" s="14"/>
      <c r="X125" s="14"/>
    </row>
    <row r="126" spans="10:24" x14ac:dyDescent="0.3">
      <c r="J126" s="14"/>
      <c r="X126" s="14"/>
    </row>
    <row r="127" spans="10:24" x14ac:dyDescent="0.3">
      <c r="J127" s="14"/>
      <c r="X127" s="14"/>
    </row>
    <row r="128" spans="10:24" x14ac:dyDescent="0.3">
      <c r="J128" s="14"/>
      <c r="X128" s="14"/>
    </row>
    <row r="129" spans="10:24" x14ac:dyDescent="0.3">
      <c r="J129" s="14"/>
      <c r="X129" s="14"/>
    </row>
    <row r="130" spans="10:24" x14ac:dyDescent="0.3">
      <c r="J130" s="14"/>
      <c r="X130" s="14"/>
    </row>
    <row r="131" spans="10:24" x14ac:dyDescent="0.3">
      <c r="J131" s="14"/>
      <c r="X131" s="14"/>
    </row>
    <row r="132" spans="10:24" x14ac:dyDescent="0.3">
      <c r="J132" s="14"/>
      <c r="X132" s="14"/>
    </row>
    <row r="133" spans="10:24" x14ac:dyDescent="0.3">
      <c r="J133" s="14"/>
      <c r="X133" s="14"/>
    </row>
    <row r="134" spans="10:24" x14ac:dyDescent="0.3">
      <c r="J134" s="14"/>
      <c r="X134" s="14"/>
    </row>
    <row r="135" spans="10:24" x14ac:dyDescent="0.3">
      <c r="J135" s="14"/>
      <c r="X135" s="14"/>
    </row>
    <row r="136" spans="10:24" x14ac:dyDescent="0.3">
      <c r="J136" s="14"/>
      <c r="X136" s="14"/>
    </row>
    <row r="137" spans="10:24" x14ac:dyDescent="0.3">
      <c r="J137" s="14"/>
      <c r="X137" s="14"/>
    </row>
    <row r="138" spans="10:24" x14ac:dyDescent="0.3">
      <c r="J138" s="14"/>
      <c r="X138" s="14"/>
    </row>
    <row r="139" spans="10:24" x14ac:dyDescent="0.3">
      <c r="J139" s="14"/>
      <c r="X139" s="14"/>
    </row>
    <row r="140" spans="10:24" x14ac:dyDescent="0.3">
      <c r="J140" s="14"/>
      <c r="X140" s="14"/>
    </row>
    <row r="141" spans="10:24" x14ac:dyDescent="0.3">
      <c r="J141" s="14"/>
      <c r="X141" s="14"/>
    </row>
    <row r="142" spans="10:24" x14ac:dyDescent="0.3">
      <c r="J142" s="14"/>
      <c r="X142" s="14"/>
    </row>
    <row r="143" spans="10:24" x14ac:dyDescent="0.3">
      <c r="J143" s="14"/>
      <c r="X143" s="14"/>
    </row>
    <row r="144" spans="10:24" x14ac:dyDescent="0.3">
      <c r="J144" s="14"/>
      <c r="X144" s="14"/>
    </row>
    <row r="145" spans="1:24" x14ac:dyDescent="0.3">
      <c r="J145" s="14"/>
      <c r="X145" s="14"/>
    </row>
    <row r="146" spans="1:24" x14ac:dyDescent="0.3">
      <c r="J146" s="14"/>
      <c r="X146" s="14"/>
    </row>
    <row r="147" spans="1:24" x14ac:dyDescent="0.3">
      <c r="J147" s="14"/>
      <c r="X147" s="14"/>
    </row>
    <row r="148" spans="1:24" x14ac:dyDescent="0.3">
      <c r="J148" s="14"/>
      <c r="X148" s="14"/>
    </row>
    <row r="149" spans="1:24" x14ac:dyDescent="0.3">
      <c r="J149" s="14"/>
      <c r="X149" s="14"/>
    </row>
    <row r="150" spans="1:24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3">
      <c r="J151" s="14"/>
      <c r="X151" s="14"/>
    </row>
    <row r="152" spans="1:24" x14ac:dyDescent="0.3">
      <c r="J152" s="14"/>
      <c r="X152" s="14"/>
    </row>
    <row r="153" spans="1:24" x14ac:dyDescent="0.3">
      <c r="J153" s="14"/>
      <c r="X153" s="14"/>
    </row>
    <row r="154" spans="1:24" x14ac:dyDescent="0.3">
      <c r="J154" s="14"/>
      <c r="X154" s="14"/>
    </row>
    <row r="155" spans="1:24" x14ac:dyDescent="0.3">
      <c r="J155" s="14"/>
      <c r="X155" s="14"/>
    </row>
    <row r="156" spans="1:24" x14ac:dyDescent="0.3">
      <c r="J156" s="14"/>
      <c r="X156" s="14"/>
    </row>
    <row r="157" spans="1:24" x14ac:dyDescent="0.3">
      <c r="J157" s="14"/>
      <c r="X157" s="14"/>
    </row>
    <row r="158" spans="1:24" x14ac:dyDescent="0.3">
      <c r="J158" s="14"/>
      <c r="X158" s="14"/>
    </row>
  </sheetData>
  <mergeCells count="4">
    <mergeCell ref="C40:C41"/>
    <mergeCell ref="C42:C43"/>
    <mergeCell ref="C44:C45"/>
    <mergeCell ref="H1:I1"/>
  </mergeCells>
  <hyperlinks>
    <hyperlink ref="H1" location="TOC!A1" display="Return to TOC" xr:uid="{1C1C0561-2C32-4B80-9F5E-91E846216AA8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74DA-35F9-4675-86CB-96ADCFF900B1}">
  <sheetPr codeName="Sheet86"/>
  <dimension ref="A1:AB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109375" customWidth="1"/>
    <col min="3" max="3" width="17" customWidth="1"/>
    <col min="4" max="4" width="26.5546875" customWidth="1"/>
    <col min="5" max="5" width="12.109375" bestFit="1" customWidth="1"/>
    <col min="6" max="6" width="12.33203125" customWidth="1"/>
    <col min="7" max="7" width="10.109375" bestFit="1" customWidth="1"/>
    <col min="8" max="8" width="11.33203125" customWidth="1"/>
    <col min="9" max="9" width="10" bestFit="1" customWidth="1"/>
    <col min="10" max="11" width="6.6640625" customWidth="1"/>
    <col min="12" max="12" width="2.5546875" customWidth="1"/>
    <col min="13" max="13" width="2.6640625" customWidth="1"/>
    <col min="14" max="14" width="10.44140625" customWidth="1"/>
    <col min="15" max="15" width="9.5546875" customWidth="1"/>
    <col min="16" max="16" width="11.109375" bestFit="1" customWidth="1"/>
    <col min="17" max="17" width="15.33203125" customWidth="1"/>
    <col min="18" max="18" width="9.88671875" bestFit="1" customWidth="1"/>
    <col min="19" max="20" width="7.5546875" customWidth="1"/>
    <col min="21" max="21" width="13.6640625" customWidth="1"/>
    <col min="22" max="22" width="9.109375" customWidth="1"/>
    <col min="24" max="24" width="9.109375" customWidth="1"/>
    <col min="25" max="25" width="15.33203125" customWidth="1"/>
    <col min="26" max="26" width="9" customWidth="1"/>
  </cols>
  <sheetData>
    <row r="1" spans="1:28" x14ac:dyDescent="0.3">
      <c r="A1" s="32" t="s">
        <v>137</v>
      </c>
      <c r="B1" s="33"/>
      <c r="C1" s="33" t="s">
        <v>131</v>
      </c>
      <c r="D1" s="34"/>
      <c r="E1" s="33"/>
      <c r="F1" s="33"/>
      <c r="G1" s="33"/>
      <c r="H1" s="33"/>
      <c r="I1" s="33"/>
      <c r="J1" s="772" t="s">
        <v>199</v>
      </c>
      <c r="K1" s="772"/>
      <c r="L1" s="773"/>
      <c r="M1" s="10"/>
      <c r="N1" s="12" t="s">
        <v>140</v>
      </c>
      <c r="AA1" s="10"/>
    </row>
    <row r="2" spans="1:28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1111</v>
      </c>
      <c r="AA2" s="10"/>
    </row>
    <row r="3" spans="1:28" x14ac:dyDescent="0.3">
      <c r="A3" s="35" t="s">
        <v>141</v>
      </c>
      <c r="B3" s="36"/>
      <c r="C3" s="36" t="s">
        <v>1190</v>
      </c>
      <c r="D3" s="36"/>
      <c r="E3" s="36"/>
      <c r="F3" s="36"/>
      <c r="G3" s="36"/>
      <c r="H3" s="36"/>
      <c r="I3" s="36"/>
      <c r="J3" s="36"/>
      <c r="K3" s="36"/>
      <c r="L3" s="37"/>
      <c r="M3" s="10"/>
      <c r="N3" t="s">
        <v>1112</v>
      </c>
      <c r="AA3" s="10"/>
    </row>
    <row r="4" spans="1:28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14"/>
      <c r="N4" t="s">
        <v>1162</v>
      </c>
      <c r="X4" s="13"/>
      <c r="Y4" s="13"/>
      <c r="AA4" s="14"/>
      <c r="AB4" s="13"/>
    </row>
    <row r="5" spans="1:28" ht="15" customHeight="1" x14ac:dyDescent="0.3">
      <c r="A5" s="41" t="s">
        <v>144</v>
      </c>
      <c r="B5" s="36"/>
      <c r="C5" s="36" t="s">
        <v>1113</v>
      </c>
      <c r="D5" s="36"/>
      <c r="E5" s="36"/>
      <c r="F5" s="36"/>
      <c r="G5" s="36"/>
      <c r="H5" s="36"/>
      <c r="I5" s="36"/>
      <c r="J5" s="36"/>
      <c r="K5" s="39"/>
      <c r="L5" s="40"/>
      <c r="M5" s="14"/>
      <c r="X5" s="13"/>
      <c r="Y5" s="13"/>
      <c r="Z5" s="13"/>
      <c r="AA5" s="14"/>
      <c r="AB5" s="13"/>
    </row>
    <row r="6" spans="1:28" x14ac:dyDescent="0.3">
      <c r="A6" s="45"/>
      <c r="B6" s="36"/>
      <c r="C6" s="36"/>
      <c r="D6" s="36"/>
      <c r="E6" s="36"/>
      <c r="F6" s="36"/>
      <c r="G6" s="36"/>
      <c r="H6" s="601" t="s">
        <v>1191</v>
      </c>
      <c r="I6" s="73"/>
      <c r="J6" s="73"/>
      <c r="K6" s="39"/>
      <c r="L6" s="40"/>
      <c r="M6" s="14"/>
      <c r="N6" t="s">
        <v>1163</v>
      </c>
      <c r="X6" s="13"/>
      <c r="Y6" s="13"/>
      <c r="Z6" s="13"/>
      <c r="AA6" s="14"/>
      <c r="AB6" s="13"/>
    </row>
    <row r="7" spans="1:28" ht="15" customHeight="1" x14ac:dyDescent="0.3">
      <c r="A7" s="45"/>
      <c r="B7" s="36"/>
      <c r="C7" s="531">
        <v>42339</v>
      </c>
      <c r="D7" s="418" t="s">
        <v>1115</v>
      </c>
      <c r="E7" s="36"/>
      <c r="F7" s="36"/>
      <c r="G7" s="36"/>
      <c r="H7" s="333" t="s">
        <v>1118</v>
      </c>
      <c r="I7" s="48" t="s">
        <v>1137</v>
      </c>
      <c r="J7" s="96" t="s">
        <v>1192</v>
      </c>
      <c r="K7" s="39"/>
      <c r="L7" s="40"/>
      <c r="M7" s="14"/>
      <c r="N7" t="s">
        <v>1164</v>
      </c>
      <c r="X7" s="13"/>
      <c r="Y7" s="13"/>
      <c r="Z7" s="13"/>
      <c r="AA7" s="14"/>
      <c r="AB7" s="13"/>
    </row>
    <row r="8" spans="1:28" ht="15" customHeight="1" x14ac:dyDescent="0.3">
      <c r="A8" s="41"/>
      <c r="B8" s="39"/>
      <c r="C8" s="20" t="s">
        <v>1117</v>
      </c>
      <c r="D8" s="575" t="s">
        <v>1118</v>
      </c>
      <c r="E8" s="36"/>
      <c r="F8" s="36"/>
      <c r="G8" s="36"/>
      <c r="H8" s="17" t="s">
        <v>1138</v>
      </c>
      <c r="I8" s="80" t="s">
        <v>1133</v>
      </c>
      <c r="J8" s="17">
        <v>6.3</v>
      </c>
      <c r="K8" s="39"/>
      <c r="L8" s="40"/>
      <c r="M8" s="14"/>
      <c r="X8" s="13"/>
      <c r="Y8" s="13"/>
      <c r="Z8" s="13"/>
      <c r="AA8" s="14"/>
      <c r="AB8" s="13"/>
    </row>
    <row r="9" spans="1:28" x14ac:dyDescent="0.3">
      <c r="A9" s="41"/>
      <c r="B9" s="39"/>
      <c r="C9" s="532">
        <v>0.75</v>
      </c>
      <c r="D9" s="576" t="s">
        <v>1120</v>
      </c>
      <c r="E9" s="36"/>
      <c r="F9" s="36"/>
      <c r="G9" s="36"/>
      <c r="H9" s="22" t="s">
        <v>1138</v>
      </c>
      <c r="I9" s="82" t="s">
        <v>1126</v>
      </c>
      <c r="J9" s="22">
        <v>9.8000000000000007</v>
      </c>
      <c r="K9" s="39"/>
      <c r="L9" s="40"/>
      <c r="M9" s="14"/>
      <c r="N9" t="s">
        <v>1165</v>
      </c>
      <c r="X9" s="13"/>
      <c r="Y9" s="13"/>
      <c r="Z9" s="13"/>
      <c r="AA9" s="14"/>
      <c r="AB9" s="13"/>
    </row>
    <row r="10" spans="1:28" x14ac:dyDescent="0.3">
      <c r="A10" s="41"/>
      <c r="B10" s="39"/>
      <c r="C10" s="36"/>
      <c r="D10" s="36"/>
      <c r="E10" s="36"/>
      <c r="F10" s="36"/>
      <c r="G10" s="36"/>
      <c r="H10" s="20" t="s">
        <v>1139</v>
      </c>
      <c r="I10" s="77" t="s">
        <v>1133</v>
      </c>
      <c r="J10" s="20">
        <v>4.9000000000000004</v>
      </c>
      <c r="K10" s="39"/>
      <c r="L10" s="40"/>
      <c r="M10" s="14"/>
      <c r="N10" t="s">
        <v>1193</v>
      </c>
      <c r="X10" s="13"/>
      <c r="Y10" s="13"/>
      <c r="Z10" s="13"/>
      <c r="AA10" s="14"/>
      <c r="AB10" s="13"/>
    </row>
    <row r="11" spans="1:28" x14ac:dyDescent="0.3">
      <c r="A11" s="38"/>
      <c r="B11" s="39"/>
      <c r="C11" s="36"/>
      <c r="D11" s="36"/>
      <c r="E11" s="36"/>
      <c r="F11" s="36"/>
      <c r="G11" s="36"/>
      <c r="H11" s="20" t="s">
        <v>1139</v>
      </c>
      <c r="I11" s="77" t="s">
        <v>1126</v>
      </c>
      <c r="J11" s="20">
        <v>5.9</v>
      </c>
      <c r="K11" s="39"/>
      <c r="L11" s="40"/>
      <c r="M11" s="14"/>
      <c r="N11" t="s">
        <v>1194</v>
      </c>
      <c r="X11" s="13"/>
      <c r="Y11" s="13"/>
      <c r="Z11" s="13"/>
      <c r="AA11" s="14"/>
      <c r="AB11" s="13"/>
    </row>
    <row r="12" spans="1:28" x14ac:dyDescent="0.3">
      <c r="A12" s="38"/>
      <c r="B12" s="39"/>
      <c r="C12" s="36"/>
      <c r="D12" s="36"/>
      <c r="E12" s="36"/>
      <c r="F12" s="36"/>
      <c r="G12" s="36"/>
      <c r="H12" s="17" t="s">
        <v>1134</v>
      </c>
      <c r="I12" s="80" t="s">
        <v>1133</v>
      </c>
      <c r="J12" s="17">
        <v>2</v>
      </c>
      <c r="K12" s="39"/>
      <c r="L12" s="40"/>
      <c r="M12" s="14"/>
      <c r="N12" t="s">
        <v>1195</v>
      </c>
      <c r="X12" s="13"/>
      <c r="Y12" s="13"/>
      <c r="Z12" s="13"/>
      <c r="AA12" s="14"/>
      <c r="AB12" s="13"/>
    </row>
    <row r="13" spans="1:28" x14ac:dyDescent="0.3">
      <c r="A13" s="38"/>
      <c r="B13" s="39"/>
      <c r="C13" s="36"/>
      <c r="D13" s="36"/>
      <c r="E13" s="36"/>
      <c r="F13" s="36"/>
      <c r="G13" s="36"/>
      <c r="H13" s="22" t="s">
        <v>1134</v>
      </c>
      <c r="I13" s="82" t="s">
        <v>1126</v>
      </c>
      <c r="J13" s="22">
        <v>3.8</v>
      </c>
      <c r="K13" s="39"/>
      <c r="L13" s="40"/>
      <c r="M13" s="14"/>
      <c r="X13" s="13"/>
      <c r="Y13" s="13"/>
      <c r="Z13" s="13"/>
      <c r="AA13" s="14"/>
      <c r="AB13" s="13"/>
    </row>
    <row r="14" spans="1:28" x14ac:dyDescent="0.3">
      <c r="A14" s="38"/>
      <c r="B14" s="39"/>
      <c r="C14" s="36"/>
      <c r="D14" s="36"/>
      <c r="E14" s="36"/>
      <c r="F14" s="36"/>
      <c r="G14" s="36"/>
      <c r="H14" s="20" t="s">
        <v>1196</v>
      </c>
      <c r="I14" s="77" t="s">
        <v>1133</v>
      </c>
      <c r="J14" s="20">
        <v>9.3000000000000007</v>
      </c>
      <c r="K14" s="39"/>
      <c r="L14" s="40"/>
      <c r="M14" s="14"/>
      <c r="N14" t="s">
        <v>1197</v>
      </c>
      <c r="X14" s="13"/>
      <c r="Y14" s="13"/>
      <c r="Z14" s="13"/>
      <c r="AA14" s="14"/>
      <c r="AB14" s="13"/>
    </row>
    <row r="15" spans="1:28" x14ac:dyDescent="0.3">
      <c r="A15" s="38"/>
      <c r="B15" s="39"/>
      <c r="C15" s="475"/>
      <c r="D15" s="36"/>
      <c r="E15" s="36"/>
      <c r="F15" s="36"/>
      <c r="G15" s="36"/>
      <c r="H15" s="22" t="s">
        <v>1196</v>
      </c>
      <c r="I15" s="82" t="s">
        <v>1126</v>
      </c>
      <c r="J15" s="22">
        <v>8.5</v>
      </c>
      <c r="K15" s="39"/>
      <c r="L15" s="40"/>
      <c r="M15" s="14"/>
      <c r="N15" t="s">
        <v>1198</v>
      </c>
      <c r="X15" s="13"/>
      <c r="Y15" s="13"/>
      <c r="Z15" s="13"/>
      <c r="AA15" s="14"/>
      <c r="AB15" s="13"/>
    </row>
    <row r="16" spans="1:28" x14ac:dyDescent="0.3">
      <c r="A16" s="38"/>
      <c r="B16" s="39"/>
      <c r="C16" s="475"/>
      <c r="D16" s="36"/>
      <c r="E16" s="36"/>
      <c r="F16" s="36"/>
      <c r="G16" s="36"/>
      <c r="H16" s="181"/>
      <c r="I16" s="181"/>
      <c r="J16" s="36"/>
      <c r="K16" s="39"/>
      <c r="L16" s="40"/>
      <c r="M16" s="14"/>
      <c r="X16" s="13"/>
      <c r="Y16" s="13"/>
      <c r="Z16" s="13"/>
      <c r="AA16" s="14"/>
      <c r="AB16" s="13"/>
    </row>
    <row r="17" spans="1:28" x14ac:dyDescent="0.3">
      <c r="A17" s="38"/>
      <c r="B17" s="39"/>
      <c r="C17" s="551" t="s">
        <v>1171</v>
      </c>
      <c r="D17" s="36"/>
      <c r="E17" s="36"/>
      <c r="F17" s="36"/>
      <c r="G17" s="36"/>
      <c r="H17" s="601" t="s">
        <v>1220</v>
      </c>
      <c r="I17" s="601"/>
      <c r="J17" s="601"/>
      <c r="K17" s="602"/>
      <c r="L17" s="603"/>
      <c r="M17" s="14"/>
      <c r="N17" s="560" t="s">
        <v>566</v>
      </c>
      <c r="O17" s="560" t="s">
        <v>567</v>
      </c>
      <c r="P17" s="560" t="s">
        <v>568</v>
      </c>
      <c r="Q17" s="577" t="s">
        <v>569</v>
      </c>
      <c r="R17" s="560" t="s">
        <v>570</v>
      </c>
      <c r="S17" s="578" t="s">
        <v>571</v>
      </c>
      <c r="T17" s="560" t="s">
        <v>577</v>
      </c>
      <c r="U17" s="578" t="s">
        <v>578</v>
      </c>
      <c r="V17" s="560" t="s">
        <v>579</v>
      </c>
      <c r="W17" s="578" t="s">
        <v>580</v>
      </c>
      <c r="X17" s="560" t="s">
        <v>547</v>
      </c>
      <c r="Y17" s="579" t="s">
        <v>548</v>
      </c>
      <c r="Z17" s="13"/>
      <c r="AA17" s="14"/>
      <c r="AB17" s="13"/>
    </row>
    <row r="18" spans="1:28" ht="43.2" x14ac:dyDescent="0.3">
      <c r="A18" s="45"/>
      <c r="B18" s="36"/>
      <c r="C18" s="48" t="s">
        <v>1115</v>
      </c>
      <c r="D18" s="49" t="s">
        <v>1118</v>
      </c>
      <c r="E18" s="334" t="s">
        <v>1200</v>
      </c>
      <c r="F18" s="334" t="s">
        <v>1172</v>
      </c>
      <c r="G18" s="604"/>
      <c r="H18" s="36"/>
      <c r="I18" s="73" t="s">
        <v>1201</v>
      </c>
      <c r="J18" s="73"/>
      <c r="K18" s="39"/>
      <c r="L18" s="40"/>
      <c r="M18" s="14"/>
      <c r="N18" s="67" t="s">
        <v>1156</v>
      </c>
      <c r="O18" s="67" t="s">
        <v>1137</v>
      </c>
      <c r="P18" s="67" t="s">
        <v>1118</v>
      </c>
      <c r="Q18" s="159" t="s">
        <v>102</v>
      </c>
      <c r="R18" s="67" t="s">
        <v>1202</v>
      </c>
      <c r="S18" s="110" t="s">
        <v>960</v>
      </c>
      <c r="T18" s="67" t="s">
        <v>1175</v>
      </c>
      <c r="U18" s="110" t="s">
        <v>1157</v>
      </c>
      <c r="V18" s="67" t="s">
        <v>1158</v>
      </c>
      <c r="W18" s="110" t="s">
        <v>1159</v>
      </c>
      <c r="X18" s="67" t="s">
        <v>1176</v>
      </c>
      <c r="Y18" s="160" t="s">
        <v>1177</v>
      </c>
      <c r="Z18" s="13"/>
      <c r="AA18" s="14"/>
      <c r="AB18" s="13"/>
    </row>
    <row r="19" spans="1:28" ht="15" customHeight="1" x14ac:dyDescent="0.3">
      <c r="A19" s="45"/>
      <c r="B19" s="36"/>
      <c r="C19" s="531">
        <v>41974</v>
      </c>
      <c r="D19" s="43" t="s">
        <v>1178</v>
      </c>
      <c r="E19" s="17" t="s">
        <v>1203</v>
      </c>
      <c r="F19" s="97">
        <v>75000</v>
      </c>
      <c r="G19" s="36"/>
      <c r="H19" s="36"/>
      <c r="I19" s="181" t="s">
        <v>1204</v>
      </c>
      <c r="J19" s="181" t="s">
        <v>1205</v>
      </c>
      <c r="K19" s="181" t="s">
        <v>1206</v>
      </c>
      <c r="L19" s="37"/>
      <c r="M19" s="14"/>
      <c r="N19" s="63">
        <v>2013</v>
      </c>
      <c r="O19" s="63" t="s">
        <v>1133</v>
      </c>
      <c r="P19" s="58" t="s">
        <v>1139</v>
      </c>
      <c r="Q19" s="580">
        <f>F20</f>
        <v>63000</v>
      </c>
      <c r="R19" s="538">
        <f t="shared" ref="R19:R24" si="0">J10</f>
        <v>4.9000000000000004</v>
      </c>
      <c r="S19" s="581">
        <f>K20</f>
        <v>1.57</v>
      </c>
      <c r="T19" s="582">
        <f>$C$9</f>
        <v>0.75</v>
      </c>
      <c r="U19" s="583">
        <f>PRODUCT(Q19:T19)</f>
        <v>363494.25</v>
      </c>
      <c r="V19" s="584">
        <v>1</v>
      </c>
      <c r="W19" s="585">
        <v>1</v>
      </c>
      <c r="X19" s="538">
        <f t="shared" ref="X19:X24" si="1">F40</f>
        <v>0.92600000000000005</v>
      </c>
      <c r="Y19" s="564">
        <f>PRODUCT(U19:X19)</f>
        <v>336595.67550000001</v>
      </c>
      <c r="Z19" s="13"/>
      <c r="AA19" s="14"/>
      <c r="AB19" s="13"/>
    </row>
    <row r="20" spans="1:28" ht="15" customHeight="1" x14ac:dyDescent="0.3">
      <c r="A20" s="45"/>
      <c r="B20" s="36"/>
      <c r="C20" s="533">
        <v>41609</v>
      </c>
      <c r="D20" s="46" t="s">
        <v>1179</v>
      </c>
      <c r="E20" s="20" t="s">
        <v>1207</v>
      </c>
      <c r="F20" s="97">
        <v>63000</v>
      </c>
      <c r="G20" s="36"/>
      <c r="H20" s="52" t="s">
        <v>1208</v>
      </c>
      <c r="I20" s="586">
        <v>1</v>
      </c>
      <c r="J20" s="587">
        <v>1.24</v>
      </c>
      <c r="K20" s="588">
        <v>1.57</v>
      </c>
      <c r="L20" s="37"/>
      <c r="M20" s="14"/>
      <c r="N20" s="65">
        <v>2013</v>
      </c>
      <c r="O20" s="65" t="s">
        <v>1126</v>
      </c>
      <c r="P20" s="67" t="s">
        <v>1139</v>
      </c>
      <c r="Q20" s="92">
        <f>F20</f>
        <v>63000</v>
      </c>
      <c r="R20" s="540">
        <f t="shared" si="0"/>
        <v>5.9</v>
      </c>
      <c r="S20" s="589">
        <f>K20</f>
        <v>1.57</v>
      </c>
      <c r="T20" s="590">
        <f t="shared" ref="T20:T24" si="2">$C$9</f>
        <v>0.75</v>
      </c>
      <c r="U20" s="591">
        <f t="shared" ref="U20:U24" si="3">PRODUCT(Q20:T20)</f>
        <v>437676.75</v>
      </c>
      <c r="V20" s="592">
        <v>1</v>
      </c>
      <c r="W20" s="593">
        <v>1</v>
      </c>
      <c r="X20" s="540">
        <f t="shared" si="1"/>
        <v>0.90100000000000002</v>
      </c>
      <c r="Y20" s="567">
        <f t="shared" ref="Y20:Y24" si="4">PRODUCT(U20:X20)</f>
        <v>394346.75175</v>
      </c>
      <c r="Z20" s="13"/>
      <c r="AA20" s="14"/>
      <c r="AB20" s="13"/>
    </row>
    <row r="21" spans="1:28" x14ac:dyDescent="0.3">
      <c r="A21" s="45"/>
      <c r="B21" s="36"/>
      <c r="C21" s="533">
        <v>41244</v>
      </c>
      <c r="D21" s="46" t="s">
        <v>1129</v>
      </c>
      <c r="E21" s="20" t="s">
        <v>1209</v>
      </c>
      <c r="F21" s="97">
        <v>42000</v>
      </c>
      <c r="G21" s="36"/>
      <c r="H21" s="52" t="s">
        <v>1210</v>
      </c>
      <c r="I21" s="594">
        <v>1.1499999999999999</v>
      </c>
      <c r="J21" s="454">
        <v>1.27</v>
      </c>
      <c r="K21" s="91">
        <v>1.78</v>
      </c>
      <c r="L21" s="37"/>
      <c r="M21" s="14"/>
      <c r="N21" s="63">
        <v>2012</v>
      </c>
      <c r="O21" s="63" t="s">
        <v>1133</v>
      </c>
      <c r="P21" s="58" t="s">
        <v>1134</v>
      </c>
      <c r="Q21" s="580">
        <f>F21</f>
        <v>42000</v>
      </c>
      <c r="R21" s="538">
        <f t="shared" si="0"/>
        <v>2</v>
      </c>
      <c r="S21" s="581">
        <f>J20</f>
        <v>1.24</v>
      </c>
      <c r="T21" s="582">
        <f t="shared" si="2"/>
        <v>0.75</v>
      </c>
      <c r="U21" s="583">
        <f t="shared" si="3"/>
        <v>78120</v>
      </c>
      <c r="V21" s="584">
        <v>1</v>
      </c>
      <c r="W21" s="585">
        <v>1</v>
      </c>
      <c r="X21" s="538">
        <f t="shared" si="1"/>
        <v>0.89200000000000002</v>
      </c>
      <c r="Y21" s="564">
        <f t="shared" si="4"/>
        <v>69683.040000000008</v>
      </c>
      <c r="Z21" s="13"/>
      <c r="AA21" s="14"/>
      <c r="AB21" s="13"/>
    </row>
    <row r="22" spans="1:28" x14ac:dyDescent="0.3">
      <c r="A22" s="45"/>
      <c r="B22" s="36"/>
      <c r="C22" s="534">
        <v>40878</v>
      </c>
      <c r="D22" s="47" t="s">
        <v>1130</v>
      </c>
      <c r="E22" s="22" t="s">
        <v>1211</v>
      </c>
      <c r="F22" s="98">
        <v>29000</v>
      </c>
      <c r="G22" s="36"/>
      <c r="H22" s="52" t="s">
        <v>1205</v>
      </c>
      <c r="I22" s="595">
        <v>1.33</v>
      </c>
      <c r="J22" s="451">
        <v>1.45</v>
      </c>
      <c r="K22" s="95">
        <v>1.92</v>
      </c>
      <c r="L22" s="37"/>
      <c r="M22" s="14"/>
      <c r="N22" s="65">
        <v>2012</v>
      </c>
      <c r="O22" s="65" t="s">
        <v>1126</v>
      </c>
      <c r="P22" s="67" t="s">
        <v>1134</v>
      </c>
      <c r="Q22" s="92">
        <f>F21</f>
        <v>42000</v>
      </c>
      <c r="R22" s="540">
        <f t="shared" si="0"/>
        <v>3.8</v>
      </c>
      <c r="S22" s="589">
        <f>J20</f>
        <v>1.24</v>
      </c>
      <c r="T22" s="590">
        <f t="shared" si="2"/>
        <v>0.75</v>
      </c>
      <c r="U22" s="591">
        <f t="shared" si="3"/>
        <v>148428</v>
      </c>
      <c r="V22" s="592">
        <v>1</v>
      </c>
      <c r="W22" s="593">
        <v>1</v>
      </c>
      <c r="X22" s="540">
        <f t="shared" si="1"/>
        <v>0.85399999999999998</v>
      </c>
      <c r="Y22" s="567">
        <f t="shared" si="4"/>
        <v>126757.512</v>
      </c>
      <c r="Z22" s="13"/>
      <c r="AA22" s="14"/>
      <c r="AB22" s="13"/>
    </row>
    <row r="23" spans="1:28" x14ac:dyDescent="0.3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39"/>
      <c r="L23" s="40"/>
      <c r="M23" s="14"/>
      <c r="N23" s="61">
        <v>2011</v>
      </c>
      <c r="O23" s="61" t="s">
        <v>1133</v>
      </c>
      <c r="P23" s="100" t="s">
        <v>1130</v>
      </c>
      <c r="Q23" s="88">
        <f>F22</f>
        <v>29000</v>
      </c>
      <c r="R23" s="547">
        <f t="shared" si="0"/>
        <v>9.3000000000000007</v>
      </c>
      <c r="S23" s="596">
        <f>I20</f>
        <v>1</v>
      </c>
      <c r="T23" s="597">
        <f t="shared" si="2"/>
        <v>0.75</v>
      </c>
      <c r="U23" s="598">
        <f t="shared" si="3"/>
        <v>202275</v>
      </c>
      <c r="V23" s="599">
        <v>1</v>
      </c>
      <c r="W23" s="600">
        <v>1</v>
      </c>
      <c r="X23" s="547">
        <f t="shared" si="1"/>
        <v>0.85799999999999998</v>
      </c>
      <c r="Y23" s="570">
        <f t="shared" si="4"/>
        <v>173551.94999999998</v>
      </c>
      <c r="Z23" s="13"/>
      <c r="AA23" s="14"/>
      <c r="AB23" s="13"/>
    </row>
    <row r="24" spans="1:28" x14ac:dyDescent="0.3">
      <c r="A24" s="35" t="s">
        <v>173</v>
      </c>
      <c r="B24" s="36"/>
      <c r="C24" s="36" t="s">
        <v>1212</v>
      </c>
      <c r="D24" s="36"/>
      <c r="E24" s="36"/>
      <c r="F24" s="36"/>
      <c r="G24" s="36"/>
      <c r="H24" s="36"/>
      <c r="I24" s="36"/>
      <c r="J24" s="36"/>
      <c r="K24" s="39"/>
      <c r="L24" s="40"/>
      <c r="M24" s="14"/>
      <c r="N24" s="65">
        <v>2011</v>
      </c>
      <c r="O24" s="65" t="s">
        <v>1126</v>
      </c>
      <c r="P24" s="67" t="s">
        <v>1130</v>
      </c>
      <c r="Q24" s="92">
        <f>F22</f>
        <v>29000</v>
      </c>
      <c r="R24" s="540">
        <f t="shared" si="0"/>
        <v>8.5</v>
      </c>
      <c r="S24" s="589">
        <f>I20</f>
        <v>1</v>
      </c>
      <c r="T24" s="590">
        <f t="shared" si="2"/>
        <v>0.75</v>
      </c>
      <c r="U24" s="591">
        <f t="shared" si="3"/>
        <v>184875</v>
      </c>
      <c r="V24" s="592">
        <v>1</v>
      </c>
      <c r="W24" s="593">
        <f>D36</f>
        <v>1</v>
      </c>
      <c r="X24" s="572">
        <f t="shared" si="1"/>
        <v>0.81</v>
      </c>
      <c r="Y24" s="567">
        <f t="shared" si="4"/>
        <v>149748.75</v>
      </c>
      <c r="Z24" s="13"/>
      <c r="AA24" s="14"/>
      <c r="AB24" s="13"/>
    </row>
    <row r="25" spans="1:28" ht="15" thickBot="1" x14ac:dyDescent="0.35">
      <c r="A25" s="45"/>
      <c r="B25" s="36"/>
      <c r="C25" s="36" t="s">
        <v>1213</v>
      </c>
      <c r="D25" s="36"/>
      <c r="E25" s="36"/>
      <c r="F25" s="36"/>
      <c r="G25" s="36"/>
      <c r="H25" s="36"/>
      <c r="I25" s="36"/>
      <c r="J25" s="36"/>
      <c r="K25" s="39"/>
      <c r="L25" s="40"/>
      <c r="M25" s="1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573" t="s">
        <v>1180</v>
      </c>
      <c r="Y25" s="548">
        <f>SUM(Y19:Y24)</f>
        <v>1250683.67925</v>
      </c>
      <c r="Z25" s="13"/>
      <c r="AA25" s="14"/>
      <c r="AB25" s="13"/>
    </row>
    <row r="26" spans="1:28" x14ac:dyDescent="0.3">
      <c r="A26" s="45"/>
      <c r="B26" s="36"/>
      <c r="C26" s="36"/>
      <c r="D26" s="36"/>
      <c r="E26" s="36"/>
      <c r="F26" s="36"/>
      <c r="G26" s="36"/>
      <c r="H26" s="36"/>
      <c r="I26" s="36"/>
      <c r="J26" s="36"/>
      <c r="K26" s="39"/>
      <c r="L26" s="40"/>
      <c r="M26" s="14"/>
      <c r="Z26" s="13"/>
      <c r="AA26" s="14"/>
      <c r="AB26" s="13"/>
    </row>
    <row r="27" spans="1:28" ht="15" customHeight="1" x14ac:dyDescent="0.3">
      <c r="A27" s="45"/>
      <c r="B27" s="36"/>
      <c r="C27" s="36"/>
      <c r="D27" s="36"/>
      <c r="E27" s="36"/>
      <c r="F27" s="36"/>
      <c r="G27" s="36"/>
      <c r="H27" s="36"/>
      <c r="I27" s="36"/>
      <c r="J27" s="36"/>
      <c r="K27" s="39"/>
      <c r="L27" s="40"/>
      <c r="M27" s="14"/>
      <c r="N27" s="198" t="s">
        <v>1141</v>
      </c>
      <c r="Z27" s="13"/>
      <c r="AA27" s="14"/>
      <c r="AB27" s="13"/>
    </row>
    <row r="28" spans="1:28" ht="15" customHeight="1" x14ac:dyDescent="0.3">
      <c r="A28" s="45"/>
      <c r="B28" s="36"/>
      <c r="C28" s="551" t="s">
        <v>1136</v>
      </c>
      <c r="D28" s="36"/>
      <c r="E28" s="36"/>
      <c r="F28" s="36"/>
      <c r="G28" s="36"/>
      <c r="H28" s="36"/>
      <c r="I28" s="36"/>
      <c r="J28" s="36"/>
      <c r="K28" s="39"/>
      <c r="L28" s="40"/>
      <c r="M28" s="14"/>
      <c r="N28" t="s">
        <v>1214</v>
      </c>
      <c r="Z28" s="13"/>
      <c r="AA28" s="14"/>
      <c r="AB28" s="13"/>
    </row>
    <row r="29" spans="1:28" ht="15" customHeight="1" x14ac:dyDescent="0.3">
      <c r="A29" s="45"/>
      <c r="B29" s="36"/>
      <c r="C29" s="333" t="s">
        <v>1137</v>
      </c>
      <c r="D29" s="48" t="s">
        <v>1130</v>
      </c>
      <c r="E29" s="48" t="s">
        <v>1182</v>
      </c>
      <c r="F29" s="212" t="s">
        <v>1138</v>
      </c>
      <c r="G29" s="48" t="s">
        <v>1139</v>
      </c>
      <c r="H29" s="48" t="s">
        <v>1134</v>
      </c>
      <c r="I29" s="36"/>
      <c r="J29" s="36"/>
      <c r="K29" s="39"/>
      <c r="L29" s="40"/>
      <c r="M29" s="14"/>
      <c r="N29" t="s">
        <v>1215</v>
      </c>
      <c r="Z29" s="13"/>
      <c r="AA29" s="14"/>
      <c r="AB29" s="13"/>
    </row>
    <row r="30" spans="1:28" ht="15" customHeight="1" x14ac:dyDescent="0.3">
      <c r="A30" s="45"/>
      <c r="B30" s="36"/>
      <c r="C30" s="77" t="s">
        <v>1133</v>
      </c>
      <c r="D30" s="155">
        <v>1</v>
      </c>
      <c r="E30" s="155">
        <v>1.1399999999999999</v>
      </c>
      <c r="F30" s="401">
        <v>1.2</v>
      </c>
      <c r="G30" s="20">
        <v>1.32</v>
      </c>
      <c r="H30" s="20">
        <v>1.62</v>
      </c>
      <c r="I30" s="36"/>
      <c r="J30" s="36"/>
      <c r="K30" s="39"/>
      <c r="L30" s="40"/>
      <c r="M30" s="14"/>
      <c r="N30" t="s">
        <v>1216</v>
      </c>
      <c r="Z30" s="13"/>
      <c r="AA30" s="14"/>
      <c r="AB30" s="13"/>
    </row>
    <row r="31" spans="1:28" ht="15" customHeight="1" x14ac:dyDescent="0.3">
      <c r="A31" s="45"/>
      <c r="B31" s="36"/>
      <c r="C31" s="82" t="s">
        <v>1126</v>
      </c>
      <c r="D31" s="162">
        <v>1</v>
      </c>
      <c r="E31" s="22">
        <v>1.51</v>
      </c>
      <c r="F31" s="319">
        <v>1.59</v>
      </c>
      <c r="G31" s="22">
        <v>2.0299999999999998</v>
      </c>
      <c r="H31" s="22">
        <v>2.39</v>
      </c>
      <c r="I31" s="36"/>
      <c r="J31" s="36"/>
      <c r="K31" s="39"/>
      <c r="L31" s="40"/>
      <c r="M31" s="14"/>
      <c r="N31" t="s">
        <v>1217</v>
      </c>
      <c r="Z31" s="13"/>
      <c r="AA31" s="14"/>
      <c r="AB31" s="13"/>
    </row>
    <row r="32" spans="1:28" ht="15" customHeight="1" x14ac:dyDescent="0.3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9"/>
      <c r="L32" s="40"/>
      <c r="M32" s="14"/>
      <c r="N32" t="s">
        <v>1218</v>
      </c>
      <c r="Z32" s="13"/>
      <c r="AA32" s="14"/>
      <c r="AB32" s="13"/>
    </row>
    <row r="33" spans="1:28" x14ac:dyDescent="0.3">
      <c r="A33" s="45"/>
      <c r="B33" s="36"/>
      <c r="C33" s="552" t="s">
        <v>1142</v>
      </c>
      <c r="D33" s="36"/>
      <c r="E33" s="36"/>
      <c r="F33" s="36"/>
      <c r="G33" s="36"/>
      <c r="H33" s="36"/>
      <c r="I33" s="36"/>
      <c r="J33" s="36"/>
      <c r="K33" s="39"/>
      <c r="L33" s="40"/>
      <c r="M33" s="14"/>
      <c r="N33" t="s">
        <v>1219</v>
      </c>
      <c r="Z33" s="13"/>
      <c r="AA33" s="14"/>
      <c r="AB33" s="13"/>
    </row>
    <row r="34" spans="1:28" x14ac:dyDescent="0.3">
      <c r="A34" s="45"/>
      <c r="B34" s="36"/>
      <c r="C34" s="333" t="s">
        <v>1137</v>
      </c>
      <c r="D34" s="48" t="s">
        <v>1130</v>
      </c>
      <c r="E34" s="48" t="s">
        <v>1182</v>
      </c>
      <c r="F34" s="212" t="s">
        <v>1138</v>
      </c>
      <c r="G34" s="48" t="s">
        <v>1139</v>
      </c>
      <c r="H34" s="48" t="s">
        <v>1134</v>
      </c>
      <c r="I34" s="36"/>
      <c r="J34" s="36"/>
      <c r="K34" s="39"/>
      <c r="L34" s="40"/>
      <c r="M34" s="14"/>
      <c r="Z34" s="13"/>
      <c r="AA34" s="14"/>
      <c r="AB34" s="13"/>
    </row>
    <row r="35" spans="1:28" x14ac:dyDescent="0.3">
      <c r="A35" s="45"/>
      <c r="B35" s="36"/>
      <c r="C35" s="77" t="s">
        <v>1133</v>
      </c>
      <c r="D35" s="155">
        <v>1</v>
      </c>
      <c r="E35" s="20">
        <v>0.84</v>
      </c>
      <c r="F35" s="401">
        <v>0.78</v>
      </c>
      <c r="G35" s="20">
        <v>0.67</v>
      </c>
      <c r="H35" s="20">
        <v>0.47</v>
      </c>
      <c r="I35" s="36"/>
      <c r="J35" s="36"/>
      <c r="K35" s="39"/>
      <c r="L35" s="40"/>
      <c r="M35" s="14"/>
      <c r="Z35" s="13"/>
      <c r="AA35" s="14"/>
      <c r="AB35" s="13"/>
    </row>
    <row r="36" spans="1:28" x14ac:dyDescent="0.3">
      <c r="A36" s="45"/>
      <c r="B36" s="36"/>
      <c r="C36" s="82" t="s">
        <v>1126</v>
      </c>
      <c r="D36" s="162">
        <v>1</v>
      </c>
      <c r="E36" s="22">
        <v>0.49</v>
      </c>
      <c r="F36" s="319">
        <v>0.43</v>
      </c>
      <c r="G36" s="22">
        <v>0.35</v>
      </c>
      <c r="H36" s="22">
        <v>0.22</v>
      </c>
      <c r="I36" s="36"/>
      <c r="J36" s="36"/>
      <c r="K36" s="39"/>
      <c r="L36" s="40"/>
      <c r="M36" s="14"/>
      <c r="Z36" s="13"/>
      <c r="AA36" s="14"/>
      <c r="AB36" s="13"/>
    </row>
    <row r="37" spans="1:28" x14ac:dyDescent="0.3">
      <c r="A37" s="45"/>
      <c r="B37" s="36"/>
      <c r="C37" s="36"/>
      <c r="D37" s="36"/>
      <c r="E37" s="36"/>
      <c r="F37" s="36"/>
      <c r="G37" s="36"/>
      <c r="H37" s="36"/>
      <c r="I37" s="36"/>
      <c r="J37" s="36"/>
      <c r="K37" s="39"/>
      <c r="L37" s="40"/>
      <c r="M37" s="14"/>
      <c r="Z37" s="13"/>
      <c r="AA37" s="14"/>
      <c r="AB37" s="13"/>
    </row>
    <row r="38" spans="1:28" x14ac:dyDescent="0.3">
      <c r="A38" s="45"/>
      <c r="B38" s="36"/>
      <c r="C38" s="552" t="s">
        <v>1147</v>
      </c>
      <c r="D38" s="36"/>
      <c r="E38" s="36"/>
      <c r="F38" s="36"/>
      <c r="G38" s="36"/>
      <c r="H38" s="36"/>
      <c r="I38" s="36"/>
      <c r="J38" s="36"/>
      <c r="K38" s="39"/>
      <c r="L38" s="40"/>
      <c r="M38" s="14"/>
      <c r="Z38" s="13"/>
      <c r="AA38" s="14"/>
      <c r="AB38" s="13"/>
    </row>
    <row r="39" spans="1:28" ht="28.8" x14ac:dyDescent="0.3">
      <c r="A39" s="45"/>
      <c r="B39" s="36"/>
      <c r="C39" s="334" t="s">
        <v>1148</v>
      </c>
      <c r="D39" s="333" t="s">
        <v>1137</v>
      </c>
      <c r="E39" s="48" t="s">
        <v>1149</v>
      </c>
      <c r="F39" s="96" t="s">
        <v>1150</v>
      </c>
      <c r="G39" s="36"/>
      <c r="H39" s="36"/>
      <c r="I39" s="36"/>
      <c r="J39" s="36"/>
      <c r="K39" s="39"/>
      <c r="L39" s="40"/>
      <c r="M39" s="14"/>
      <c r="U39" s="13"/>
      <c r="V39" s="13"/>
      <c r="W39" s="13"/>
      <c r="X39" s="13"/>
      <c r="Y39" s="13"/>
      <c r="Z39" s="13"/>
      <c r="AA39" s="14"/>
      <c r="AB39" s="13"/>
    </row>
    <row r="40" spans="1:28" x14ac:dyDescent="0.3">
      <c r="A40" s="45"/>
      <c r="B40" s="36"/>
      <c r="C40" s="777" t="s">
        <v>1151</v>
      </c>
      <c r="D40" s="80" t="s">
        <v>1133</v>
      </c>
      <c r="E40" s="17">
        <v>0.90700000000000003</v>
      </c>
      <c r="F40" s="17">
        <v>0.92600000000000005</v>
      </c>
      <c r="G40" s="36"/>
      <c r="H40" s="36"/>
      <c r="I40" s="36"/>
      <c r="J40" s="36"/>
      <c r="K40" s="39"/>
      <c r="L40" s="40"/>
      <c r="M40" s="14"/>
      <c r="U40" s="13"/>
      <c r="V40" s="13"/>
      <c r="W40" s="13"/>
      <c r="X40" s="13"/>
      <c r="Y40" s="13"/>
      <c r="Z40" s="13"/>
      <c r="AA40" s="14"/>
      <c r="AB40" s="13"/>
    </row>
    <row r="41" spans="1:28" x14ac:dyDescent="0.3">
      <c r="A41" s="45"/>
      <c r="B41" s="36"/>
      <c r="C41" s="778"/>
      <c r="D41" s="82" t="s">
        <v>1126</v>
      </c>
      <c r="E41" s="22">
        <v>0.88200000000000001</v>
      </c>
      <c r="F41" s="22">
        <v>0.90100000000000002</v>
      </c>
      <c r="G41" s="36"/>
      <c r="H41" s="36"/>
      <c r="I41" s="36"/>
      <c r="J41" s="36"/>
      <c r="K41" s="39"/>
      <c r="L41" s="40"/>
      <c r="M41" s="14"/>
      <c r="U41" s="13"/>
      <c r="V41" s="13"/>
      <c r="W41" s="13"/>
      <c r="X41" s="13"/>
      <c r="Y41" s="13"/>
      <c r="Z41" s="13"/>
      <c r="AA41" s="14"/>
      <c r="AB41" s="13"/>
    </row>
    <row r="42" spans="1:28" x14ac:dyDescent="0.3">
      <c r="A42" s="45"/>
      <c r="B42" s="36"/>
      <c r="C42" s="777" t="s">
        <v>1152</v>
      </c>
      <c r="D42" s="80" t="s">
        <v>1133</v>
      </c>
      <c r="E42" s="17">
        <v>0.86399999999999999</v>
      </c>
      <c r="F42" s="17">
        <v>0.89200000000000002</v>
      </c>
      <c r="G42" s="36"/>
      <c r="H42" s="36"/>
      <c r="I42" s="36"/>
      <c r="J42" s="36"/>
      <c r="K42" s="39"/>
      <c r="L42" s="40"/>
      <c r="M42" s="14"/>
      <c r="U42" s="13"/>
      <c r="V42" s="13"/>
      <c r="W42" s="13"/>
      <c r="X42" s="13"/>
      <c r="Y42" s="13"/>
      <c r="Z42" s="13"/>
      <c r="AA42" s="14"/>
      <c r="AB42" s="13"/>
    </row>
    <row r="43" spans="1:28" x14ac:dyDescent="0.3">
      <c r="A43" s="38"/>
      <c r="B43" s="39"/>
      <c r="C43" s="778"/>
      <c r="D43" s="82" t="s">
        <v>1126</v>
      </c>
      <c r="E43" s="22">
        <v>0.82799999999999996</v>
      </c>
      <c r="F43" s="22">
        <v>0.85399999999999998</v>
      </c>
      <c r="G43" s="36"/>
      <c r="H43" s="36"/>
      <c r="I43" s="36"/>
      <c r="J43" s="36"/>
      <c r="K43" s="39"/>
      <c r="L43" s="40"/>
      <c r="M43" s="14"/>
      <c r="U43" s="13"/>
      <c r="V43" s="13"/>
      <c r="W43" s="13"/>
      <c r="X43" s="13"/>
      <c r="Y43" s="13"/>
      <c r="Z43" s="13"/>
      <c r="AA43" s="14"/>
      <c r="AB43" s="13"/>
    </row>
    <row r="44" spans="1:28" x14ac:dyDescent="0.3">
      <c r="A44" s="45"/>
      <c r="B44" s="36"/>
      <c r="C44" s="777" t="s">
        <v>1153</v>
      </c>
      <c r="D44" s="77" t="s">
        <v>1133</v>
      </c>
      <c r="E44" s="20">
        <v>0.82299999999999995</v>
      </c>
      <c r="F44" s="20">
        <v>0.85799999999999998</v>
      </c>
      <c r="G44" s="36"/>
      <c r="H44" s="36"/>
      <c r="I44" s="36"/>
      <c r="J44" s="36"/>
      <c r="K44" s="36"/>
      <c r="L44" s="37"/>
      <c r="M44" s="14"/>
      <c r="U44" s="13"/>
      <c r="V44" s="13"/>
      <c r="W44" s="13"/>
      <c r="X44" s="13"/>
      <c r="Y44" s="13"/>
      <c r="Z44" s="13"/>
      <c r="AA44" s="14"/>
      <c r="AB44" s="13"/>
    </row>
    <row r="45" spans="1:28" x14ac:dyDescent="0.3">
      <c r="A45" s="45"/>
      <c r="B45" s="36"/>
      <c r="C45" s="778"/>
      <c r="D45" s="82" t="s">
        <v>1126</v>
      </c>
      <c r="E45" s="22">
        <v>0.77700000000000002</v>
      </c>
      <c r="F45" s="549">
        <v>0.81</v>
      </c>
      <c r="G45" s="36"/>
      <c r="H45" s="36"/>
      <c r="I45" s="36"/>
      <c r="J45" s="36"/>
      <c r="K45" s="36"/>
      <c r="L45" s="37"/>
      <c r="M45" s="14"/>
      <c r="U45" s="13"/>
      <c r="V45" s="13"/>
      <c r="W45" s="13"/>
      <c r="X45" s="13"/>
      <c r="Y45" s="13"/>
      <c r="Z45" s="13"/>
      <c r="AA45" s="14"/>
      <c r="AB45" s="13"/>
    </row>
    <row r="46" spans="1:28" ht="15" thickBot="1" x14ac:dyDescent="0.3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5"/>
      <c r="M46" s="14"/>
      <c r="U46" s="13"/>
      <c r="V46" s="13"/>
      <c r="W46" s="13"/>
      <c r="X46" s="13"/>
      <c r="Y46" s="13"/>
      <c r="Z46" s="13"/>
      <c r="AA46" s="14"/>
      <c r="AB46" s="13"/>
    </row>
    <row r="47" spans="1:28" x14ac:dyDescent="0.3">
      <c r="M47" s="14"/>
      <c r="U47" s="13"/>
      <c r="V47" s="13"/>
      <c r="W47" s="13"/>
      <c r="X47" s="13"/>
      <c r="Y47" s="13"/>
      <c r="Z47" s="13"/>
      <c r="AA47" s="14"/>
      <c r="AB47" s="13"/>
    </row>
    <row r="48" spans="1:28" x14ac:dyDescent="0.3">
      <c r="M48" s="14"/>
      <c r="U48" s="13"/>
      <c r="V48" s="13"/>
      <c r="W48" s="13"/>
      <c r="X48" s="13"/>
      <c r="Y48" s="13"/>
      <c r="Z48" s="13"/>
      <c r="AA48" s="14"/>
      <c r="AB48" s="13"/>
    </row>
    <row r="49" spans="1:28" x14ac:dyDescent="0.3">
      <c r="M49" s="14"/>
      <c r="U49" s="13"/>
      <c r="V49" s="13"/>
      <c r="W49" s="13"/>
      <c r="X49" s="13"/>
      <c r="Y49" s="13"/>
      <c r="Z49" s="13"/>
      <c r="AA49" s="14"/>
      <c r="AB49" s="13"/>
    </row>
    <row r="50" spans="1:28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8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4"/>
    </row>
    <row r="52" spans="1:28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4"/>
    </row>
    <row r="53" spans="1:28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4"/>
    </row>
    <row r="54" spans="1:28" x14ac:dyDescent="0.3"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4"/>
    </row>
    <row r="55" spans="1:28" x14ac:dyDescent="0.3"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4"/>
    </row>
    <row r="56" spans="1:28" x14ac:dyDescent="0.3"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4"/>
    </row>
    <row r="57" spans="1:28" x14ac:dyDescent="0.3"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4"/>
    </row>
    <row r="58" spans="1:28" x14ac:dyDescent="0.3"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4"/>
    </row>
    <row r="59" spans="1:28" x14ac:dyDescent="0.3"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4"/>
    </row>
    <row r="60" spans="1:28" x14ac:dyDescent="0.3"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4"/>
    </row>
    <row r="61" spans="1:28" x14ac:dyDescent="0.3"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</row>
    <row r="62" spans="1:28" x14ac:dyDescent="0.3"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</row>
    <row r="63" spans="1:28" x14ac:dyDescent="0.3"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</row>
    <row r="64" spans="1:28" x14ac:dyDescent="0.3"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</row>
    <row r="65" spans="13:27" x14ac:dyDescent="0.3">
      <c r="M65" s="14"/>
      <c r="AA65" s="14"/>
    </row>
    <row r="66" spans="13:27" x14ac:dyDescent="0.3">
      <c r="M66" s="14"/>
      <c r="AA66" s="14"/>
    </row>
    <row r="67" spans="13:27" x14ac:dyDescent="0.3">
      <c r="M67" s="14"/>
      <c r="AA67" s="14"/>
    </row>
    <row r="68" spans="13:27" x14ac:dyDescent="0.3">
      <c r="M68" s="14"/>
      <c r="AA68" s="14"/>
    </row>
    <row r="69" spans="13:27" x14ac:dyDescent="0.3">
      <c r="M69" s="14"/>
      <c r="AA69" s="14"/>
    </row>
    <row r="70" spans="13:27" x14ac:dyDescent="0.3">
      <c r="M70" s="14"/>
      <c r="AA70" s="14"/>
    </row>
    <row r="71" spans="13:27" x14ac:dyDescent="0.3">
      <c r="M71" s="14"/>
      <c r="AA71" s="14"/>
    </row>
    <row r="72" spans="13:27" x14ac:dyDescent="0.3">
      <c r="M72" s="14"/>
      <c r="AA72" s="14"/>
    </row>
    <row r="73" spans="13:27" x14ac:dyDescent="0.3">
      <c r="M73" s="14"/>
      <c r="AA73" s="14"/>
    </row>
    <row r="74" spans="13:27" x14ac:dyDescent="0.3">
      <c r="M74" s="14"/>
      <c r="AA74" s="14"/>
    </row>
    <row r="75" spans="13:27" x14ac:dyDescent="0.3">
      <c r="M75" s="14"/>
      <c r="AA75" s="14"/>
    </row>
    <row r="76" spans="13:27" x14ac:dyDescent="0.3">
      <c r="M76" s="14"/>
      <c r="AA76" s="14"/>
    </row>
    <row r="77" spans="13:27" x14ac:dyDescent="0.3">
      <c r="M77" s="14"/>
      <c r="AA77" s="14"/>
    </row>
    <row r="78" spans="13:27" x14ac:dyDescent="0.3">
      <c r="M78" s="14"/>
      <c r="AA78" s="14"/>
    </row>
    <row r="79" spans="13:27" x14ac:dyDescent="0.3">
      <c r="M79" s="14"/>
      <c r="AA79" s="14"/>
    </row>
    <row r="80" spans="13:27" x14ac:dyDescent="0.3">
      <c r="M80" s="14"/>
      <c r="AA80" s="14"/>
    </row>
    <row r="81" spans="13:27" x14ac:dyDescent="0.3">
      <c r="M81" s="14"/>
      <c r="AA81" s="14"/>
    </row>
    <row r="82" spans="13:27" x14ac:dyDescent="0.3">
      <c r="M82" s="14"/>
      <c r="AA82" s="14"/>
    </row>
    <row r="83" spans="13:27" x14ac:dyDescent="0.3">
      <c r="M83" s="14"/>
      <c r="AA83" s="14"/>
    </row>
    <row r="84" spans="13:27" x14ac:dyDescent="0.3">
      <c r="M84" s="14"/>
      <c r="AA84" s="14"/>
    </row>
    <row r="85" spans="13:27" x14ac:dyDescent="0.3">
      <c r="M85" s="14"/>
      <c r="AA85" s="14"/>
    </row>
    <row r="86" spans="13:27" x14ac:dyDescent="0.3">
      <c r="M86" s="14"/>
      <c r="AA86" s="14"/>
    </row>
    <row r="87" spans="13:27" x14ac:dyDescent="0.3">
      <c r="M87" s="14"/>
      <c r="AA87" s="14"/>
    </row>
    <row r="88" spans="13:27" x14ac:dyDescent="0.3">
      <c r="M88" s="14"/>
      <c r="AA88" s="14"/>
    </row>
    <row r="89" spans="13:27" x14ac:dyDescent="0.3">
      <c r="M89" s="14"/>
      <c r="AA89" s="14"/>
    </row>
    <row r="90" spans="13:27" x14ac:dyDescent="0.3">
      <c r="M90" s="14"/>
      <c r="AA90" s="14"/>
    </row>
    <row r="91" spans="13:27" x14ac:dyDescent="0.3">
      <c r="M91" s="14"/>
      <c r="AA91" s="14"/>
    </row>
    <row r="92" spans="13:27" x14ac:dyDescent="0.3">
      <c r="M92" s="14"/>
      <c r="AA92" s="14"/>
    </row>
    <row r="93" spans="13:27" x14ac:dyDescent="0.3">
      <c r="M93" s="14"/>
      <c r="AA93" s="14"/>
    </row>
    <row r="94" spans="13:27" x14ac:dyDescent="0.3">
      <c r="M94" s="14"/>
      <c r="AA94" s="14"/>
    </row>
    <row r="95" spans="13:27" x14ac:dyDescent="0.3">
      <c r="M95" s="14"/>
      <c r="AA95" s="14"/>
    </row>
    <row r="96" spans="13:27" x14ac:dyDescent="0.3">
      <c r="M96" s="14"/>
      <c r="AA96" s="14"/>
    </row>
    <row r="97" spans="1:27" x14ac:dyDescent="0.3">
      <c r="M97" s="14"/>
      <c r="AA97" s="14"/>
    </row>
    <row r="98" spans="1:27" x14ac:dyDescent="0.3">
      <c r="M98" s="14"/>
      <c r="AA98" s="14"/>
    </row>
    <row r="99" spans="1:27" x14ac:dyDescent="0.3">
      <c r="M99" s="14"/>
      <c r="AA99" s="14"/>
    </row>
    <row r="100" spans="1:27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4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4"/>
    </row>
    <row r="102" spans="1:27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4"/>
    </row>
    <row r="103" spans="1:27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4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/>
    </row>
    <row r="104" spans="1:27" x14ac:dyDescent="0.3">
      <c r="M104" s="14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4"/>
    </row>
    <row r="105" spans="1:27" x14ac:dyDescent="0.3">
      <c r="M105" s="14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4"/>
    </row>
    <row r="106" spans="1:27" x14ac:dyDescent="0.3">
      <c r="M106" s="14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4"/>
    </row>
    <row r="107" spans="1:27" x14ac:dyDescent="0.3">
      <c r="M107" s="14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4"/>
    </row>
    <row r="108" spans="1:27" x14ac:dyDescent="0.3">
      <c r="M108" s="14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4"/>
    </row>
    <row r="109" spans="1:27" x14ac:dyDescent="0.3">
      <c r="M109" s="14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4"/>
    </row>
    <row r="110" spans="1:27" x14ac:dyDescent="0.3">
      <c r="M110" s="14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4"/>
    </row>
    <row r="111" spans="1:27" x14ac:dyDescent="0.3">
      <c r="M111" s="14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4"/>
    </row>
    <row r="112" spans="1:27" x14ac:dyDescent="0.3">
      <c r="M112" s="14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4"/>
    </row>
    <row r="113" spans="13:27" x14ac:dyDescent="0.3">
      <c r="M113" s="14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4"/>
    </row>
    <row r="114" spans="13:27" x14ac:dyDescent="0.3">
      <c r="M114" s="14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4"/>
    </row>
    <row r="115" spans="13:27" x14ac:dyDescent="0.3">
      <c r="M115" s="14"/>
      <c r="AA115" s="14"/>
    </row>
    <row r="116" spans="13:27" x14ac:dyDescent="0.3">
      <c r="M116" s="14"/>
      <c r="AA116" s="14"/>
    </row>
    <row r="117" spans="13:27" x14ac:dyDescent="0.3">
      <c r="M117" s="14"/>
      <c r="AA117" s="14"/>
    </row>
    <row r="118" spans="13:27" x14ac:dyDescent="0.3">
      <c r="M118" s="14"/>
      <c r="AA118" s="14"/>
    </row>
    <row r="119" spans="13:27" x14ac:dyDescent="0.3">
      <c r="M119" s="14"/>
      <c r="AA119" s="14"/>
    </row>
    <row r="120" spans="13:27" x14ac:dyDescent="0.3">
      <c r="M120" s="14"/>
      <c r="AA120" s="14"/>
    </row>
    <row r="121" spans="13:27" x14ac:dyDescent="0.3">
      <c r="M121" s="14"/>
      <c r="AA121" s="14"/>
    </row>
    <row r="122" spans="13:27" x14ac:dyDescent="0.3">
      <c r="M122" s="14"/>
      <c r="AA122" s="14"/>
    </row>
    <row r="123" spans="13:27" x14ac:dyDescent="0.3">
      <c r="M123" s="14"/>
      <c r="AA123" s="14"/>
    </row>
    <row r="124" spans="13:27" x14ac:dyDescent="0.3">
      <c r="M124" s="14"/>
      <c r="AA124" s="14"/>
    </row>
    <row r="125" spans="13:27" x14ac:dyDescent="0.3">
      <c r="M125" s="14"/>
      <c r="AA125" s="14"/>
    </row>
    <row r="126" spans="13:27" x14ac:dyDescent="0.3">
      <c r="M126" s="14"/>
      <c r="AA126" s="14"/>
    </row>
    <row r="127" spans="13:27" x14ac:dyDescent="0.3">
      <c r="M127" s="14"/>
      <c r="AA127" s="14"/>
    </row>
    <row r="128" spans="13:27" x14ac:dyDescent="0.3">
      <c r="M128" s="14"/>
      <c r="AA128" s="14"/>
    </row>
    <row r="129" spans="13:27" x14ac:dyDescent="0.3">
      <c r="M129" s="14"/>
      <c r="AA129" s="14"/>
    </row>
    <row r="130" spans="13:27" x14ac:dyDescent="0.3">
      <c r="M130" s="14"/>
      <c r="AA130" s="14"/>
    </row>
    <row r="131" spans="13:27" x14ac:dyDescent="0.3">
      <c r="M131" s="14"/>
      <c r="AA131" s="14"/>
    </row>
    <row r="132" spans="13:27" x14ac:dyDescent="0.3">
      <c r="M132" s="14"/>
      <c r="AA132" s="14"/>
    </row>
    <row r="133" spans="13:27" x14ac:dyDescent="0.3">
      <c r="M133" s="14"/>
      <c r="AA133" s="14"/>
    </row>
    <row r="134" spans="13:27" x14ac:dyDescent="0.3">
      <c r="M134" s="14"/>
      <c r="AA134" s="14"/>
    </row>
    <row r="135" spans="13:27" x14ac:dyDescent="0.3">
      <c r="M135" s="14"/>
      <c r="AA135" s="14"/>
    </row>
    <row r="136" spans="13:27" x14ac:dyDescent="0.3">
      <c r="M136" s="14"/>
      <c r="AA136" s="14"/>
    </row>
    <row r="137" spans="13:27" x14ac:dyDescent="0.3">
      <c r="M137" s="14"/>
      <c r="AA137" s="14"/>
    </row>
    <row r="138" spans="13:27" x14ac:dyDescent="0.3">
      <c r="M138" s="14"/>
      <c r="AA138" s="14"/>
    </row>
    <row r="139" spans="13:27" x14ac:dyDescent="0.3">
      <c r="M139" s="14"/>
      <c r="AA139" s="14"/>
    </row>
    <row r="140" spans="13:27" x14ac:dyDescent="0.3">
      <c r="M140" s="14"/>
      <c r="AA140" s="14"/>
    </row>
    <row r="141" spans="13:27" x14ac:dyDescent="0.3">
      <c r="M141" s="14"/>
      <c r="AA141" s="14"/>
    </row>
    <row r="142" spans="13:27" x14ac:dyDescent="0.3">
      <c r="M142" s="14"/>
      <c r="AA142" s="14"/>
    </row>
    <row r="143" spans="13:27" x14ac:dyDescent="0.3">
      <c r="M143" s="14"/>
      <c r="AA143" s="14"/>
    </row>
    <row r="144" spans="13:27" x14ac:dyDescent="0.3">
      <c r="M144" s="14"/>
      <c r="AA144" s="14"/>
    </row>
    <row r="145" spans="1:27" x14ac:dyDescent="0.3">
      <c r="M145" s="14"/>
      <c r="AA145" s="14"/>
    </row>
    <row r="146" spans="1:27" x14ac:dyDescent="0.3">
      <c r="M146" s="14"/>
      <c r="AA146" s="14"/>
    </row>
    <row r="147" spans="1:27" x14ac:dyDescent="0.3">
      <c r="M147" s="14"/>
      <c r="AA147" s="14"/>
    </row>
    <row r="148" spans="1:27" x14ac:dyDescent="0.3">
      <c r="M148" s="14"/>
      <c r="AA148" s="14"/>
    </row>
    <row r="149" spans="1:27" x14ac:dyDescent="0.3">
      <c r="M149" s="14"/>
      <c r="AA149" s="14"/>
    </row>
    <row r="150" spans="1:27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x14ac:dyDescent="0.3">
      <c r="M151" s="14"/>
      <c r="AA151" s="14"/>
    </row>
    <row r="152" spans="1:27" x14ac:dyDescent="0.3">
      <c r="M152" s="14"/>
      <c r="AA152" s="14"/>
    </row>
    <row r="153" spans="1:27" x14ac:dyDescent="0.3">
      <c r="M153" s="14"/>
      <c r="AA153" s="14"/>
    </row>
    <row r="154" spans="1:27" x14ac:dyDescent="0.3">
      <c r="M154" s="14"/>
      <c r="AA154" s="14"/>
    </row>
    <row r="155" spans="1:27" x14ac:dyDescent="0.3">
      <c r="M155" s="14"/>
      <c r="AA155" s="14"/>
    </row>
    <row r="156" spans="1:27" x14ac:dyDescent="0.3">
      <c r="M156" s="14"/>
      <c r="AA156" s="14"/>
    </row>
    <row r="157" spans="1:27" x14ac:dyDescent="0.3">
      <c r="M157" s="14"/>
      <c r="AA157" s="14"/>
    </row>
    <row r="158" spans="1:27" x14ac:dyDescent="0.3">
      <c r="M158" s="14"/>
      <c r="AA158" s="14"/>
    </row>
  </sheetData>
  <mergeCells count="4">
    <mergeCell ref="C40:C41"/>
    <mergeCell ref="C42:C43"/>
    <mergeCell ref="C44:C45"/>
    <mergeCell ref="J1:L1"/>
  </mergeCells>
  <hyperlinks>
    <hyperlink ref="J1" location="TOC!A1" display="Return to TOC" xr:uid="{4F574D33-0D29-4589-B368-208C12889036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35E9-E57E-462E-BE4A-F37AEF34B77D}">
  <sheetPr codeName="Sheet87"/>
  <dimension ref="A1:Y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7.88671875" customWidth="1"/>
    <col min="4" max="4" width="26.44140625" customWidth="1"/>
    <col min="5" max="5" width="17.6640625" customWidth="1"/>
    <col min="6" max="6" width="14.44140625" bestFit="1" customWidth="1"/>
    <col min="7" max="7" width="10" bestFit="1" customWidth="1"/>
    <col min="8" max="8" width="18.44140625" bestFit="1" customWidth="1"/>
    <col min="9" max="10" width="2.6640625" customWidth="1"/>
    <col min="11" max="11" width="10.109375" customWidth="1"/>
    <col min="12" max="12" width="11.44140625" customWidth="1"/>
    <col min="13" max="13" width="9.33203125" customWidth="1"/>
    <col min="14" max="14" width="18.44140625" bestFit="1" customWidth="1"/>
    <col min="15" max="15" width="12.5546875" bestFit="1" customWidth="1"/>
    <col min="16" max="16" width="9.33203125" customWidth="1"/>
    <col min="17" max="17" width="13.33203125" bestFit="1" customWidth="1"/>
    <col min="18" max="18" width="0.88671875" customWidth="1"/>
    <col min="19" max="19" width="9.109375" customWidth="1"/>
    <col min="21" max="21" width="12.33203125" customWidth="1"/>
    <col min="22" max="22" width="10" customWidth="1"/>
    <col min="23" max="23" width="6.44140625" customWidth="1"/>
  </cols>
  <sheetData>
    <row r="1" spans="1:25" x14ac:dyDescent="0.3">
      <c r="A1" s="32" t="s">
        <v>137</v>
      </c>
      <c r="B1" s="33"/>
      <c r="C1" s="33" t="s">
        <v>131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7"/>
      <c r="J2" s="10"/>
      <c r="K2" t="s">
        <v>1222</v>
      </c>
      <c r="X2" s="10"/>
    </row>
    <row r="3" spans="1:25" x14ac:dyDescent="0.3">
      <c r="A3" s="35" t="s">
        <v>141</v>
      </c>
      <c r="B3" s="36"/>
      <c r="C3" s="36" t="s">
        <v>1221</v>
      </c>
      <c r="D3" s="36"/>
      <c r="E3" s="36"/>
      <c r="F3" s="36"/>
      <c r="G3" s="36"/>
      <c r="H3" s="36"/>
      <c r="I3" s="37"/>
      <c r="J3" s="10"/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K4" t="s">
        <v>1223</v>
      </c>
      <c r="U4" s="13"/>
      <c r="V4" s="13"/>
      <c r="W4" s="13"/>
      <c r="X4" s="14"/>
      <c r="Y4" s="13"/>
    </row>
    <row r="5" spans="1:25" ht="15" customHeight="1" x14ac:dyDescent="0.3">
      <c r="A5" s="41" t="s">
        <v>144</v>
      </c>
      <c r="B5" s="36"/>
      <c r="C5" s="36" t="s">
        <v>1113</v>
      </c>
      <c r="D5" s="36"/>
      <c r="E5" s="36"/>
      <c r="F5" s="36"/>
      <c r="G5" s="36"/>
      <c r="H5" s="36"/>
      <c r="I5" s="37"/>
      <c r="J5" s="14"/>
      <c r="K5" s="349" t="s">
        <v>1224</v>
      </c>
      <c r="L5" s="605">
        <f>SUM(H9:H14)</f>
        <v>170111</v>
      </c>
      <c r="U5" s="13"/>
      <c r="V5" s="13"/>
      <c r="W5" s="13"/>
      <c r="X5" s="14"/>
      <c r="Y5" s="13"/>
    </row>
    <row r="6" spans="1:25" x14ac:dyDescent="0.3">
      <c r="A6" s="45"/>
      <c r="B6" s="36"/>
      <c r="C6" s="36"/>
      <c r="D6" s="36"/>
      <c r="E6" s="36"/>
      <c r="F6" s="36"/>
      <c r="G6" s="36"/>
      <c r="H6" s="36"/>
      <c r="I6" s="37"/>
      <c r="J6" s="14"/>
      <c r="U6" s="13"/>
      <c r="V6" s="13"/>
      <c r="W6" s="13"/>
      <c r="X6" s="14"/>
      <c r="Y6" s="13"/>
    </row>
    <row r="7" spans="1:25" ht="15" customHeight="1" x14ac:dyDescent="0.3">
      <c r="A7" s="45"/>
      <c r="B7" s="36"/>
      <c r="C7" s="531">
        <v>41974</v>
      </c>
      <c r="D7" s="418" t="s">
        <v>1115</v>
      </c>
      <c r="E7" s="36"/>
      <c r="F7" s="783" t="s">
        <v>1156</v>
      </c>
      <c r="G7" s="783" t="s">
        <v>1137</v>
      </c>
      <c r="H7" s="17" t="s">
        <v>1154</v>
      </c>
      <c r="I7" s="37"/>
      <c r="J7" s="14"/>
      <c r="K7" t="s">
        <v>1225</v>
      </c>
      <c r="U7" s="13"/>
      <c r="V7" s="13"/>
      <c r="W7" s="13"/>
      <c r="X7" s="14"/>
      <c r="Y7" s="13"/>
    </row>
    <row r="8" spans="1:25" ht="15" customHeight="1" x14ac:dyDescent="0.3">
      <c r="A8" s="41"/>
      <c r="B8" s="39"/>
      <c r="C8" s="20" t="s">
        <v>1117</v>
      </c>
      <c r="D8" s="575" t="s">
        <v>1118</v>
      </c>
      <c r="E8" s="36"/>
      <c r="F8" s="784"/>
      <c r="G8" s="784"/>
      <c r="H8" s="22" t="s">
        <v>1155</v>
      </c>
      <c r="I8" s="37"/>
      <c r="J8" s="14"/>
      <c r="K8" t="str">
        <f>"By looking up the row which contains the CSLC of "&amp;TEXT(L5,"#,###")&amp;" we get:"</f>
        <v>By looking up the row which contains the CSLC of 170,111 we get:</v>
      </c>
      <c r="U8" s="13"/>
      <c r="V8" s="13"/>
      <c r="W8" s="13"/>
      <c r="X8" s="14"/>
      <c r="Y8" s="13"/>
    </row>
    <row r="9" spans="1:25" x14ac:dyDescent="0.3">
      <c r="A9" s="41"/>
      <c r="B9" s="39"/>
      <c r="C9" s="558">
        <v>0.65</v>
      </c>
      <c r="D9" s="575" t="s">
        <v>1120</v>
      </c>
      <c r="E9" s="36"/>
      <c r="F9" s="80">
        <v>2012</v>
      </c>
      <c r="G9" s="17" t="s">
        <v>1133</v>
      </c>
      <c r="H9" s="145">
        <v>24938</v>
      </c>
      <c r="I9" s="37"/>
      <c r="J9" s="14"/>
      <c r="K9" s="606">
        <f>D43</f>
        <v>0.37</v>
      </c>
      <c r="L9" t="s">
        <v>1227</v>
      </c>
      <c r="U9" s="13"/>
      <c r="V9" s="13"/>
      <c r="W9" s="13"/>
      <c r="X9" s="14"/>
      <c r="Y9" s="13"/>
    </row>
    <row r="10" spans="1:25" x14ac:dyDescent="0.3">
      <c r="A10" s="38"/>
      <c r="B10" s="39"/>
      <c r="C10" s="534">
        <v>41882</v>
      </c>
      <c r="D10" s="576" t="s">
        <v>1226</v>
      </c>
      <c r="E10" s="36"/>
      <c r="F10" s="82">
        <v>2012</v>
      </c>
      <c r="G10" s="22" t="s">
        <v>1126</v>
      </c>
      <c r="H10" s="148">
        <v>5014</v>
      </c>
      <c r="I10" s="37"/>
      <c r="J10" s="14"/>
      <c r="K10" s="606">
        <f>E43</f>
        <v>0.89100000000000001</v>
      </c>
      <c r="L10" t="s">
        <v>1228</v>
      </c>
      <c r="U10" s="13"/>
      <c r="V10" s="13"/>
      <c r="W10" s="13"/>
      <c r="X10" s="14"/>
      <c r="Y10" s="13"/>
    </row>
    <row r="11" spans="1:25" x14ac:dyDescent="0.3">
      <c r="A11" s="38"/>
      <c r="B11" s="39"/>
      <c r="C11" s="36"/>
      <c r="D11" s="36"/>
      <c r="E11" s="36"/>
      <c r="F11" s="80">
        <v>2011</v>
      </c>
      <c r="G11" s="17" t="s">
        <v>1133</v>
      </c>
      <c r="H11" s="145">
        <v>50544</v>
      </c>
      <c r="I11" s="37"/>
      <c r="J11" s="14"/>
      <c r="K11" s="598">
        <f>F43</f>
        <v>119600</v>
      </c>
      <c r="L11" t="s">
        <v>1229</v>
      </c>
      <c r="U11" s="13"/>
      <c r="V11" s="13"/>
      <c r="W11" s="13"/>
      <c r="X11" s="14"/>
      <c r="Y11" s="13"/>
    </row>
    <row r="12" spans="1:25" ht="16.2" x14ac:dyDescent="0.3">
      <c r="A12" s="38"/>
      <c r="B12" s="39"/>
      <c r="C12" s="36"/>
      <c r="D12" s="230" t="s">
        <v>1122</v>
      </c>
      <c r="E12" s="36"/>
      <c r="F12" s="82">
        <v>2011</v>
      </c>
      <c r="G12" s="22" t="s">
        <v>1126</v>
      </c>
      <c r="H12" s="148">
        <v>21393</v>
      </c>
      <c r="I12" s="37"/>
      <c r="J12" s="14"/>
      <c r="U12" s="13"/>
      <c r="V12" s="13"/>
      <c r="W12" s="13"/>
      <c r="X12" s="14"/>
      <c r="Y12" s="13"/>
    </row>
    <row r="13" spans="1:25" x14ac:dyDescent="0.3">
      <c r="A13" s="38"/>
      <c r="B13" s="39"/>
      <c r="C13" s="325">
        <v>75000</v>
      </c>
      <c r="D13" s="43" t="s">
        <v>1124</v>
      </c>
      <c r="E13" s="36"/>
      <c r="F13" s="80">
        <v>2010</v>
      </c>
      <c r="G13" s="17" t="s">
        <v>1133</v>
      </c>
      <c r="H13" s="145">
        <v>48146</v>
      </c>
      <c r="I13" s="37"/>
      <c r="J13" s="14"/>
      <c r="K13" t="s">
        <v>1230</v>
      </c>
      <c r="U13" s="13"/>
      <c r="V13" s="13"/>
      <c r="W13" s="13"/>
      <c r="X13" s="14"/>
      <c r="Y13" s="13"/>
    </row>
    <row r="14" spans="1:25" x14ac:dyDescent="0.3">
      <c r="A14" s="38"/>
      <c r="B14" s="39"/>
      <c r="C14" s="98">
        <v>25000</v>
      </c>
      <c r="D14" s="47" t="s">
        <v>1126</v>
      </c>
      <c r="E14" s="36"/>
      <c r="F14" s="82">
        <v>2010</v>
      </c>
      <c r="G14" s="22" t="s">
        <v>1126</v>
      </c>
      <c r="H14" s="148">
        <v>20076</v>
      </c>
      <c r="I14" s="37"/>
      <c r="J14" s="14"/>
      <c r="K14" t="s">
        <v>1231</v>
      </c>
      <c r="U14" s="13"/>
      <c r="V14" s="13"/>
      <c r="W14" s="13"/>
      <c r="X14" s="14"/>
      <c r="Y14" s="13"/>
    </row>
    <row r="15" spans="1:25" x14ac:dyDescent="0.3">
      <c r="A15" s="38"/>
      <c r="B15" s="39"/>
      <c r="C15" s="36"/>
      <c r="D15" s="36"/>
      <c r="E15" s="36"/>
      <c r="F15" s="36"/>
      <c r="G15" s="36"/>
      <c r="H15" s="36"/>
      <c r="I15" s="37"/>
      <c r="J15" s="14"/>
      <c r="U15" s="13"/>
      <c r="V15" s="13"/>
      <c r="W15" s="13"/>
      <c r="X15" s="14"/>
      <c r="Y15" s="13"/>
    </row>
    <row r="16" spans="1:25" x14ac:dyDescent="0.3">
      <c r="A16" s="45"/>
      <c r="B16" s="36"/>
      <c r="C16" s="48" t="s">
        <v>1115</v>
      </c>
      <c r="D16" s="212" t="s">
        <v>1118</v>
      </c>
      <c r="E16" s="48" t="s">
        <v>1232</v>
      </c>
      <c r="F16" s="48" t="s">
        <v>560</v>
      </c>
      <c r="G16" s="36"/>
      <c r="H16" s="36"/>
      <c r="I16" s="37"/>
      <c r="J16" s="14"/>
      <c r="K16" t="s">
        <v>1233</v>
      </c>
      <c r="U16" s="13"/>
      <c r="V16" s="13"/>
      <c r="W16" s="13"/>
      <c r="X16" s="14"/>
      <c r="Y16" s="13"/>
    </row>
    <row r="17" spans="1:25" x14ac:dyDescent="0.3">
      <c r="A17" s="45"/>
      <c r="B17" s="36"/>
      <c r="C17" s="779">
        <v>41244</v>
      </c>
      <c r="D17" s="777" t="s">
        <v>1129</v>
      </c>
      <c r="E17" s="143">
        <v>1000</v>
      </c>
      <c r="F17" s="143">
        <v>0</v>
      </c>
      <c r="G17" s="36"/>
      <c r="H17" s="36"/>
      <c r="I17" s="37"/>
      <c r="J17" s="14"/>
      <c r="U17" s="13"/>
      <c r="V17" s="13"/>
      <c r="W17" s="13"/>
      <c r="X17" s="14"/>
      <c r="Y17" s="13"/>
    </row>
    <row r="18" spans="1:25" x14ac:dyDescent="0.3">
      <c r="A18" s="45"/>
      <c r="B18" s="36"/>
      <c r="C18" s="780"/>
      <c r="D18" s="782"/>
      <c r="E18" s="144">
        <v>2200</v>
      </c>
      <c r="F18" s="144">
        <v>0</v>
      </c>
      <c r="G18" s="36"/>
      <c r="H18" s="36"/>
      <c r="I18" s="37"/>
      <c r="J18" s="14"/>
      <c r="K18" t="s">
        <v>1234</v>
      </c>
      <c r="U18" s="13"/>
      <c r="V18" s="13"/>
      <c r="W18" s="13"/>
      <c r="X18" s="14"/>
      <c r="Y18" s="13"/>
    </row>
    <row r="19" spans="1:25" x14ac:dyDescent="0.3">
      <c r="A19" s="45"/>
      <c r="B19" s="36"/>
      <c r="C19" s="781"/>
      <c r="D19" s="778"/>
      <c r="E19" s="147">
        <v>4000</v>
      </c>
      <c r="F19" s="147">
        <v>2000</v>
      </c>
      <c r="G19" s="36"/>
      <c r="H19" s="36"/>
      <c r="I19" s="37"/>
      <c r="J19" s="14"/>
      <c r="K19" s="560" t="s">
        <v>566</v>
      </c>
      <c r="L19" s="560" t="s">
        <v>567</v>
      </c>
      <c r="M19" s="560" t="s">
        <v>568</v>
      </c>
      <c r="N19" s="560" t="s">
        <v>569</v>
      </c>
      <c r="O19" s="560" t="s">
        <v>570</v>
      </c>
      <c r="U19" s="13"/>
      <c r="X19" s="14"/>
      <c r="Y19" s="13"/>
    </row>
    <row r="20" spans="1:25" ht="15" customHeight="1" x14ac:dyDescent="0.3">
      <c r="A20" s="45"/>
      <c r="B20" s="36"/>
      <c r="C20" s="779">
        <v>40878</v>
      </c>
      <c r="D20" s="777" t="s">
        <v>1130</v>
      </c>
      <c r="E20" s="143">
        <v>0</v>
      </c>
      <c r="F20" s="143">
        <v>3000</v>
      </c>
      <c r="G20" s="36"/>
      <c r="H20" s="615"/>
      <c r="I20" s="37"/>
      <c r="J20" s="14"/>
      <c r="K20" s="100"/>
      <c r="L20" s="555" t="s">
        <v>1271</v>
      </c>
      <c r="M20" s="100"/>
      <c r="N20" s="100"/>
      <c r="O20" s="100" t="s">
        <v>1235</v>
      </c>
      <c r="U20" s="13"/>
      <c r="V20" s="13"/>
      <c r="W20" s="13"/>
      <c r="X20" s="14"/>
      <c r="Y20" s="13"/>
    </row>
    <row r="21" spans="1:25" ht="15" customHeight="1" x14ac:dyDescent="0.3">
      <c r="A21" s="45"/>
      <c r="B21" s="36"/>
      <c r="C21" s="780"/>
      <c r="D21" s="782"/>
      <c r="E21" s="144">
        <v>121000</v>
      </c>
      <c r="F21" s="144">
        <v>25700</v>
      </c>
      <c r="G21" s="36"/>
      <c r="H21" s="36"/>
      <c r="I21" s="37"/>
      <c r="J21" s="14"/>
      <c r="K21" s="67" t="s">
        <v>1232</v>
      </c>
      <c r="L21" s="149" t="s">
        <v>1232</v>
      </c>
      <c r="M21" s="67" t="s">
        <v>560</v>
      </c>
      <c r="N21" s="67" t="s">
        <v>308</v>
      </c>
      <c r="O21" s="67" t="s">
        <v>1236</v>
      </c>
      <c r="U21" s="13"/>
      <c r="V21" s="13"/>
      <c r="W21" s="13"/>
      <c r="X21" s="14"/>
      <c r="Y21" s="13"/>
    </row>
    <row r="22" spans="1:25" x14ac:dyDescent="0.3">
      <c r="A22" s="45"/>
      <c r="B22" s="36"/>
      <c r="C22" s="781"/>
      <c r="D22" s="778"/>
      <c r="E22" s="147">
        <v>5000</v>
      </c>
      <c r="F22" s="147">
        <v>102000</v>
      </c>
      <c r="G22" s="36"/>
      <c r="H22" s="36"/>
      <c r="I22" s="37"/>
      <c r="J22" s="14"/>
      <c r="K22" s="141">
        <f t="shared" ref="K22:K31" si="0">E17</f>
        <v>1000</v>
      </c>
      <c r="L22" s="141">
        <f>MIN(K22,100000)</f>
        <v>1000</v>
      </c>
      <c r="M22" s="141">
        <f t="shared" ref="M22:M31" si="1">F17</f>
        <v>0</v>
      </c>
      <c r="N22" s="141">
        <f>L22+M22</f>
        <v>1000</v>
      </c>
      <c r="O22" s="569">
        <f t="shared" ref="O22:O31" si="2">MIN($K$11,N22)</f>
        <v>1000</v>
      </c>
      <c r="Q22" s="198" t="s">
        <v>1141</v>
      </c>
      <c r="R22" s="13"/>
      <c r="S22" s="13"/>
      <c r="T22" s="13"/>
      <c r="U22" s="13"/>
      <c r="V22" s="13"/>
      <c r="W22" s="13"/>
      <c r="X22" s="14"/>
      <c r="Y22" s="13"/>
    </row>
    <row r="23" spans="1:25" x14ac:dyDescent="0.3">
      <c r="A23" s="45"/>
      <c r="B23" s="36"/>
      <c r="C23" s="779">
        <v>40513</v>
      </c>
      <c r="D23" s="777" t="s">
        <v>1130</v>
      </c>
      <c r="E23" s="144">
        <v>9500</v>
      </c>
      <c r="F23" s="144">
        <v>3500</v>
      </c>
      <c r="G23" s="36"/>
      <c r="H23" s="36"/>
      <c r="I23" s="37"/>
      <c r="J23" s="14"/>
      <c r="K23" s="141">
        <f t="shared" si="0"/>
        <v>2200</v>
      </c>
      <c r="L23" s="141">
        <f t="shared" ref="L23:L31" si="3">MIN(K23,100000)</f>
        <v>2200</v>
      </c>
      <c r="M23" s="141">
        <f t="shared" si="1"/>
        <v>0</v>
      </c>
      <c r="N23" s="141">
        <f t="shared" ref="N23:N31" si="4">L23+M23</f>
        <v>2200</v>
      </c>
      <c r="O23" s="569">
        <f t="shared" si="2"/>
        <v>2200</v>
      </c>
      <c r="Q23" t="s">
        <v>1237</v>
      </c>
      <c r="R23" s="13"/>
      <c r="S23" s="13"/>
      <c r="T23" s="13"/>
      <c r="U23" s="13"/>
      <c r="V23" s="13"/>
      <c r="W23" s="13"/>
      <c r="X23" s="14"/>
      <c r="Y23" s="13"/>
    </row>
    <row r="24" spans="1:25" ht="15" customHeight="1" x14ac:dyDescent="0.3">
      <c r="A24" s="45"/>
      <c r="B24" s="36"/>
      <c r="C24" s="780"/>
      <c r="D24" s="782"/>
      <c r="E24" s="144">
        <v>5500</v>
      </c>
      <c r="F24" s="144">
        <v>0</v>
      </c>
      <c r="G24" s="36"/>
      <c r="H24" s="36"/>
      <c r="I24" s="37"/>
      <c r="J24" s="14"/>
      <c r="K24" s="141">
        <f t="shared" si="0"/>
        <v>4000</v>
      </c>
      <c r="L24" s="141">
        <f t="shared" si="3"/>
        <v>4000</v>
      </c>
      <c r="M24" s="141">
        <f t="shared" si="1"/>
        <v>2000</v>
      </c>
      <c r="N24" s="141">
        <f t="shared" si="4"/>
        <v>6000</v>
      </c>
      <c r="O24" s="569">
        <f t="shared" si="2"/>
        <v>6000</v>
      </c>
      <c r="Q24" t="s">
        <v>1238</v>
      </c>
      <c r="R24" s="13"/>
      <c r="S24" s="13"/>
      <c r="T24" s="13"/>
      <c r="U24" s="13"/>
      <c r="V24" s="13"/>
      <c r="W24" s="13"/>
      <c r="X24" s="14"/>
      <c r="Y24" s="13"/>
    </row>
    <row r="25" spans="1:25" ht="15" customHeight="1" x14ac:dyDescent="0.3">
      <c r="A25" s="45"/>
      <c r="B25" s="36"/>
      <c r="C25" s="780"/>
      <c r="D25" s="782"/>
      <c r="E25" s="144">
        <v>3900</v>
      </c>
      <c r="F25" s="144">
        <v>1300</v>
      </c>
      <c r="G25" s="36"/>
      <c r="H25" s="36"/>
      <c r="I25" s="37"/>
      <c r="J25" s="14"/>
      <c r="K25" s="141">
        <f t="shared" si="0"/>
        <v>0</v>
      </c>
      <c r="L25" s="141">
        <f t="shared" si="3"/>
        <v>0</v>
      </c>
      <c r="M25" s="141">
        <f t="shared" si="1"/>
        <v>3000</v>
      </c>
      <c r="N25" s="141">
        <f t="shared" si="4"/>
        <v>3000</v>
      </c>
      <c r="O25" s="569">
        <f t="shared" si="2"/>
        <v>3000</v>
      </c>
      <c r="Q25" t="s">
        <v>1239</v>
      </c>
      <c r="R25" s="13"/>
      <c r="S25" s="13"/>
      <c r="T25" s="13"/>
      <c r="U25" s="13"/>
      <c r="V25" s="13"/>
      <c r="W25" s="13"/>
      <c r="X25" s="14"/>
      <c r="Y25" s="13"/>
    </row>
    <row r="26" spans="1:25" ht="15" customHeight="1" x14ac:dyDescent="0.3">
      <c r="A26" s="45"/>
      <c r="B26" s="36"/>
      <c r="C26" s="781"/>
      <c r="D26" s="778"/>
      <c r="E26" s="147">
        <v>2800</v>
      </c>
      <c r="F26" s="147">
        <v>0</v>
      </c>
      <c r="G26" s="36"/>
      <c r="H26" s="36"/>
      <c r="I26" s="37"/>
      <c r="J26" s="14"/>
      <c r="K26" s="141">
        <f t="shared" si="0"/>
        <v>121000</v>
      </c>
      <c r="L26" s="141">
        <f t="shared" si="3"/>
        <v>100000</v>
      </c>
      <c r="M26" s="141">
        <f t="shared" si="1"/>
        <v>25700</v>
      </c>
      <c r="N26" s="141">
        <f t="shared" si="4"/>
        <v>125700</v>
      </c>
      <c r="O26" s="569">
        <f t="shared" si="2"/>
        <v>119600</v>
      </c>
      <c r="R26" s="13"/>
      <c r="S26" s="13"/>
      <c r="T26" s="13"/>
      <c r="U26" s="13"/>
      <c r="V26" s="13"/>
      <c r="W26" s="13"/>
      <c r="X26" s="14"/>
      <c r="Y26" s="13"/>
    </row>
    <row r="27" spans="1:25" ht="15" customHeight="1" x14ac:dyDescent="0.3">
      <c r="A27" s="45"/>
      <c r="B27" s="36"/>
      <c r="C27" s="36"/>
      <c r="D27" s="36"/>
      <c r="E27" s="36"/>
      <c r="F27" s="36"/>
      <c r="G27" s="36"/>
      <c r="H27" s="36"/>
      <c r="I27" s="37"/>
      <c r="J27" s="14"/>
      <c r="K27" s="141">
        <f t="shared" si="0"/>
        <v>5000</v>
      </c>
      <c r="L27" s="141">
        <f t="shared" si="3"/>
        <v>5000</v>
      </c>
      <c r="M27" s="141">
        <f t="shared" si="1"/>
        <v>102000</v>
      </c>
      <c r="N27" s="141">
        <f t="shared" si="4"/>
        <v>107000</v>
      </c>
      <c r="O27" s="569">
        <f t="shared" si="2"/>
        <v>107000</v>
      </c>
      <c r="Q27" t="s">
        <v>1241</v>
      </c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3">
      <c r="A28" s="35" t="s">
        <v>173</v>
      </c>
      <c r="B28" s="36"/>
      <c r="C28" s="36" t="s">
        <v>1240</v>
      </c>
      <c r="D28" s="36"/>
      <c r="E28" s="36"/>
      <c r="F28" s="36"/>
      <c r="G28" s="36"/>
      <c r="H28" s="36"/>
      <c r="I28" s="37"/>
      <c r="J28" s="14"/>
      <c r="K28" s="141">
        <f t="shared" si="0"/>
        <v>9500</v>
      </c>
      <c r="L28" s="141">
        <f t="shared" si="3"/>
        <v>9500</v>
      </c>
      <c r="M28" s="141">
        <f t="shared" si="1"/>
        <v>3500</v>
      </c>
      <c r="N28" s="141">
        <f t="shared" si="4"/>
        <v>13000</v>
      </c>
      <c r="O28" s="569">
        <f t="shared" si="2"/>
        <v>13000</v>
      </c>
      <c r="R28" s="13"/>
      <c r="S28" s="13"/>
      <c r="T28" s="13"/>
      <c r="U28" s="13"/>
      <c r="V28" s="13"/>
      <c r="W28" s="13"/>
      <c r="X28" s="14"/>
      <c r="Y28" s="13"/>
    </row>
    <row r="29" spans="1:25" ht="15" customHeight="1" x14ac:dyDescent="0.3">
      <c r="A29" s="45"/>
      <c r="B29" s="36"/>
      <c r="C29" s="36"/>
      <c r="D29" s="36"/>
      <c r="E29" s="36"/>
      <c r="F29" s="36"/>
      <c r="G29" s="36"/>
      <c r="H29" s="36"/>
      <c r="I29" s="37"/>
      <c r="J29" s="14"/>
      <c r="K29" s="141">
        <f t="shared" si="0"/>
        <v>5500</v>
      </c>
      <c r="L29" s="141">
        <f t="shared" si="3"/>
        <v>5500</v>
      </c>
      <c r="M29" s="141">
        <f t="shared" si="1"/>
        <v>0</v>
      </c>
      <c r="N29" s="141">
        <f t="shared" si="4"/>
        <v>5500</v>
      </c>
      <c r="O29" s="569">
        <f t="shared" si="2"/>
        <v>5500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3">
      <c r="A30" s="45"/>
      <c r="B30" s="36"/>
      <c r="C30" s="551" t="s">
        <v>1242</v>
      </c>
      <c r="D30" s="36"/>
      <c r="E30" s="36"/>
      <c r="F30" s="36"/>
      <c r="G30" s="36"/>
      <c r="H30" s="36"/>
      <c r="I30" s="37"/>
      <c r="J30" s="14"/>
      <c r="K30" s="141">
        <f t="shared" si="0"/>
        <v>3900</v>
      </c>
      <c r="L30" s="141">
        <f t="shared" si="3"/>
        <v>3900</v>
      </c>
      <c r="M30" s="141">
        <f t="shared" si="1"/>
        <v>1300</v>
      </c>
      <c r="N30" s="141">
        <f t="shared" si="4"/>
        <v>5200</v>
      </c>
      <c r="O30" s="569">
        <f t="shared" si="2"/>
        <v>5200</v>
      </c>
      <c r="R30" s="13"/>
      <c r="S30" s="13"/>
      <c r="T30" s="13"/>
      <c r="U30" s="13"/>
      <c r="V30" s="13"/>
      <c r="W30" s="13"/>
      <c r="X30" s="14"/>
      <c r="Y30" s="13"/>
    </row>
    <row r="31" spans="1:25" x14ac:dyDescent="0.3">
      <c r="A31" s="45"/>
      <c r="B31" s="36"/>
      <c r="C31" s="181"/>
      <c r="D31" s="48" t="s">
        <v>1243</v>
      </c>
      <c r="E31" s="48" t="s">
        <v>1244</v>
      </c>
      <c r="F31" s="48" t="s">
        <v>1245</v>
      </c>
      <c r="G31" s="36"/>
      <c r="H31" s="36"/>
      <c r="I31" s="37"/>
      <c r="J31" s="14"/>
      <c r="K31" s="142">
        <f t="shared" si="0"/>
        <v>2800</v>
      </c>
      <c r="L31" s="142">
        <f t="shared" si="3"/>
        <v>2800</v>
      </c>
      <c r="M31" s="142">
        <f t="shared" si="1"/>
        <v>0</v>
      </c>
      <c r="N31" s="142">
        <f t="shared" si="4"/>
        <v>2800</v>
      </c>
      <c r="O31" s="566">
        <f t="shared" si="2"/>
        <v>2800</v>
      </c>
      <c r="R31" s="13"/>
      <c r="S31" s="13"/>
      <c r="T31" s="13"/>
      <c r="U31" s="13"/>
      <c r="V31" s="13"/>
      <c r="W31" s="13"/>
      <c r="X31" s="14"/>
      <c r="Y31" s="13"/>
    </row>
    <row r="32" spans="1:25" ht="15" thickBot="1" x14ac:dyDescent="0.35">
      <c r="A32" s="45"/>
      <c r="B32" s="36"/>
      <c r="C32" s="48" t="s">
        <v>1137</v>
      </c>
      <c r="D32" s="333" t="s">
        <v>1246</v>
      </c>
      <c r="E32" s="48" t="s">
        <v>1247</v>
      </c>
      <c r="F32" s="96" t="s">
        <v>1248</v>
      </c>
      <c r="G32" s="36"/>
      <c r="H32" s="36"/>
      <c r="I32" s="37"/>
      <c r="J32" s="14"/>
      <c r="O32" s="607">
        <f>SUM(O22:O31)</f>
        <v>265300</v>
      </c>
      <c r="P32" s="19" t="s">
        <v>1249</v>
      </c>
      <c r="R32" s="13"/>
      <c r="S32" s="13"/>
      <c r="T32" s="13"/>
      <c r="U32" s="13"/>
      <c r="V32" s="13"/>
      <c r="W32" s="13"/>
      <c r="X32" s="14"/>
      <c r="Y32" s="13"/>
    </row>
    <row r="33" spans="1:25" x14ac:dyDescent="0.3">
      <c r="A33" s="45"/>
      <c r="B33" s="36"/>
      <c r="C33" s="80" t="s">
        <v>1133</v>
      </c>
      <c r="D33" s="20">
        <v>0.53600000000000003</v>
      </c>
      <c r="E33" s="20">
        <v>0.33700000000000002</v>
      </c>
      <c r="F33" s="20">
        <v>0.183</v>
      </c>
      <c r="G33" s="36"/>
      <c r="H33" s="36"/>
      <c r="I33" s="37"/>
      <c r="J33" s="14"/>
      <c r="V33" s="13"/>
      <c r="W33" s="13"/>
      <c r="X33" s="14"/>
      <c r="Y33" s="13"/>
    </row>
    <row r="34" spans="1:25" x14ac:dyDescent="0.3">
      <c r="A34" s="45"/>
      <c r="B34" s="36"/>
      <c r="C34" s="82" t="s">
        <v>1126</v>
      </c>
      <c r="D34" s="22">
        <v>0.71799999999999997</v>
      </c>
      <c r="E34" s="549">
        <v>0.56000000000000005</v>
      </c>
      <c r="F34" s="22">
        <v>0.42499999999999999</v>
      </c>
      <c r="G34" s="36"/>
      <c r="H34" s="36"/>
      <c r="I34" s="37"/>
      <c r="J34" s="14"/>
      <c r="K34" t="s">
        <v>1253</v>
      </c>
      <c r="R34" s="13"/>
      <c r="S34" s="13"/>
      <c r="T34" s="13"/>
      <c r="U34" s="13"/>
      <c r="V34" s="13"/>
      <c r="W34" s="13"/>
      <c r="X34" s="14"/>
      <c r="Y34" s="13"/>
    </row>
    <row r="35" spans="1:25" x14ac:dyDescent="0.3">
      <c r="A35" s="45"/>
      <c r="B35" s="36"/>
      <c r="C35" s="48" t="s">
        <v>1137</v>
      </c>
      <c r="D35" s="48" t="s">
        <v>1250</v>
      </c>
      <c r="E35" s="48" t="s">
        <v>1251</v>
      </c>
      <c r="F35" s="48" t="s">
        <v>1252</v>
      </c>
      <c r="G35" s="36"/>
      <c r="H35" s="36"/>
      <c r="I35" s="37"/>
      <c r="J35" s="14"/>
      <c r="K35" t="s">
        <v>1254</v>
      </c>
      <c r="R35" s="13"/>
      <c r="S35" s="13"/>
      <c r="T35" s="13"/>
      <c r="U35" s="13"/>
      <c r="V35" s="13"/>
      <c r="W35" s="13"/>
      <c r="X35" s="14"/>
      <c r="Y35" s="13"/>
    </row>
    <row r="36" spans="1:25" x14ac:dyDescent="0.3">
      <c r="A36" s="45"/>
      <c r="B36" s="36"/>
      <c r="C36" s="80" t="s">
        <v>1133</v>
      </c>
      <c r="D36" s="20">
        <v>0.48299999999999998</v>
      </c>
      <c r="E36" s="20">
        <v>0.28699999999999998</v>
      </c>
      <c r="F36" s="20">
        <v>0.151</v>
      </c>
      <c r="G36" s="36"/>
      <c r="H36" s="36"/>
      <c r="I36" s="37"/>
      <c r="J36" s="14"/>
      <c r="K36" s="526" t="s">
        <v>1272</v>
      </c>
      <c r="L36" s="527"/>
      <c r="M36" s="527"/>
      <c r="N36" s="527"/>
      <c r="O36" s="339"/>
      <c r="R36" s="13"/>
      <c r="S36" s="13"/>
      <c r="T36" s="13"/>
      <c r="U36" s="13"/>
      <c r="V36" s="13"/>
      <c r="W36" s="13"/>
      <c r="X36" s="14"/>
      <c r="Y36" s="13"/>
    </row>
    <row r="37" spans="1:25" x14ac:dyDescent="0.3">
      <c r="A37" s="45"/>
      <c r="B37" s="36"/>
      <c r="C37" s="82" t="s">
        <v>1126</v>
      </c>
      <c r="D37" s="22">
        <v>0.67500000000000004</v>
      </c>
      <c r="E37" s="22">
        <v>0.53500000000000003</v>
      </c>
      <c r="F37" s="22">
        <v>0.40400000000000003</v>
      </c>
      <c r="G37" s="36"/>
      <c r="H37" s="36"/>
      <c r="I37" s="37"/>
      <c r="J37" s="14"/>
      <c r="R37" s="13"/>
      <c r="S37" s="13"/>
      <c r="T37" s="13"/>
      <c r="U37" s="13"/>
      <c r="V37" s="13"/>
      <c r="W37" s="13"/>
      <c r="X37" s="14"/>
      <c r="Y37" s="13"/>
    </row>
    <row r="38" spans="1:25" x14ac:dyDescent="0.3">
      <c r="A38" s="45"/>
      <c r="B38" s="36"/>
      <c r="C38" s="616" t="s">
        <v>1255</v>
      </c>
      <c r="D38" s="36"/>
      <c r="E38" s="36"/>
      <c r="F38" s="36"/>
      <c r="G38" s="36"/>
      <c r="H38" s="36"/>
      <c r="I38" s="37"/>
      <c r="J38" s="14"/>
      <c r="K38" s="10"/>
      <c r="L38" s="10"/>
      <c r="M38" s="10"/>
      <c r="N38" s="560" t="s">
        <v>571</v>
      </c>
      <c r="O38" s="560" t="s">
        <v>577</v>
      </c>
      <c r="P38" s="560" t="s">
        <v>578</v>
      </c>
      <c r="Q38" s="560" t="s">
        <v>579</v>
      </c>
      <c r="S38" s="13" t="str">
        <f>"From this, AER = ("&amp;TEXT(Q47,"#,###") &amp; " + "&amp;TEXT(O32,"#,###")&amp;") / " &amp;TEXT(L5,"#,###")&amp;" = "&amp;ROUND((Q47+O32)/L5,3)</f>
        <v>From this, AER = (36,828 + 265,300) / 170,111 = 1.776</v>
      </c>
      <c r="T38" s="13"/>
      <c r="U38" s="13"/>
      <c r="V38" s="13"/>
      <c r="W38" s="608"/>
      <c r="X38" s="14"/>
      <c r="Y38" s="13"/>
    </row>
    <row r="39" spans="1:25" x14ac:dyDescent="0.3">
      <c r="A39" s="45"/>
      <c r="B39" s="36"/>
      <c r="C39" s="36"/>
      <c r="D39" s="36"/>
      <c r="E39" s="36"/>
      <c r="F39" s="36"/>
      <c r="G39" s="36"/>
      <c r="H39" s="36"/>
      <c r="I39" s="37"/>
      <c r="J39" s="14"/>
      <c r="K39" s="58" t="s">
        <v>1269</v>
      </c>
      <c r="L39" s="58"/>
      <c r="M39" s="203"/>
      <c r="N39" s="100" t="s">
        <v>1154</v>
      </c>
      <c r="O39" s="100"/>
      <c r="P39" s="100"/>
      <c r="Q39" s="100" t="s">
        <v>1257</v>
      </c>
      <c r="R39" s="13"/>
      <c r="S39" s="13"/>
      <c r="T39" s="609">
        <f>ROUND((Q47+O32)/L5,3)</f>
        <v>1.776</v>
      </c>
      <c r="U39" s="13"/>
      <c r="V39" s="13"/>
      <c r="W39" s="13"/>
      <c r="X39" s="14"/>
      <c r="Y39" s="13"/>
    </row>
    <row r="40" spans="1:25" x14ac:dyDescent="0.3">
      <c r="A40" s="45"/>
      <c r="B40" s="36"/>
      <c r="C40" s="36" t="s">
        <v>1256</v>
      </c>
      <c r="D40" s="36"/>
      <c r="E40" s="36"/>
      <c r="F40" s="36"/>
      <c r="G40" s="36"/>
      <c r="H40" s="36"/>
      <c r="I40" s="37"/>
      <c r="J40" s="14"/>
      <c r="K40" s="67" t="s">
        <v>1270</v>
      </c>
      <c r="L40" s="67" t="s">
        <v>1118</v>
      </c>
      <c r="M40" s="65" t="s">
        <v>1137</v>
      </c>
      <c r="N40" s="67" t="s">
        <v>1155</v>
      </c>
      <c r="O40" s="67" t="s">
        <v>1228</v>
      </c>
      <c r="P40" s="67" t="s">
        <v>1259</v>
      </c>
      <c r="Q40" s="67" t="s">
        <v>1260</v>
      </c>
      <c r="R40" s="13"/>
      <c r="S40" s="610" t="s">
        <v>1261</v>
      </c>
      <c r="T40" s="13" t="s">
        <v>1262</v>
      </c>
      <c r="U40" s="13"/>
      <c r="V40" s="13"/>
      <c r="W40" s="13"/>
      <c r="X40" s="14"/>
      <c r="Y40" s="13"/>
    </row>
    <row r="41" spans="1:25" x14ac:dyDescent="0.3">
      <c r="A41" s="38"/>
      <c r="B41" s="39"/>
      <c r="C41" s="333" t="s">
        <v>1258</v>
      </c>
      <c r="D41" s="48" t="s">
        <v>1100</v>
      </c>
      <c r="E41" s="48" t="s">
        <v>1228</v>
      </c>
      <c r="F41" s="96" t="s">
        <v>1229</v>
      </c>
      <c r="G41" s="36"/>
      <c r="H41" s="36"/>
      <c r="I41" s="37"/>
      <c r="J41" s="14"/>
      <c r="K41" s="58">
        <v>2012</v>
      </c>
      <c r="L41" s="269" t="s">
        <v>1134</v>
      </c>
      <c r="M41" s="63" t="s">
        <v>1133</v>
      </c>
      <c r="N41" s="611">
        <f t="shared" ref="N41:N46" si="5">H9</f>
        <v>24938</v>
      </c>
      <c r="O41" s="538">
        <f t="shared" ref="O41:O46" si="6">$K$10</f>
        <v>0.89100000000000001</v>
      </c>
      <c r="P41" s="538">
        <v>0</v>
      </c>
      <c r="Q41" s="563">
        <f>ROUND(PRODUCT(N41:P41),0)</f>
        <v>0</v>
      </c>
      <c r="R41" s="13"/>
      <c r="S41" s="612" t="s">
        <v>474</v>
      </c>
      <c r="T41" s="13" t="str">
        <f>"("&amp;TEXT(T39,"#.###")&amp;" - "&amp;TEXT(K10,"0.###")&amp;") / "&amp;TEXT(K10,"0.###") &amp;" * "&amp;K9</f>
        <v>(1.776 - 0.891) / 0.891 * 0.37</v>
      </c>
      <c r="U41" s="13"/>
      <c r="V41" s="13"/>
      <c r="W41" s="13"/>
      <c r="X41" s="14"/>
      <c r="Y41" s="13"/>
    </row>
    <row r="42" spans="1:25" x14ac:dyDescent="0.3">
      <c r="A42" s="45"/>
      <c r="B42" s="36"/>
      <c r="C42" s="77" t="s">
        <v>1263</v>
      </c>
      <c r="D42" s="20">
        <v>0.36</v>
      </c>
      <c r="E42" s="20">
        <v>0.88700000000000001</v>
      </c>
      <c r="F42" s="146">
        <v>117200</v>
      </c>
      <c r="G42" s="36"/>
      <c r="H42" s="36"/>
      <c r="I42" s="37"/>
      <c r="J42" s="14"/>
      <c r="K42" s="67">
        <v>2012</v>
      </c>
      <c r="L42" s="110" t="s">
        <v>1134</v>
      </c>
      <c r="M42" s="65" t="s">
        <v>1126</v>
      </c>
      <c r="N42" s="142">
        <f t="shared" si="5"/>
        <v>5014</v>
      </c>
      <c r="O42" s="540">
        <f t="shared" si="6"/>
        <v>0.89100000000000001</v>
      </c>
      <c r="P42" s="540">
        <v>0</v>
      </c>
      <c r="Q42" s="566">
        <f t="shared" ref="Q42:Q46" si="7">ROUND(PRODUCT(N42:P42),0)</f>
        <v>0</v>
      </c>
      <c r="R42" s="13"/>
      <c r="S42" s="612" t="s">
        <v>474</v>
      </c>
      <c r="T42" s="613">
        <f>ROUND((T39-K10)/K10*K9,3)</f>
        <v>0.36799999999999999</v>
      </c>
      <c r="U42" s="13"/>
      <c r="V42" s="13"/>
      <c r="W42" s="13"/>
      <c r="X42" s="14"/>
      <c r="Y42" s="13"/>
    </row>
    <row r="43" spans="1:25" x14ac:dyDescent="0.3">
      <c r="A43" s="45"/>
      <c r="B43" s="36"/>
      <c r="C43" s="77" t="s">
        <v>1264</v>
      </c>
      <c r="D43" s="20">
        <v>0.37</v>
      </c>
      <c r="E43" s="20">
        <v>0.89100000000000001</v>
      </c>
      <c r="F43" s="146">
        <v>119600</v>
      </c>
      <c r="G43" s="36"/>
      <c r="H43" s="36"/>
      <c r="I43" s="37"/>
      <c r="J43" s="14"/>
      <c r="K43" s="58">
        <v>2011</v>
      </c>
      <c r="L43" s="269" t="s">
        <v>1130</v>
      </c>
      <c r="M43" s="63" t="s">
        <v>1133</v>
      </c>
      <c r="N43" s="611">
        <f t="shared" si="5"/>
        <v>50544</v>
      </c>
      <c r="O43" s="538">
        <f t="shared" si="6"/>
        <v>0.89100000000000001</v>
      </c>
      <c r="P43" s="538">
        <f>E36</f>
        <v>0.28699999999999998</v>
      </c>
      <c r="Q43" s="563">
        <f t="shared" si="7"/>
        <v>12925</v>
      </c>
      <c r="R43" s="13"/>
      <c r="S43" s="13"/>
      <c r="T43" s="13"/>
      <c r="U43" s="13"/>
      <c r="V43" s="13"/>
      <c r="W43" s="13"/>
      <c r="X43" s="14"/>
      <c r="Y43" s="13"/>
    </row>
    <row r="44" spans="1:25" x14ac:dyDescent="0.3">
      <c r="A44" s="45"/>
      <c r="B44" s="36"/>
      <c r="C44" s="82" t="s">
        <v>1265</v>
      </c>
      <c r="D44" s="22">
        <v>0.38</v>
      </c>
      <c r="E44" s="22">
        <v>0.89400000000000002</v>
      </c>
      <c r="F44" s="148">
        <v>122100</v>
      </c>
      <c r="G44" s="36"/>
      <c r="H44" s="36"/>
      <c r="I44" s="37"/>
      <c r="J44" s="14"/>
      <c r="K44" s="67">
        <v>2011</v>
      </c>
      <c r="L44" s="110" t="s">
        <v>1130</v>
      </c>
      <c r="M44" s="65" t="s">
        <v>1126</v>
      </c>
      <c r="N44" s="142">
        <f t="shared" si="5"/>
        <v>21393</v>
      </c>
      <c r="O44" s="540">
        <f t="shared" si="6"/>
        <v>0.89100000000000001</v>
      </c>
      <c r="P44" s="540">
        <f>E37</f>
        <v>0.53500000000000003</v>
      </c>
      <c r="Q44" s="566">
        <f t="shared" si="7"/>
        <v>10198</v>
      </c>
      <c r="R44" s="13"/>
      <c r="S44" s="13" t="str">
        <f>"So the experience modification is a "&amp;TEXT(T42,"0.0%") &amp;IF(T42&lt;0," credit"," debit")&amp;"."</f>
        <v>So the experience modification is a 36.8% debit.</v>
      </c>
      <c r="T44" s="13"/>
      <c r="U44" s="13"/>
      <c r="V44" s="13"/>
      <c r="W44" s="13"/>
      <c r="X44" s="14"/>
      <c r="Y44" s="13"/>
    </row>
    <row r="45" spans="1:25" ht="15" thickBot="1" x14ac:dyDescent="0.35">
      <c r="A45" s="53"/>
      <c r="B45" s="54"/>
      <c r="C45" s="54"/>
      <c r="D45" s="54"/>
      <c r="E45" s="54"/>
      <c r="F45" s="54"/>
      <c r="G45" s="54"/>
      <c r="H45" s="54"/>
      <c r="I45" s="55"/>
      <c r="J45" s="14"/>
      <c r="K45" s="58">
        <v>2010</v>
      </c>
      <c r="L45" s="269" t="s">
        <v>1130</v>
      </c>
      <c r="M45" s="63" t="s">
        <v>1133</v>
      </c>
      <c r="N45" s="611">
        <f t="shared" si="5"/>
        <v>48146</v>
      </c>
      <c r="O45" s="538">
        <f t="shared" si="6"/>
        <v>0.89100000000000001</v>
      </c>
      <c r="P45" s="538">
        <f>F36</f>
        <v>0.151</v>
      </c>
      <c r="Q45" s="563">
        <f t="shared" si="7"/>
        <v>6478</v>
      </c>
      <c r="R45" s="13"/>
      <c r="S45" s="13" t="s">
        <v>1266</v>
      </c>
      <c r="T45" s="13"/>
      <c r="U45" s="13"/>
      <c r="V45" s="13"/>
      <c r="W45" s="614">
        <f>1+T42</f>
        <v>1.3679999999999999</v>
      </c>
      <c r="X45" s="14"/>
      <c r="Y45" s="13"/>
    </row>
    <row r="46" spans="1:25" x14ac:dyDescent="0.3">
      <c r="J46" s="14"/>
      <c r="K46" s="67">
        <v>2010</v>
      </c>
      <c r="L46" s="110" t="s">
        <v>1130</v>
      </c>
      <c r="M46" s="65" t="s">
        <v>1126</v>
      </c>
      <c r="N46" s="142">
        <f t="shared" si="5"/>
        <v>20076</v>
      </c>
      <c r="O46" s="540">
        <f t="shared" si="6"/>
        <v>0.89100000000000001</v>
      </c>
      <c r="P46" s="540">
        <f>F37</f>
        <v>0.40400000000000003</v>
      </c>
      <c r="Q46" s="566">
        <f t="shared" si="7"/>
        <v>7227</v>
      </c>
      <c r="R46" s="13"/>
      <c r="S46" s="13"/>
      <c r="T46" s="13"/>
      <c r="U46" s="13"/>
      <c r="V46" s="13"/>
      <c r="W46" s="13"/>
      <c r="X46" s="14"/>
      <c r="Y46" s="13"/>
    </row>
    <row r="47" spans="1:25" ht="15" thickBot="1" x14ac:dyDescent="0.35">
      <c r="J47" s="14"/>
      <c r="P47" s="573" t="s">
        <v>1267</v>
      </c>
      <c r="Q47" s="607">
        <f>SUM(Q41:Q46)</f>
        <v>36828</v>
      </c>
      <c r="R47" s="13"/>
      <c r="S47" s="13"/>
      <c r="T47" s="13"/>
      <c r="U47" s="13"/>
      <c r="V47" s="13"/>
      <c r="W47" s="13"/>
      <c r="X47" s="14"/>
      <c r="Y47" s="13"/>
    </row>
    <row r="48" spans="1:25" x14ac:dyDescent="0.3">
      <c r="J48" s="14"/>
      <c r="K48" t="s">
        <v>1268</v>
      </c>
      <c r="R48" s="13"/>
      <c r="S48" s="13"/>
      <c r="T48" s="13"/>
      <c r="U48" s="13"/>
      <c r="V48" s="13"/>
      <c r="W48" s="13"/>
      <c r="X48" s="14"/>
      <c r="Y48" s="13"/>
    </row>
    <row r="49" spans="1:25" x14ac:dyDescent="0.3">
      <c r="J49" s="14"/>
      <c r="X49" s="14"/>
      <c r="Y49" s="13"/>
    </row>
    <row r="50" spans="1:25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3">
      <c r="C51" s="13"/>
      <c r="D51" s="13"/>
      <c r="E51" s="13"/>
      <c r="F51" s="13"/>
      <c r="G51" s="13"/>
      <c r="H51" s="13"/>
      <c r="I51" s="13"/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3">
      <c r="C52" s="13"/>
      <c r="D52" s="13"/>
      <c r="E52" s="13"/>
      <c r="F52" s="13"/>
      <c r="G52" s="13"/>
      <c r="H52" s="13"/>
      <c r="I52" s="13"/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3">
      <c r="C53" s="13"/>
      <c r="D53" s="13"/>
      <c r="E53" s="13"/>
      <c r="F53" s="13"/>
      <c r="G53" s="13"/>
      <c r="H53" s="13"/>
      <c r="I53" s="13"/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3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3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3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3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3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3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3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3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3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3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3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3">
      <c r="J65" s="14"/>
      <c r="X65" s="14"/>
    </row>
    <row r="66" spans="10:24" x14ac:dyDescent="0.3">
      <c r="J66" s="14"/>
      <c r="X66" s="14"/>
    </row>
    <row r="67" spans="10:24" x14ac:dyDescent="0.3">
      <c r="J67" s="14"/>
      <c r="X67" s="14"/>
    </row>
    <row r="68" spans="10:24" x14ac:dyDescent="0.3">
      <c r="J68" s="14"/>
      <c r="X68" s="14"/>
    </row>
    <row r="69" spans="10:24" x14ac:dyDescent="0.3">
      <c r="J69" s="14"/>
      <c r="X69" s="14"/>
    </row>
    <row r="70" spans="10:24" x14ac:dyDescent="0.3">
      <c r="J70" s="14"/>
      <c r="X70" s="14"/>
    </row>
    <row r="71" spans="10:24" x14ac:dyDescent="0.3">
      <c r="J71" s="14"/>
      <c r="X71" s="14"/>
    </row>
    <row r="72" spans="10:24" x14ac:dyDescent="0.3">
      <c r="J72" s="14"/>
      <c r="X72" s="14"/>
    </row>
    <row r="73" spans="10:24" x14ac:dyDescent="0.3">
      <c r="J73" s="14"/>
      <c r="X73" s="14"/>
    </row>
    <row r="74" spans="10:24" x14ac:dyDescent="0.3">
      <c r="J74" s="14"/>
      <c r="X74" s="14"/>
    </row>
    <row r="75" spans="10:24" x14ac:dyDescent="0.3">
      <c r="J75" s="14"/>
      <c r="X75" s="14"/>
    </row>
    <row r="76" spans="10:24" x14ac:dyDescent="0.3">
      <c r="J76" s="14"/>
      <c r="X76" s="14"/>
    </row>
    <row r="77" spans="10:24" x14ac:dyDescent="0.3">
      <c r="J77" s="14"/>
      <c r="X77" s="14"/>
    </row>
    <row r="78" spans="10:24" x14ac:dyDescent="0.3">
      <c r="J78" s="14"/>
      <c r="X78" s="14"/>
    </row>
    <row r="79" spans="10:24" x14ac:dyDescent="0.3">
      <c r="J79" s="14"/>
      <c r="X79" s="14"/>
    </row>
    <row r="80" spans="10:24" x14ac:dyDescent="0.3">
      <c r="J80" s="14"/>
      <c r="X80" s="14"/>
    </row>
    <row r="81" spans="10:24" x14ac:dyDescent="0.3">
      <c r="J81" s="14"/>
      <c r="X81" s="14"/>
    </row>
    <row r="82" spans="10:24" x14ac:dyDescent="0.3">
      <c r="J82" s="14"/>
      <c r="X82" s="14"/>
    </row>
    <row r="83" spans="10:24" x14ac:dyDescent="0.3">
      <c r="J83" s="14"/>
      <c r="X83" s="14"/>
    </row>
    <row r="84" spans="10:24" x14ac:dyDescent="0.3">
      <c r="J84" s="14"/>
      <c r="X84" s="14"/>
    </row>
    <row r="85" spans="10:24" x14ac:dyDescent="0.3">
      <c r="J85" s="14"/>
      <c r="X85" s="14"/>
    </row>
    <row r="86" spans="10:24" x14ac:dyDescent="0.3">
      <c r="J86" s="14"/>
      <c r="X86" s="14"/>
    </row>
    <row r="87" spans="10:24" x14ac:dyDescent="0.3">
      <c r="J87" s="14"/>
      <c r="X87" s="14"/>
    </row>
    <row r="88" spans="10:24" x14ac:dyDescent="0.3">
      <c r="J88" s="14"/>
      <c r="X88" s="14"/>
    </row>
    <row r="89" spans="10:24" x14ac:dyDescent="0.3">
      <c r="J89" s="14"/>
      <c r="X89" s="14"/>
    </row>
    <row r="90" spans="10:24" x14ac:dyDescent="0.3">
      <c r="J90" s="14"/>
      <c r="X90" s="14"/>
    </row>
    <row r="91" spans="10:24" x14ac:dyDescent="0.3">
      <c r="J91" s="14"/>
      <c r="X91" s="14"/>
    </row>
    <row r="92" spans="10:24" x14ac:dyDescent="0.3">
      <c r="J92" s="14"/>
      <c r="X92" s="14"/>
    </row>
    <row r="93" spans="10:24" x14ac:dyDescent="0.3">
      <c r="J93" s="14"/>
      <c r="X93" s="14"/>
    </row>
    <row r="94" spans="10:24" x14ac:dyDescent="0.3">
      <c r="J94" s="14"/>
      <c r="X94" s="14"/>
    </row>
    <row r="95" spans="10:24" x14ac:dyDescent="0.3">
      <c r="J95" s="14"/>
      <c r="X95" s="14"/>
    </row>
    <row r="96" spans="10:24" x14ac:dyDescent="0.3">
      <c r="J96" s="14"/>
      <c r="X96" s="14"/>
    </row>
    <row r="97" spans="1:24" x14ac:dyDescent="0.3">
      <c r="J97" s="14"/>
      <c r="X97" s="14"/>
    </row>
    <row r="98" spans="1:24" x14ac:dyDescent="0.3">
      <c r="J98" s="14"/>
      <c r="X98" s="14"/>
    </row>
    <row r="99" spans="1:24" x14ac:dyDescent="0.3">
      <c r="J99" s="14"/>
      <c r="X99" s="14"/>
    </row>
    <row r="100" spans="1:24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3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3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3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3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3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3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3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3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3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3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3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3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3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3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3">
      <c r="J115" s="14"/>
      <c r="X115" s="14"/>
    </row>
    <row r="116" spans="10:24" x14ac:dyDescent="0.3">
      <c r="J116" s="14"/>
      <c r="X116" s="14"/>
    </row>
    <row r="117" spans="10:24" x14ac:dyDescent="0.3">
      <c r="J117" s="14"/>
      <c r="X117" s="14"/>
    </row>
    <row r="118" spans="10:24" x14ac:dyDescent="0.3">
      <c r="J118" s="14"/>
      <c r="X118" s="14"/>
    </row>
    <row r="119" spans="10:24" x14ac:dyDescent="0.3">
      <c r="J119" s="14"/>
      <c r="X119" s="14"/>
    </row>
    <row r="120" spans="10:24" x14ac:dyDescent="0.3">
      <c r="J120" s="14"/>
      <c r="X120" s="14"/>
    </row>
    <row r="121" spans="10:24" x14ac:dyDescent="0.3">
      <c r="J121" s="14"/>
      <c r="X121" s="14"/>
    </row>
    <row r="122" spans="10:24" x14ac:dyDescent="0.3">
      <c r="J122" s="14"/>
      <c r="X122" s="14"/>
    </row>
    <row r="123" spans="10:24" x14ac:dyDescent="0.3">
      <c r="J123" s="14"/>
      <c r="X123" s="14"/>
    </row>
    <row r="124" spans="10:24" x14ac:dyDescent="0.3">
      <c r="J124" s="14"/>
      <c r="X124" s="14"/>
    </row>
    <row r="125" spans="10:24" x14ac:dyDescent="0.3">
      <c r="J125" s="14"/>
      <c r="X125" s="14"/>
    </row>
    <row r="126" spans="10:24" x14ac:dyDescent="0.3">
      <c r="J126" s="14"/>
      <c r="X126" s="14"/>
    </row>
    <row r="127" spans="10:24" x14ac:dyDescent="0.3">
      <c r="J127" s="14"/>
      <c r="X127" s="14"/>
    </row>
    <row r="128" spans="10:24" x14ac:dyDescent="0.3">
      <c r="J128" s="14"/>
      <c r="X128" s="14"/>
    </row>
    <row r="129" spans="10:24" x14ac:dyDescent="0.3">
      <c r="J129" s="14"/>
      <c r="X129" s="14"/>
    </row>
    <row r="130" spans="10:24" x14ac:dyDescent="0.3">
      <c r="J130" s="14"/>
      <c r="X130" s="14"/>
    </row>
    <row r="131" spans="10:24" x14ac:dyDescent="0.3">
      <c r="J131" s="14"/>
      <c r="X131" s="14"/>
    </row>
    <row r="132" spans="10:24" x14ac:dyDescent="0.3">
      <c r="J132" s="14"/>
      <c r="X132" s="14"/>
    </row>
    <row r="133" spans="10:24" x14ac:dyDescent="0.3">
      <c r="J133" s="14"/>
      <c r="X133" s="14"/>
    </row>
    <row r="134" spans="10:24" x14ac:dyDescent="0.3">
      <c r="J134" s="14"/>
      <c r="X134" s="14"/>
    </row>
    <row r="135" spans="10:24" x14ac:dyDescent="0.3">
      <c r="J135" s="14"/>
      <c r="X135" s="14"/>
    </row>
    <row r="136" spans="10:24" x14ac:dyDescent="0.3">
      <c r="J136" s="14"/>
      <c r="X136" s="14"/>
    </row>
    <row r="137" spans="10:24" x14ac:dyDescent="0.3">
      <c r="J137" s="14"/>
      <c r="X137" s="14"/>
    </row>
    <row r="138" spans="10:24" x14ac:dyDescent="0.3">
      <c r="J138" s="14"/>
      <c r="X138" s="14"/>
    </row>
    <row r="139" spans="10:24" x14ac:dyDescent="0.3">
      <c r="J139" s="14"/>
      <c r="X139" s="14"/>
    </row>
    <row r="140" spans="10:24" x14ac:dyDescent="0.3">
      <c r="J140" s="14"/>
      <c r="X140" s="14"/>
    </row>
    <row r="141" spans="10:24" x14ac:dyDescent="0.3">
      <c r="J141" s="14"/>
      <c r="X141" s="14"/>
    </row>
    <row r="142" spans="10:24" x14ac:dyDescent="0.3">
      <c r="J142" s="14"/>
      <c r="X142" s="14"/>
    </row>
    <row r="143" spans="10:24" x14ac:dyDescent="0.3">
      <c r="J143" s="14"/>
      <c r="X143" s="14"/>
    </row>
    <row r="144" spans="10:24" x14ac:dyDescent="0.3">
      <c r="J144" s="14"/>
      <c r="X144" s="14"/>
    </row>
    <row r="145" spans="1:24" x14ac:dyDescent="0.3">
      <c r="J145" s="14"/>
      <c r="X145" s="14"/>
    </row>
    <row r="146" spans="1:24" x14ac:dyDescent="0.3">
      <c r="J146" s="14"/>
      <c r="X146" s="14"/>
    </row>
    <row r="147" spans="1:24" x14ac:dyDescent="0.3">
      <c r="J147" s="14"/>
      <c r="X147" s="14"/>
    </row>
    <row r="148" spans="1:24" x14ac:dyDescent="0.3">
      <c r="J148" s="14"/>
      <c r="X148" s="14"/>
    </row>
    <row r="149" spans="1:24" x14ac:dyDescent="0.3">
      <c r="J149" s="14"/>
      <c r="X149" s="14"/>
    </row>
    <row r="150" spans="1:24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3">
      <c r="J151" s="14"/>
      <c r="X151" s="14"/>
    </row>
    <row r="152" spans="1:24" x14ac:dyDescent="0.3">
      <c r="J152" s="14"/>
      <c r="X152" s="14"/>
    </row>
    <row r="153" spans="1:24" x14ac:dyDescent="0.3">
      <c r="J153" s="14"/>
      <c r="X153" s="14"/>
    </row>
    <row r="154" spans="1:24" x14ac:dyDescent="0.3">
      <c r="J154" s="14"/>
      <c r="X154" s="14"/>
    </row>
    <row r="155" spans="1:24" x14ac:dyDescent="0.3">
      <c r="J155" s="14"/>
      <c r="X155" s="14"/>
    </row>
    <row r="156" spans="1:24" x14ac:dyDescent="0.3">
      <c r="J156" s="14"/>
      <c r="X156" s="14"/>
    </row>
    <row r="157" spans="1:24" x14ac:dyDescent="0.3">
      <c r="J157" s="14"/>
      <c r="X157" s="14"/>
    </row>
    <row r="158" spans="1:24" x14ac:dyDescent="0.3">
      <c r="J158" s="14"/>
      <c r="X158" s="14"/>
    </row>
  </sheetData>
  <mergeCells count="9">
    <mergeCell ref="C23:C26"/>
    <mergeCell ref="D23:D26"/>
    <mergeCell ref="H1:I1"/>
    <mergeCell ref="F7:F8"/>
    <mergeCell ref="G7:G8"/>
    <mergeCell ref="C17:C19"/>
    <mergeCell ref="D17:D19"/>
    <mergeCell ref="C20:C22"/>
    <mergeCell ref="D20:D22"/>
  </mergeCells>
  <hyperlinks>
    <hyperlink ref="H1" location="TOC!A1" display="Return to TOC" xr:uid="{0039D657-E9AC-4863-BBA8-3A8067FD0709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AF9E-AC6B-4F9E-90E4-AB3BBC1CAE78}">
  <sheetPr codeName="Sheet88"/>
  <dimension ref="A1:AD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9.44140625" customWidth="1"/>
    <col min="4" max="6" width="15.6640625" customWidth="1"/>
    <col min="7" max="8" width="2.6640625" customWidth="1"/>
    <col min="9" max="10" width="9.109375" customWidth="1"/>
    <col min="11" max="13" width="10.6640625" customWidth="1"/>
    <col min="14" max="15" width="2.6640625" customWidth="1"/>
    <col min="16" max="16" width="10.109375" customWidth="1"/>
    <col min="17" max="17" width="18.44140625" bestFit="1" customWidth="1"/>
    <col min="18" max="18" width="17.5546875" bestFit="1" customWidth="1"/>
    <col min="19" max="19" width="16.109375" bestFit="1" customWidth="1"/>
    <col min="20" max="20" width="15.109375" bestFit="1" customWidth="1"/>
    <col min="21" max="21" width="15.5546875" bestFit="1" customWidth="1"/>
    <col min="22" max="22" width="9.33203125" customWidth="1"/>
    <col min="23" max="29" width="9" customWidth="1"/>
  </cols>
  <sheetData>
    <row r="1" spans="1:30" x14ac:dyDescent="0.3">
      <c r="A1" s="32" t="s">
        <v>137</v>
      </c>
      <c r="B1" s="33"/>
      <c r="C1" s="33" t="s">
        <v>131</v>
      </c>
      <c r="D1" s="34"/>
      <c r="E1" s="33"/>
      <c r="F1" s="33"/>
      <c r="G1" s="33"/>
      <c r="H1" s="33"/>
      <c r="I1" s="33"/>
      <c r="J1" s="33"/>
      <c r="K1" s="33"/>
      <c r="L1" s="33"/>
      <c r="M1" s="772" t="s">
        <v>199</v>
      </c>
      <c r="N1" s="773"/>
      <c r="O1" s="10"/>
      <c r="P1" s="12" t="s">
        <v>140</v>
      </c>
      <c r="AC1" s="10"/>
    </row>
    <row r="2" spans="1:30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10"/>
      <c r="P2" t="s">
        <v>1274</v>
      </c>
      <c r="AC2" s="10"/>
    </row>
    <row r="3" spans="1:30" x14ac:dyDescent="0.3">
      <c r="A3" s="35" t="s">
        <v>141</v>
      </c>
      <c r="B3" s="36"/>
      <c r="C3" s="36" t="s">
        <v>1273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0"/>
      <c r="P3" t="str">
        <f>"The annual company premium at the policy limits bought is "&amp;TEXT(B9,"$#,###")</f>
        <v>The annual company premium at the policy limits bought is $500,000</v>
      </c>
      <c r="AC3" s="10"/>
    </row>
    <row r="4" spans="1:30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14"/>
      <c r="AC4" s="14"/>
      <c r="AD4" s="13"/>
    </row>
    <row r="5" spans="1:30" ht="15" customHeight="1" x14ac:dyDescent="0.3">
      <c r="A5" s="41" t="s">
        <v>144</v>
      </c>
      <c r="B5" s="36"/>
      <c r="C5" s="36" t="s">
        <v>1275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14"/>
      <c r="P5" s="12"/>
      <c r="Q5" s="617" t="s">
        <v>566</v>
      </c>
      <c r="R5" s="617" t="s">
        <v>567</v>
      </c>
      <c r="S5" s="617" t="s">
        <v>568</v>
      </c>
      <c r="T5" s="617" t="s">
        <v>569</v>
      </c>
      <c r="U5" s="617" t="s">
        <v>570</v>
      </c>
      <c r="Z5" s="13"/>
      <c r="AA5" s="13"/>
      <c r="AB5" s="13"/>
      <c r="AC5" s="14"/>
      <c r="AD5" s="13"/>
    </row>
    <row r="6" spans="1:30" x14ac:dyDescent="0.3">
      <c r="A6" s="45"/>
      <c r="B6" s="36"/>
      <c r="C6" s="36" t="s">
        <v>1276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14"/>
      <c r="P6" s="12"/>
      <c r="Q6" s="618" t="s">
        <v>1277</v>
      </c>
      <c r="R6" s="618" t="s">
        <v>1278</v>
      </c>
      <c r="S6" s="618"/>
      <c r="T6" s="618" t="s">
        <v>1277</v>
      </c>
      <c r="U6" s="557"/>
      <c r="Z6" s="13"/>
      <c r="AA6" s="13"/>
      <c r="AB6" s="13"/>
      <c r="AC6" s="14"/>
      <c r="AD6" s="13"/>
    </row>
    <row r="7" spans="1:30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14"/>
      <c r="P7" s="12"/>
      <c r="Q7" s="618" t="s">
        <v>1280</v>
      </c>
      <c r="R7" s="618" t="s">
        <v>1281</v>
      </c>
      <c r="S7" s="618" t="s">
        <v>1282</v>
      </c>
      <c r="T7" s="618" t="s">
        <v>1280</v>
      </c>
      <c r="U7" s="618" t="s">
        <v>1283</v>
      </c>
      <c r="Z7" s="13"/>
      <c r="AA7" s="13"/>
      <c r="AB7" s="13"/>
      <c r="AC7" s="14"/>
      <c r="AD7" s="13"/>
    </row>
    <row r="8" spans="1:30" ht="15" customHeight="1" x14ac:dyDescent="0.3">
      <c r="A8" s="41"/>
      <c r="B8" s="39"/>
      <c r="C8" s="36" t="s">
        <v>1279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  <c r="O8" s="14"/>
      <c r="P8" s="112" t="s">
        <v>1137</v>
      </c>
      <c r="Q8" s="618" t="s">
        <v>1192</v>
      </c>
      <c r="R8" s="618" t="s">
        <v>1284</v>
      </c>
      <c r="S8" s="618" t="s">
        <v>1285</v>
      </c>
      <c r="T8" s="618" t="s">
        <v>1192</v>
      </c>
      <c r="U8" s="618" t="s">
        <v>1286</v>
      </c>
      <c r="Z8" s="13"/>
      <c r="AA8" s="13"/>
      <c r="AB8" s="13"/>
      <c r="AC8" s="14"/>
      <c r="AD8" s="13"/>
    </row>
    <row r="9" spans="1:30" x14ac:dyDescent="0.3">
      <c r="A9" s="41"/>
      <c r="B9" s="250">
        <v>500000</v>
      </c>
      <c r="C9" s="36" t="str">
        <f>"The cost of this policy in the most recent experience year was "&amp;TEXT(B9,"$#,###")&amp;"."</f>
        <v>The cost of this policy in the most recent experience year was $500,000.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 s="14"/>
      <c r="P9" s="619" t="s">
        <v>1133</v>
      </c>
      <c r="Q9" s="269">
        <f>D15</f>
        <v>7.4</v>
      </c>
      <c r="R9" s="120">
        <f>E22</f>
        <v>2.024</v>
      </c>
      <c r="S9" s="528">
        <f>E23</f>
        <v>4.8</v>
      </c>
      <c r="T9" s="620">
        <f>Q9*R9</f>
        <v>14.977600000000001</v>
      </c>
      <c r="U9" s="621">
        <f>Q9*S9</f>
        <v>35.520000000000003</v>
      </c>
      <c r="Z9" s="13"/>
      <c r="AA9" s="13"/>
      <c r="AB9" s="13"/>
      <c r="AC9" s="14"/>
      <c r="AD9" s="13"/>
    </row>
    <row r="10" spans="1:30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14"/>
      <c r="P10" s="622" t="s">
        <v>1126</v>
      </c>
      <c r="Q10" s="110">
        <f>D16</f>
        <v>5</v>
      </c>
      <c r="R10" s="93">
        <f>E29</f>
        <v>2.92</v>
      </c>
      <c r="S10" s="480">
        <f>E30</f>
        <v>4.7619999999999996</v>
      </c>
      <c r="T10" s="572">
        <f>Q10*R10</f>
        <v>14.6</v>
      </c>
      <c r="U10" s="623">
        <f>Q10*S10</f>
        <v>23.81</v>
      </c>
      <c r="Z10" s="13"/>
      <c r="AA10" s="13"/>
      <c r="AB10" s="13"/>
      <c r="AC10" s="14"/>
      <c r="AD10" s="13"/>
    </row>
    <row r="11" spans="1:30" x14ac:dyDescent="0.3">
      <c r="A11" s="35" t="s">
        <v>173</v>
      </c>
      <c r="B11" s="39"/>
      <c r="C11" s="36" t="s">
        <v>1287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14"/>
      <c r="P11" s="624" t="s">
        <v>308</v>
      </c>
      <c r="Q11" s="238"/>
      <c r="R11" s="239"/>
      <c r="S11" s="239"/>
      <c r="T11" s="625">
        <f>SUM(T9:T10)</f>
        <v>29.5776</v>
      </c>
      <c r="U11" s="626">
        <f>SUM(U9:U10)</f>
        <v>59.33</v>
      </c>
      <c r="Z11" s="13"/>
      <c r="AA11" s="13"/>
      <c r="AB11" s="13"/>
      <c r="AC11" s="14"/>
      <c r="AD11" s="13"/>
    </row>
    <row r="12" spans="1:30" x14ac:dyDescent="0.3">
      <c r="A12" s="38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14"/>
      <c r="Z12" s="13"/>
      <c r="AA12" s="13"/>
      <c r="AB12" s="13"/>
      <c r="AC12" s="14"/>
      <c r="AD12" s="13"/>
    </row>
    <row r="13" spans="1:30" x14ac:dyDescent="0.3">
      <c r="A13" s="38"/>
      <c r="B13" s="39"/>
      <c r="C13" s="36"/>
      <c r="D13" s="633" t="s">
        <v>1288</v>
      </c>
      <c r="E13" s="75"/>
      <c r="F13" s="36"/>
      <c r="G13" s="36"/>
      <c r="H13" s="36"/>
      <c r="I13" s="627">
        <v>0.65</v>
      </c>
      <c r="J13" s="366" t="s">
        <v>1289</v>
      </c>
      <c r="K13" s="366"/>
      <c r="L13" s="49"/>
      <c r="M13" s="36"/>
      <c r="N13" s="37"/>
      <c r="O13" s="14"/>
      <c r="Q13" s="617" t="s">
        <v>571</v>
      </c>
      <c r="R13" s="617" t="s">
        <v>577</v>
      </c>
      <c r="S13" s="617" t="s">
        <v>578</v>
      </c>
      <c r="T13" s="617" t="s">
        <v>579</v>
      </c>
      <c r="U13" s="617" t="s">
        <v>580</v>
      </c>
      <c r="Z13" s="13"/>
      <c r="AA13" s="13"/>
      <c r="AB13" s="13"/>
      <c r="AC13" s="14"/>
      <c r="AD13" s="13"/>
    </row>
    <row r="14" spans="1:30" x14ac:dyDescent="0.3">
      <c r="A14" s="38"/>
      <c r="B14" s="39"/>
      <c r="C14" s="137" t="s">
        <v>1137</v>
      </c>
      <c r="D14" s="137">
        <v>2121</v>
      </c>
      <c r="E14" s="138">
        <v>7390</v>
      </c>
      <c r="F14" s="36"/>
      <c r="G14" s="36"/>
      <c r="H14" s="36"/>
      <c r="I14" s="36"/>
      <c r="J14" s="36"/>
      <c r="K14" s="36"/>
      <c r="L14" s="36"/>
      <c r="M14" s="36"/>
      <c r="N14" s="37"/>
      <c r="O14" s="14"/>
      <c r="Q14" s="557"/>
      <c r="R14" s="618"/>
      <c r="S14" s="618" t="s">
        <v>1290</v>
      </c>
      <c r="T14" s="557"/>
      <c r="U14" s="618" t="s">
        <v>1291</v>
      </c>
      <c r="Z14" s="13"/>
      <c r="AA14" s="13"/>
      <c r="AB14" s="13"/>
      <c r="AC14" s="14"/>
      <c r="AD14" s="13"/>
    </row>
    <row r="15" spans="1:30" x14ac:dyDescent="0.3">
      <c r="A15" s="45"/>
      <c r="B15" s="36"/>
      <c r="C15" s="77" t="s">
        <v>1133</v>
      </c>
      <c r="D15" s="20">
        <v>7.4</v>
      </c>
      <c r="E15" s="17">
        <v>1.4</v>
      </c>
      <c r="F15" s="36"/>
      <c r="G15" s="36"/>
      <c r="H15" s="36"/>
      <c r="I15" s="36"/>
      <c r="J15" s="36"/>
      <c r="K15" s="36"/>
      <c r="L15" s="36"/>
      <c r="M15" s="36"/>
      <c r="N15" s="37"/>
      <c r="O15" s="14"/>
      <c r="Q15" s="618" t="s">
        <v>1154</v>
      </c>
      <c r="R15" s="618" t="s">
        <v>1137</v>
      </c>
      <c r="S15" s="618" t="s">
        <v>1292</v>
      </c>
      <c r="T15" s="557"/>
      <c r="U15" s="618" t="s">
        <v>1257</v>
      </c>
      <c r="Z15" s="13"/>
      <c r="AA15" s="13"/>
      <c r="AB15" s="13"/>
      <c r="AC15" s="14"/>
      <c r="AD15" s="13"/>
    </row>
    <row r="16" spans="1:30" x14ac:dyDescent="0.3">
      <c r="A16" s="45"/>
      <c r="B16" s="36"/>
      <c r="C16" s="82" t="s">
        <v>1126</v>
      </c>
      <c r="D16" s="22">
        <v>5</v>
      </c>
      <c r="E16" s="22">
        <v>2.9</v>
      </c>
      <c r="F16" s="36"/>
      <c r="G16" s="36"/>
      <c r="H16" s="36"/>
      <c r="I16" s="36"/>
      <c r="J16" s="36"/>
      <c r="K16" s="36"/>
      <c r="L16" s="36"/>
      <c r="M16" s="36"/>
      <c r="N16" s="37"/>
      <c r="O16" s="14"/>
      <c r="P16" s="112" t="s">
        <v>1137</v>
      </c>
      <c r="Q16" s="628" t="s">
        <v>1293</v>
      </c>
      <c r="R16" s="628" t="s">
        <v>1294</v>
      </c>
      <c r="S16" s="628" t="s">
        <v>1295</v>
      </c>
      <c r="T16" s="628" t="s">
        <v>1175</v>
      </c>
      <c r="U16" s="628" t="s">
        <v>1296</v>
      </c>
      <c r="Z16" s="13"/>
      <c r="AA16" s="13"/>
      <c r="AB16" s="13"/>
      <c r="AC16" s="14"/>
      <c r="AD16" s="13"/>
    </row>
    <row r="17" spans="1:30" x14ac:dyDescent="0.3">
      <c r="A17" s="4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14"/>
      <c r="P17" s="619" t="s">
        <v>1133</v>
      </c>
      <c r="Q17" s="629">
        <f>$B$9*$T$11/$U$11</f>
        <v>249263.44176639139</v>
      </c>
      <c r="R17" s="620">
        <f>T9/$T$11</f>
        <v>0.50638320891485455</v>
      </c>
      <c r="S17" s="583">
        <f>Q17*R17</f>
        <v>126222.82150682625</v>
      </c>
      <c r="T17" s="582">
        <f>$I$13</f>
        <v>0.65</v>
      </c>
      <c r="U17" s="630">
        <f>ROUND(S17*T17,0)</f>
        <v>82045</v>
      </c>
      <c r="Z17" s="13"/>
      <c r="AA17" s="13"/>
      <c r="AB17" s="13"/>
      <c r="AC17" s="14"/>
      <c r="AD17" s="13"/>
    </row>
    <row r="18" spans="1:30" x14ac:dyDescent="0.3">
      <c r="A18" s="45"/>
      <c r="B18" s="36"/>
      <c r="C18" s="469" t="s">
        <v>1199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14"/>
      <c r="P18" s="622" t="s">
        <v>1126</v>
      </c>
      <c r="Q18" s="631">
        <f>$B$9*$T$11/$U$11</f>
        <v>249263.44176639139</v>
      </c>
      <c r="R18" s="572">
        <f>T10/$T$11</f>
        <v>0.4936167910851455</v>
      </c>
      <c r="S18" s="591">
        <f>Q18*R18</f>
        <v>123040.62025956516</v>
      </c>
      <c r="T18" s="590">
        <f>$I$13</f>
        <v>0.65</v>
      </c>
      <c r="U18" s="632">
        <f>ROUND(S18*T18,0)</f>
        <v>79976</v>
      </c>
      <c r="Z18" s="13"/>
      <c r="AA18" s="13"/>
      <c r="AB18" s="13"/>
      <c r="AC18" s="14"/>
      <c r="AD18" s="13"/>
    </row>
    <row r="19" spans="1:30" ht="15" customHeight="1" x14ac:dyDescent="0.3">
      <c r="A19" s="45"/>
      <c r="B19" s="36"/>
      <c r="C19" s="551" t="s">
        <v>1297</v>
      </c>
      <c r="D19" s="36"/>
      <c r="E19" s="36"/>
      <c r="F19" s="36"/>
      <c r="G19" s="36"/>
      <c r="H19" s="36"/>
      <c r="I19" s="551" t="s">
        <v>1298</v>
      </c>
      <c r="J19" s="36"/>
      <c r="K19" s="36"/>
      <c r="L19" s="36"/>
      <c r="M19" s="36"/>
      <c r="N19" s="37"/>
      <c r="O19" s="14"/>
      <c r="Z19" s="13"/>
      <c r="AA19" s="13"/>
      <c r="AB19" s="13"/>
      <c r="AC19" s="14"/>
      <c r="AD19" s="13"/>
    </row>
    <row r="20" spans="1:30" x14ac:dyDescent="0.3">
      <c r="A20" s="45"/>
      <c r="B20" s="36"/>
      <c r="C20" s="36"/>
      <c r="D20" s="73" t="s">
        <v>1299</v>
      </c>
      <c r="E20" s="73"/>
      <c r="F20" s="73"/>
      <c r="G20" s="36"/>
      <c r="H20" s="36"/>
      <c r="I20" s="36"/>
      <c r="J20" s="36"/>
      <c r="K20" s="73" t="s">
        <v>1299</v>
      </c>
      <c r="L20" s="73"/>
      <c r="M20" s="73"/>
      <c r="N20" s="37"/>
      <c r="O20" s="14"/>
      <c r="P20" s="198" t="s">
        <v>1141</v>
      </c>
      <c r="Z20" s="13"/>
      <c r="AA20" s="13"/>
      <c r="AB20" s="13"/>
      <c r="AC20" s="14"/>
      <c r="AD20" s="13"/>
    </row>
    <row r="21" spans="1:30" x14ac:dyDescent="0.3">
      <c r="A21" s="45"/>
      <c r="B21" s="36"/>
      <c r="C21" s="36"/>
      <c r="D21" s="181" t="s">
        <v>1204</v>
      </c>
      <c r="E21" s="181" t="s">
        <v>1300</v>
      </c>
      <c r="F21" s="181" t="s">
        <v>1206</v>
      </c>
      <c r="G21" s="36"/>
      <c r="H21" s="36"/>
      <c r="I21" s="36"/>
      <c r="J21" s="36"/>
      <c r="K21" s="181" t="s">
        <v>1204</v>
      </c>
      <c r="L21" s="181" t="s">
        <v>1300</v>
      </c>
      <c r="M21" s="181" t="s">
        <v>1206</v>
      </c>
      <c r="N21" s="37"/>
      <c r="O21" s="14"/>
      <c r="P21" t="s">
        <v>1301</v>
      </c>
      <c r="Z21" s="13"/>
      <c r="AA21" s="13"/>
      <c r="AB21" s="13"/>
      <c r="AC21" s="14"/>
      <c r="AD21" s="13"/>
    </row>
    <row r="22" spans="1:30" x14ac:dyDescent="0.3">
      <c r="A22" s="45"/>
      <c r="B22" s="36"/>
      <c r="C22" s="52" t="s">
        <v>1208</v>
      </c>
      <c r="D22" s="586">
        <v>1</v>
      </c>
      <c r="E22" s="587">
        <v>2.024</v>
      </c>
      <c r="F22" s="588">
        <v>5.6639999999999997</v>
      </c>
      <c r="G22" s="36"/>
      <c r="H22" s="36"/>
      <c r="I22" s="36"/>
      <c r="J22" s="52" t="s">
        <v>1208</v>
      </c>
      <c r="K22" s="586">
        <v>1</v>
      </c>
      <c r="L22" s="587">
        <v>2.774</v>
      </c>
      <c r="M22" s="588">
        <v>4.2629999999999999</v>
      </c>
      <c r="N22" s="37"/>
      <c r="O22" s="14"/>
      <c r="P22" t="s">
        <v>1302</v>
      </c>
      <c r="W22" s="13"/>
      <c r="X22" s="13"/>
      <c r="Y22" s="13"/>
      <c r="Z22" s="13"/>
      <c r="AA22" s="13"/>
      <c r="AB22" s="13"/>
      <c r="AC22" s="14"/>
      <c r="AD22" s="13"/>
    </row>
    <row r="23" spans="1:30" ht="15" customHeight="1" x14ac:dyDescent="0.3">
      <c r="A23" s="45"/>
      <c r="B23" s="36"/>
      <c r="C23" s="52" t="s">
        <v>1210</v>
      </c>
      <c r="D23" s="594">
        <v>3.8940000000000001</v>
      </c>
      <c r="E23" s="454">
        <v>4.8</v>
      </c>
      <c r="F23" s="91">
        <v>5.9009999999999998</v>
      </c>
      <c r="G23" s="36"/>
      <c r="H23" s="36"/>
      <c r="I23" s="36"/>
      <c r="J23" s="52" t="s">
        <v>1210</v>
      </c>
      <c r="K23" s="594">
        <v>2.8879999999999999</v>
      </c>
      <c r="L23" s="454">
        <v>3.5630000000000002</v>
      </c>
      <c r="M23" s="91">
        <v>5.13</v>
      </c>
      <c r="N23" s="37"/>
      <c r="O23" s="14"/>
      <c r="W23" s="13"/>
      <c r="X23" s="13"/>
      <c r="Y23" s="13"/>
      <c r="Z23" s="13"/>
      <c r="AA23" s="13"/>
      <c r="AB23" s="13"/>
      <c r="AC23" s="14"/>
      <c r="AD23" s="13"/>
    </row>
    <row r="24" spans="1:30" ht="15" customHeight="1" x14ac:dyDescent="0.3">
      <c r="A24" s="45"/>
      <c r="B24" s="36"/>
      <c r="C24" s="52" t="s">
        <v>1300</v>
      </c>
      <c r="D24" s="595">
        <v>3.9750000000000001</v>
      </c>
      <c r="E24" s="451">
        <v>5.2640000000000002</v>
      </c>
      <c r="F24" s="95">
        <v>5.9530000000000003</v>
      </c>
      <c r="G24" s="36"/>
      <c r="H24" s="36"/>
      <c r="I24" s="36"/>
      <c r="J24" s="52" t="s">
        <v>1300</v>
      </c>
      <c r="K24" s="595">
        <v>4.992</v>
      </c>
      <c r="L24" s="451">
        <v>5.7610000000000001</v>
      </c>
      <c r="M24" s="95">
        <v>6.1539999999999999</v>
      </c>
      <c r="N24" s="37"/>
      <c r="O24" s="14"/>
      <c r="P24" t="s">
        <v>1303</v>
      </c>
      <c r="W24" s="13"/>
      <c r="X24" s="13"/>
      <c r="Y24" s="13"/>
      <c r="Z24" s="13"/>
      <c r="AA24" s="13"/>
      <c r="AB24" s="13"/>
      <c r="AC24" s="14"/>
      <c r="AD24" s="13"/>
    </row>
    <row r="25" spans="1:30" ht="15" customHeight="1" x14ac:dyDescent="0.3">
      <c r="A25" s="4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14"/>
      <c r="P25" t="s">
        <v>1306</v>
      </c>
      <c r="W25" s="13"/>
      <c r="X25" s="13"/>
      <c r="Y25" s="13"/>
      <c r="Z25" s="13"/>
      <c r="AA25" s="13"/>
      <c r="AB25" s="13"/>
      <c r="AC25" s="14"/>
      <c r="AD25" s="13"/>
    </row>
    <row r="26" spans="1:30" ht="15" customHeight="1" x14ac:dyDescent="0.3">
      <c r="A26" s="45"/>
      <c r="B26" s="36"/>
      <c r="C26" s="551" t="s">
        <v>1304</v>
      </c>
      <c r="D26" s="36"/>
      <c r="E26" s="36"/>
      <c r="F26" s="36"/>
      <c r="G26" s="36"/>
      <c r="H26" s="36"/>
      <c r="I26" s="551" t="s">
        <v>1305</v>
      </c>
      <c r="J26" s="36"/>
      <c r="K26" s="36"/>
      <c r="L26" s="36"/>
      <c r="M26" s="36"/>
      <c r="N26" s="37"/>
      <c r="O26" s="14"/>
      <c r="P26" t="s">
        <v>1307</v>
      </c>
      <c r="W26" s="13"/>
      <c r="X26" s="13"/>
      <c r="Y26" s="13"/>
      <c r="Z26" s="13"/>
      <c r="AA26" s="13"/>
      <c r="AB26" s="13"/>
      <c r="AC26" s="14"/>
      <c r="AD26" s="13"/>
    </row>
    <row r="27" spans="1:30" ht="15" customHeight="1" x14ac:dyDescent="0.3">
      <c r="A27" s="45"/>
      <c r="B27" s="36"/>
      <c r="C27" s="36"/>
      <c r="D27" s="73" t="s">
        <v>1299</v>
      </c>
      <c r="E27" s="73"/>
      <c r="F27" s="73"/>
      <c r="G27" s="36"/>
      <c r="H27" s="36"/>
      <c r="I27" s="36"/>
      <c r="J27" s="36"/>
      <c r="K27" s="73" t="s">
        <v>1299</v>
      </c>
      <c r="L27" s="73"/>
      <c r="M27" s="73"/>
      <c r="N27" s="37"/>
      <c r="O27" s="14"/>
      <c r="P27" t="s">
        <v>1308</v>
      </c>
      <c r="W27" s="13"/>
      <c r="X27" s="13"/>
      <c r="Y27" s="13"/>
      <c r="Z27" s="13"/>
      <c r="AA27" s="13"/>
      <c r="AB27" s="13"/>
      <c r="AC27" s="14"/>
      <c r="AD27" s="13"/>
    </row>
    <row r="28" spans="1:30" ht="15" customHeight="1" x14ac:dyDescent="0.3">
      <c r="A28" s="45"/>
      <c r="B28" s="36"/>
      <c r="C28" s="36"/>
      <c r="D28" s="181" t="s">
        <v>1204</v>
      </c>
      <c r="E28" s="181" t="s">
        <v>1300</v>
      </c>
      <c r="F28" s="181" t="s">
        <v>1206</v>
      </c>
      <c r="G28" s="36"/>
      <c r="H28" s="36"/>
      <c r="I28" s="36"/>
      <c r="J28" s="36"/>
      <c r="K28" s="181" t="s">
        <v>1204</v>
      </c>
      <c r="L28" s="181" t="s">
        <v>1300</v>
      </c>
      <c r="M28" s="181" t="s">
        <v>1206</v>
      </c>
      <c r="N28" s="37"/>
      <c r="O28" s="14"/>
      <c r="P28" t="s">
        <v>1309</v>
      </c>
      <c r="W28" s="13"/>
      <c r="X28" s="13"/>
      <c r="Y28" s="13"/>
      <c r="Z28" s="13"/>
      <c r="AA28" s="13"/>
      <c r="AB28" s="13"/>
      <c r="AC28" s="14"/>
      <c r="AD28" s="13"/>
    </row>
    <row r="29" spans="1:30" x14ac:dyDescent="0.3">
      <c r="A29" s="45"/>
      <c r="B29" s="36"/>
      <c r="C29" s="52" t="s">
        <v>1208</v>
      </c>
      <c r="D29" s="586">
        <v>1</v>
      </c>
      <c r="E29" s="587">
        <v>2.92</v>
      </c>
      <c r="F29" s="588">
        <v>3.605</v>
      </c>
      <c r="G29" s="36"/>
      <c r="H29" s="36"/>
      <c r="I29" s="36"/>
      <c r="J29" s="52" t="s">
        <v>1208</v>
      </c>
      <c r="K29" s="586">
        <v>1</v>
      </c>
      <c r="L29" s="587">
        <v>1.3160000000000001</v>
      </c>
      <c r="M29" s="588">
        <v>4.6630000000000003</v>
      </c>
      <c r="N29" s="37"/>
      <c r="O29" s="14"/>
      <c r="P29" s="11" t="s">
        <v>1310</v>
      </c>
      <c r="W29" s="13"/>
      <c r="X29" s="13"/>
      <c r="Y29" s="13"/>
      <c r="Z29" s="13"/>
      <c r="AA29" s="13"/>
      <c r="AB29" s="13"/>
      <c r="AC29" s="14"/>
      <c r="AD29" s="13"/>
    </row>
    <row r="30" spans="1:30" x14ac:dyDescent="0.3">
      <c r="A30" s="45"/>
      <c r="B30" s="36"/>
      <c r="C30" s="52" t="s">
        <v>1210</v>
      </c>
      <c r="D30" s="594">
        <v>3.61</v>
      </c>
      <c r="E30" s="454">
        <v>4.7619999999999996</v>
      </c>
      <c r="F30" s="91">
        <v>5.407</v>
      </c>
      <c r="G30" s="36"/>
      <c r="H30" s="36"/>
      <c r="I30" s="36"/>
      <c r="J30" s="52" t="s">
        <v>1210</v>
      </c>
      <c r="K30" s="594">
        <v>2.3159999999999998</v>
      </c>
      <c r="L30" s="454">
        <v>3.91</v>
      </c>
      <c r="M30" s="91">
        <v>5.7629999999999999</v>
      </c>
      <c r="N30" s="37"/>
      <c r="O30" s="14"/>
      <c r="P30" t="s">
        <v>1311</v>
      </c>
      <c r="W30" s="13"/>
      <c r="X30" s="13"/>
      <c r="Y30" s="13"/>
      <c r="Z30" s="13"/>
      <c r="AA30" s="13"/>
      <c r="AB30" s="13"/>
      <c r="AC30" s="14"/>
      <c r="AD30" s="13"/>
    </row>
    <row r="31" spans="1:30" x14ac:dyDescent="0.3">
      <c r="A31" s="45"/>
      <c r="B31" s="36"/>
      <c r="C31" s="52" t="s">
        <v>1300</v>
      </c>
      <c r="D31" s="595">
        <v>4.7229999999999999</v>
      </c>
      <c r="E31" s="451">
        <v>5.8879999999999999</v>
      </c>
      <c r="F31" s="95">
        <v>5.923</v>
      </c>
      <c r="G31" s="36"/>
      <c r="H31" s="36"/>
      <c r="I31" s="36"/>
      <c r="J31" s="52" t="s">
        <v>1300</v>
      </c>
      <c r="K31" s="595">
        <v>3.4689999999999999</v>
      </c>
      <c r="L31" s="451">
        <v>4.7640000000000002</v>
      </c>
      <c r="M31" s="95">
        <v>6.5090000000000003</v>
      </c>
      <c r="N31" s="37"/>
      <c r="O31" s="14"/>
      <c r="P31" t="s">
        <v>1312</v>
      </c>
      <c r="W31" s="13"/>
      <c r="X31" s="13"/>
      <c r="Y31" s="13"/>
      <c r="Z31" s="13"/>
      <c r="AA31" s="13"/>
      <c r="AB31" s="13"/>
      <c r="AC31" s="14"/>
      <c r="AD31" s="13"/>
    </row>
    <row r="32" spans="1:30" ht="15" thickBot="1" x14ac:dyDescent="0.3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4"/>
      <c r="P32" t="s">
        <v>1313</v>
      </c>
      <c r="W32" s="13"/>
      <c r="X32" s="13"/>
      <c r="Y32" s="13"/>
      <c r="Z32" s="13"/>
      <c r="AA32" s="13"/>
      <c r="AB32" s="13"/>
      <c r="AC32" s="14"/>
      <c r="AD32" s="13"/>
    </row>
    <row r="33" spans="1:30" x14ac:dyDescent="0.3">
      <c r="O33" s="14"/>
      <c r="P33" t="s">
        <v>1314</v>
      </c>
      <c r="W33" s="13"/>
      <c r="X33" s="13"/>
      <c r="Y33" s="13"/>
      <c r="Z33" s="13"/>
      <c r="AA33" s="13"/>
      <c r="AB33" s="13"/>
      <c r="AC33" s="14"/>
      <c r="AD33" s="13"/>
    </row>
    <row r="34" spans="1:30" x14ac:dyDescent="0.3">
      <c r="O34" s="14"/>
      <c r="W34" s="13"/>
      <c r="X34" s="13"/>
      <c r="Y34" s="13"/>
      <c r="Z34" s="13"/>
      <c r="AA34" s="13"/>
      <c r="AB34" s="13"/>
      <c r="AC34" s="14"/>
      <c r="AD34" s="13"/>
    </row>
    <row r="35" spans="1:30" x14ac:dyDescent="0.3">
      <c r="O35" s="14"/>
      <c r="P35" t="s">
        <v>1315</v>
      </c>
      <c r="W35" s="13"/>
      <c r="X35" s="13"/>
      <c r="Y35" s="13"/>
      <c r="Z35" s="13"/>
      <c r="AA35" s="13"/>
      <c r="AB35" s="13"/>
      <c r="AC35" s="14"/>
      <c r="AD35" s="13"/>
    </row>
    <row r="36" spans="1:30" x14ac:dyDescent="0.3">
      <c r="O36" s="14"/>
      <c r="P36" t="s">
        <v>1316</v>
      </c>
      <c r="W36" s="13"/>
      <c r="X36" s="13"/>
      <c r="Y36" s="13"/>
      <c r="Z36" s="13"/>
      <c r="AA36" s="13"/>
      <c r="AB36" s="13"/>
      <c r="AC36" s="14"/>
      <c r="AD36" s="13"/>
    </row>
    <row r="37" spans="1:30" x14ac:dyDescent="0.3">
      <c r="O37" s="14"/>
      <c r="W37" s="13"/>
      <c r="X37" s="13"/>
      <c r="Y37" s="13"/>
      <c r="Z37" s="13"/>
      <c r="AA37" s="13"/>
      <c r="AB37" s="13"/>
      <c r="AC37" s="14"/>
      <c r="AD37" s="13"/>
    </row>
    <row r="38" spans="1:30" x14ac:dyDescent="0.3">
      <c r="O38" s="14"/>
      <c r="W38" s="13"/>
      <c r="X38" s="13"/>
      <c r="Y38" s="13"/>
      <c r="Z38" s="13"/>
      <c r="AA38" s="13"/>
      <c r="AB38" s="13"/>
      <c r="AC38" s="14"/>
      <c r="AD38" s="13"/>
    </row>
    <row r="39" spans="1:30" x14ac:dyDescent="0.3">
      <c r="A39" s="13"/>
      <c r="B39" s="13"/>
      <c r="O39" s="14"/>
      <c r="W39" s="13"/>
      <c r="X39" s="13"/>
      <c r="Y39" s="13"/>
      <c r="Z39" s="13"/>
      <c r="AA39" s="13"/>
      <c r="AB39" s="13"/>
      <c r="AC39" s="14"/>
      <c r="AD39" s="13"/>
    </row>
    <row r="40" spans="1:30" x14ac:dyDescent="0.3">
      <c r="O40" s="14"/>
      <c r="W40" s="13"/>
      <c r="X40" s="13"/>
      <c r="Y40" s="13"/>
      <c r="Z40" s="13"/>
      <c r="AA40" s="13"/>
      <c r="AB40" s="13"/>
      <c r="AC40" s="14"/>
      <c r="AD40" s="13"/>
    </row>
    <row r="41" spans="1:30" x14ac:dyDescent="0.3">
      <c r="O41" s="14"/>
      <c r="W41" s="13"/>
      <c r="X41" s="13"/>
      <c r="Y41" s="13"/>
      <c r="Z41" s="13"/>
      <c r="AA41" s="13"/>
      <c r="AB41" s="13"/>
      <c r="AC41" s="14"/>
      <c r="AD41" s="13"/>
    </row>
    <row r="42" spans="1:30" x14ac:dyDescent="0.3">
      <c r="O42" s="14"/>
      <c r="W42" s="13"/>
      <c r="X42" s="13"/>
      <c r="Y42" s="13"/>
      <c r="Z42" s="13"/>
      <c r="AA42" s="13"/>
      <c r="AB42" s="13"/>
      <c r="AC42" s="14"/>
      <c r="AD42" s="13"/>
    </row>
    <row r="43" spans="1:30" x14ac:dyDescent="0.3">
      <c r="O43" s="14"/>
      <c r="W43" s="13"/>
      <c r="X43" s="13"/>
      <c r="Y43" s="13"/>
      <c r="Z43" s="13"/>
      <c r="AA43" s="13"/>
      <c r="AB43" s="13"/>
      <c r="AC43" s="14"/>
      <c r="AD43" s="13"/>
    </row>
    <row r="44" spans="1:30" x14ac:dyDescent="0.3">
      <c r="O44" s="14"/>
      <c r="W44" s="13"/>
      <c r="X44" s="13"/>
      <c r="Y44" s="13"/>
      <c r="Z44" s="13"/>
      <c r="AA44" s="13"/>
      <c r="AB44" s="13"/>
      <c r="AC44" s="14"/>
      <c r="AD44" s="13"/>
    </row>
    <row r="45" spans="1:30" x14ac:dyDescent="0.3">
      <c r="O45" s="14"/>
      <c r="W45" s="13"/>
      <c r="X45" s="13"/>
      <c r="Y45" s="13"/>
      <c r="Z45" s="13"/>
      <c r="AA45" s="13"/>
      <c r="AB45" s="13"/>
      <c r="AC45" s="14"/>
      <c r="AD45" s="13"/>
    </row>
    <row r="46" spans="1:30" x14ac:dyDescent="0.3">
      <c r="O46" s="14"/>
      <c r="W46" s="13"/>
      <c r="X46" s="13"/>
      <c r="Y46" s="13"/>
      <c r="Z46" s="13"/>
      <c r="AA46" s="13"/>
      <c r="AB46" s="13"/>
      <c r="AC46" s="14"/>
      <c r="AD46" s="13"/>
    </row>
    <row r="47" spans="1:30" x14ac:dyDescent="0.3">
      <c r="O47" s="14"/>
      <c r="W47" s="13"/>
      <c r="X47" s="13"/>
      <c r="Y47" s="13"/>
      <c r="Z47" s="13"/>
      <c r="AA47" s="13"/>
      <c r="AB47" s="13"/>
      <c r="AC47" s="14"/>
      <c r="AD47" s="13"/>
    </row>
    <row r="48" spans="1:30" x14ac:dyDescent="0.3">
      <c r="O48" s="14"/>
      <c r="W48" s="13"/>
      <c r="X48" s="13"/>
      <c r="Y48" s="13"/>
      <c r="Z48" s="13"/>
      <c r="AA48" s="13"/>
      <c r="AB48" s="13"/>
      <c r="AC48" s="14"/>
      <c r="AD48" s="13"/>
    </row>
    <row r="49" spans="1:30" x14ac:dyDescent="0.3">
      <c r="O49" s="14"/>
      <c r="W49" s="13"/>
      <c r="X49" s="13"/>
      <c r="Y49" s="13"/>
      <c r="Z49" s="13"/>
      <c r="AA49" s="13"/>
      <c r="AB49" s="13"/>
      <c r="AC49" s="14"/>
      <c r="AD49" s="13"/>
    </row>
    <row r="50" spans="1:30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30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4"/>
    </row>
    <row r="52" spans="1:30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4"/>
    </row>
    <row r="53" spans="1:30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4"/>
    </row>
    <row r="54" spans="1:30" x14ac:dyDescent="0.3"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4"/>
    </row>
    <row r="55" spans="1:30" x14ac:dyDescent="0.3">
      <c r="O55" s="14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4"/>
    </row>
    <row r="56" spans="1:30" x14ac:dyDescent="0.3"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4"/>
    </row>
    <row r="57" spans="1:30" x14ac:dyDescent="0.3">
      <c r="O57" s="1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4"/>
    </row>
    <row r="58" spans="1:30" x14ac:dyDescent="0.3">
      <c r="O58" s="14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4"/>
    </row>
    <row r="59" spans="1:30" x14ac:dyDescent="0.3">
      <c r="O59" s="1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4"/>
    </row>
    <row r="60" spans="1:30" x14ac:dyDescent="0.3">
      <c r="O60" s="14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4"/>
    </row>
    <row r="61" spans="1:30" x14ac:dyDescent="0.3">
      <c r="O61" s="14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4"/>
    </row>
    <row r="62" spans="1:30" x14ac:dyDescent="0.3"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4"/>
    </row>
    <row r="63" spans="1:30" x14ac:dyDescent="0.3"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4"/>
    </row>
    <row r="64" spans="1:30" x14ac:dyDescent="0.3"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4"/>
    </row>
    <row r="65" spans="15:29" x14ac:dyDescent="0.3">
      <c r="O65" s="14"/>
      <c r="AC65" s="14"/>
    </row>
    <row r="66" spans="15:29" x14ac:dyDescent="0.3">
      <c r="O66" s="14"/>
      <c r="AC66" s="14"/>
    </row>
    <row r="67" spans="15:29" x14ac:dyDescent="0.3">
      <c r="O67" s="14"/>
      <c r="AC67" s="14"/>
    </row>
    <row r="68" spans="15:29" x14ac:dyDescent="0.3">
      <c r="O68" s="14"/>
      <c r="AC68" s="14"/>
    </row>
    <row r="69" spans="15:29" x14ac:dyDescent="0.3">
      <c r="O69" s="14"/>
      <c r="AC69" s="14"/>
    </row>
    <row r="70" spans="15:29" x14ac:dyDescent="0.3">
      <c r="O70" s="14"/>
      <c r="AC70" s="14"/>
    </row>
    <row r="71" spans="15:29" x14ac:dyDescent="0.3">
      <c r="O71" s="14"/>
      <c r="AC71" s="14"/>
    </row>
    <row r="72" spans="15:29" x14ac:dyDescent="0.3">
      <c r="O72" s="14"/>
      <c r="AC72" s="14"/>
    </row>
    <row r="73" spans="15:29" x14ac:dyDescent="0.3">
      <c r="O73" s="14"/>
      <c r="AC73" s="14"/>
    </row>
    <row r="74" spans="15:29" x14ac:dyDescent="0.3">
      <c r="O74" s="14"/>
      <c r="AC74" s="14"/>
    </row>
    <row r="75" spans="15:29" x14ac:dyDescent="0.3">
      <c r="O75" s="14"/>
      <c r="AC75" s="14"/>
    </row>
    <row r="76" spans="15:29" x14ac:dyDescent="0.3">
      <c r="O76" s="14"/>
      <c r="AC76" s="14"/>
    </row>
    <row r="77" spans="15:29" x14ac:dyDescent="0.3">
      <c r="O77" s="14"/>
      <c r="AC77" s="14"/>
    </row>
    <row r="78" spans="15:29" x14ac:dyDescent="0.3">
      <c r="O78" s="14"/>
      <c r="AC78" s="14"/>
    </row>
    <row r="79" spans="15:29" x14ac:dyDescent="0.3">
      <c r="O79" s="14"/>
      <c r="AC79" s="14"/>
    </row>
    <row r="80" spans="15:29" x14ac:dyDescent="0.3">
      <c r="O80" s="14"/>
      <c r="AC80" s="14"/>
    </row>
    <row r="81" spans="15:29" x14ac:dyDescent="0.3">
      <c r="O81" s="14"/>
      <c r="AC81" s="14"/>
    </row>
    <row r="82" spans="15:29" x14ac:dyDescent="0.3">
      <c r="O82" s="14"/>
      <c r="AC82" s="14"/>
    </row>
    <row r="83" spans="15:29" x14ac:dyDescent="0.3">
      <c r="O83" s="14"/>
      <c r="AC83" s="14"/>
    </row>
    <row r="84" spans="15:29" x14ac:dyDescent="0.3">
      <c r="O84" s="14"/>
      <c r="AC84" s="14"/>
    </row>
    <row r="85" spans="15:29" x14ac:dyDescent="0.3">
      <c r="O85" s="14"/>
      <c r="AC85" s="14"/>
    </row>
    <row r="86" spans="15:29" x14ac:dyDescent="0.3">
      <c r="O86" s="14"/>
      <c r="AC86" s="14"/>
    </row>
    <row r="87" spans="15:29" x14ac:dyDescent="0.3">
      <c r="O87" s="14"/>
      <c r="AC87" s="14"/>
    </row>
    <row r="88" spans="15:29" x14ac:dyDescent="0.3">
      <c r="O88" s="14"/>
      <c r="AC88" s="14"/>
    </row>
    <row r="89" spans="15:29" x14ac:dyDescent="0.3">
      <c r="O89" s="14"/>
      <c r="AC89" s="14"/>
    </row>
    <row r="90" spans="15:29" x14ac:dyDescent="0.3">
      <c r="O90" s="14"/>
      <c r="AC90" s="14"/>
    </row>
    <row r="91" spans="15:29" x14ac:dyDescent="0.3">
      <c r="O91" s="14"/>
      <c r="AC91" s="14"/>
    </row>
    <row r="92" spans="15:29" x14ac:dyDescent="0.3">
      <c r="O92" s="14"/>
      <c r="AC92" s="14"/>
    </row>
    <row r="93" spans="15:29" x14ac:dyDescent="0.3">
      <c r="O93" s="14"/>
      <c r="AC93" s="14"/>
    </row>
    <row r="94" spans="15:29" x14ac:dyDescent="0.3">
      <c r="O94" s="14"/>
      <c r="AC94" s="14"/>
    </row>
    <row r="95" spans="15:29" x14ac:dyDescent="0.3">
      <c r="O95" s="14"/>
      <c r="AC95" s="14"/>
    </row>
    <row r="96" spans="15:29" x14ac:dyDescent="0.3">
      <c r="O96" s="14"/>
      <c r="AC96" s="14"/>
    </row>
    <row r="97" spans="1:29" x14ac:dyDescent="0.3">
      <c r="O97" s="14"/>
      <c r="AC97" s="14"/>
    </row>
    <row r="98" spans="1:29" x14ac:dyDescent="0.3">
      <c r="O98" s="14"/>
      <c r="AC98" s="14"/>
    </row>
    <row r="99" spans="1:29" x14ac:dyDescent="0.3">
      <c r="O99" s="14"/>
      <c r="AC99" s="14"/>
    </row>
    <row r="100" spans="1:29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4"/>
    </row>
    <row r="102" spans="1:29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4"/>
    </row>
    <row r="103" spans="1:29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4"/>
    </row>
    <row r="104" spans="1:29" x14ac:dyDescent="0.3"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4"/>
    </row>
    <row r="105" spans="1:29" x14ac:dyDescent="0.3"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4"/>
    </row>
    <row r="106" spans="1:29" x14ac:dyDescent="0.3"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4"/>
    </row>
    <row r="107" spans="1:29" x14ac:dyDescent="0.3"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4"/>
    </row>
    <row r="108" spans="1:29" x14ac:dyDescent="0.3"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4"/>
    </row>
    <row r="109" spans="1:29" x14ac:dyDescent="0.3"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4"/>
    </row>
    <row r="110" spans="1:29" x14ac:dyDescent="0.3"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4"/>
    </row>
    <row r="111" spans="1:29" x14ac:dyDescent="0.3"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4"/>
    </row>
    <row r="112" spans="1:29" x14ac:dyDescent="0.3">
      <c r="O112" s="14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4"/>
    </row>
    <row r="113" spans="15:29" x14ac:dyDescent="0.3">
      <c r="O113" s="14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4"/>
    </row>
    <row r="114" spans="15:29" x14ac:dyDescent="0.3">
      <c r="O114" s="14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4"/>
    </row>
    <row r="115" spans="15:29" x14ac:dyDescent="0.3">
      <c r="O115" s="14"/>
      <c r="AC115" s="14"/>
    </row>
    <row r="116" spans="15:29" x14ac:dyDescent="0.3">
      <c r="O116" s="14"/>
      <c r="AC116" s="14"/>
    </row>
    <row r="117" spans="15:29" x14ac:dyDescent="0.3">
      <c r="O117" s="14"/>
      <c r="AC117" s="14"/>
    </row>
    <row r="118" spans="15:29" x14ac:dyDescent="0.3">
      <c r="O118" s="14"/>
      <c r="AC118" s="14"/>
    </row>
    <row r="119" spans="15:29" x14ac:dyDescent="0.3">
      <c r="O119" s="14"/>
      <c r="AC119" s="14"/>
    </row>
    <row r="120" spans="15:29" x14ac:dyDescent="0.3">
      <c r="O120" s="14"/>
      <c r="AC120" s="14"/>
    </row>
    <row r="121" spans="15:29" x14ac:dyDescent="0.3">
      <c r="O121" s="14"/>
      <c r="AC121" s="14"/>
    </row>
    <row r="122" spans="15:29" x14ac:dyDescent="0.3">
      <c r="O122" s="14"/>
      <c r="AC122" s="14"/>
    </row>
    <row r="123" spans="15:29" x14ac:dyDescent="0.3">
      <c r="O123" s="14"/>
      <c r="AC123" s="14"/>
    </row>
    <row r="124" spans="15:29" x14ac:dyDescent="0.3">
      <c r="O124" s="14"/>
      <c r="AC124" s="14"/>
    </row>
    <row r="125" spans="15:29" x14ac:dyDescent="0.3">
      <c r="O125" s="14"/>
      <c r="AC125" s="14"/>
    </row>
    <row r="126" spans="15:29" x14ac:dyDescent="0.3">
      <c r="O126" s="14"/>
      <c r="AC126" s="14"/>
    </row>
    <row r="127" spans="15:29" x14ac:dyDescent="0.3">
      <c r="O127" s="14"/>
      <c r="AC127" s="14"/>
    </row>
    <row r="128" spans="15:29" x14ac:dyDescent="0.3">
      <c r="O128" s="14"/>
      <c r="AC128" s="14"/>
    </row>
    <row r="129" spans="15:29" x14ac:dyDescent="0.3">
      <c r="O129" s="14"/>
      <c r="AC129" s="14"/>
    </row>
    <row r="130" spans="15:29" x14ac:dyDescent="0.3">
      <c r="O130" s="14"/>
      <c r="AC130" s="14"/>
    </row>
    <row r="131" spans="15:29" x14ac:dyDescent="0.3">
      <c r="O131" s="14"/>
      <c r="AC131" s="14"/>
    </row>
    <row r="132" spans="15:29" x14ac:dyDescent="0.3">
      <c r="O132" s="14"/>
      <c r="AC132" s="14"/>
    </row>
    <row r="133" spans="15:29" x14ac:dyDescent="0.3">
      <c r="O133" s="14"/>
      <c r="AC133" s="14"/>
    </row>
    <row r="134" spans="15:29" x14ac:dyDescent="0.3">
      <c r="O134" s="14"/>
      <c r="AC134" s="14"/>
    </row>
    <row r="135" spans="15:29" x14ac:dyDescent="0.3">
      <c r="O135" s="14"/>
      <c r="AC135" s="14"/>
    </row>
    <row r="136" spans="15:29" x14ac:dyDescent="0.3">
      <c r="O136" s="14"/>
      <c r="AC136" s="14"/>
    </row>
    <row r="137" spans="15:29" x14ac:dyDescent="0.3">
      <c r="O137" s="14"/>
      <c r="AC137" s="14"/>
    </row>
    <row r="138" spans="15:29" x14ac:dyDescent="0.3">
      <c r="O138" s="14"/>
      <c r="AC138" s="14"/>
    </row>
    <row r="139" spans="15:29" x14ac:dyDescent="0.3">
      <c r="O139" s="14"/>
      <c r="AC139" s="14"/>
    </row>
    <row r="140" spans="15:29" x14ac:dyDescent="0.3">
      <c r="O140" s="14"/>
      <c r="AC140" s="14"/>
    </row>
    <row r="141" spans="15:29" x14ac:dyDescent="0.3">
      <c r="O141" s="14"/>
      <c r="AC141" s="14"/>
    </row>
    <row r="142" spans="15:29" x14ac:dyDescent="0.3">
      <c r="O142" s="14"/>
      <c r="AC142" s="14"/>
    </row>
    <row r="143" spans="15:29" x14ac:dyDescent="0.3">
      <c r="O143" s="14"/>
      <c r="AC143" s="14"/>
    </row>
    <row r="144" spans="15:29" x14ac:dyDescent="0.3">
      <c r="O144" s="14"/>
      <c r="AC144" s="14"/>
    </row>
    <row r="145" spans="1:29" x14ac:dyDescent="0.3">
      <c r="O145" s="14"/>
      <c r="AC145" s="14"/>
    </row>
    <row r="146" spans="1:29" x14ac:dyDescent="0.3">
      <c r="O146" s="14"/>
      <c r="AC146" s="14"/>
    </row>
    <row r="147" spans="1:29" x14ac:dyDescent="0.3">
      <c r="O147" s="14"/>
      <c r="AC147" s="14"/>
    </row>
    <row r="148" spans="1:29" x14ac:dyDescent="0.3">
      <c r="O148" s="14"/>
      <c r="AC148" s="14"/>
    </row>
    <row r="149" spans="1:29" x14ac:dyDescent="0.3">
      <c r="O149" s="14"/>
      <c r="AC149" s="14"/>
    </row>
    <row r="150" spans="1:29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x14ac:dyDescent="0.3">
      <c r="O151" s="14"/>
      <c r="AC151" s="14"/>
    </row>
    <row r="152" spans="1:29" x14ac:dyDescent="0.3">
      <c r="O152" s="14"/>
      <c r="AC152" s="14"/>
    </row>
    <row r="153" spans="1:29" x14ac:dyDescent="0.3">
      <c r="O153" s="14"/>
      <c r="AC153" s="14"/>
    </row>
    <row r="154" spans="1:29" x14ac:dyDescent="0.3">
      <c r="O154" s="14"/>
      <c r="AC154" s="14"/>
    </row>
    <row r="155" spans="1:29" x14ac:dyDescent="0.3">
      <c r="O155" s="14"/>
      <c r="AC155" s="14"/>
    </row>
    <row r="156" spans="1:29" x14ac:dyDescent="0.3">
      <c r="O156" s="14"/>
      <c r="AC156" s="14"/>
    </row>
    <row r="157" spans="1:29" x14ac:dyDescent="0.3">
      <c r="O157" s="14"/>
      <c r="AC157" s="14"/>
    </row>
    <row r="158" spans="1:29" x14ac:dyDescent="0.3">
      <c r="O158" s="14"/>
      <c r="AC158" s="14"/>
    </row>
  </sheetData>
  <mergeCells count="1">
    <mergeCell ref="M1:N1"/>
  </mergeCells>
  <hyperlinks>
    <hyperlink ref="M1" location="TOC!A1" display="Return to TOC" xr:uid="{C5FBEA69-0A9A-41E7-8156-B9186C0D0D68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8681-00DC-4147-954D-5E99F0244350}">
  <sheetPr codeName="Sheet34"/>
  <dimension ref="A1:Z11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2.6640625" customWidth="1"/>
    <col min="3" max="3" width="10.5546875" customWidth="1"/>
    <col min="4" max="4" width="15.88671875" bestFit="1" customWidth="1"/>
    <col min="5" max="5" width="20" bestFit="1" customWidth="1"/>
    <col min="6" max="6" width="19.5546875" bestFit="1" customWidth="1"/>
    <col min="7" max="7" width="8.33203125" bestFit="1" customWidth="1"/>
    <col min="8" max="8" width="20" bestFit="1" customWidth="1"/>
    <col min="9" max="9" width="19.5546875" bestFit="1" customWidth="1"/>
    <col min="10" max="10" width="1.6640625" customWidth="1"/>
    <col min="11" max="11" width="2.6640625" customWidth="1"/>
    <col min="12" max="12" width="4.33203125" customWidth="1"/>
    <col min="13" max="13" width="18.33203125" customWidth="1"/>
    <col min="14" max="15" width="15.6640625" customWidth="1"/>
    <col min="16" max="16" width="9.109375" customWidth="1"/>
    <col min="17" max="17" width="15.6640625" customWidth="1"/>
    <col min="18" max="20" width="9.109375" customWidth="1"/>
    <col min="22" max="25" width="9" customWidth="1"/>
  </cols>
  <sheetData>
    <row r="1" spans="1:26" x14ac:dyDescent="0.3">
      <c r="A1" s="32" t="s">
        <v>137</v>
      </c>
      <c r="B1" s="33"/>
      <c r="C1" s="33" t="s">
        <v>132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1317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x14ac:dyDescent="0.3">
      <c r="A3" s="35" t="s">
        <v>141</v>
      </c>
      <c r="B3" s="36"/>
      <c r="C3" s="36" t="s">
        <v>1318</v>
      </c>
      <c r="D3" s="36"/>
      <c r="E3" s="36"/>
      <c r="F3" s="36"/>
      <c r="G3" s="36"/>
      <c r="H3" s="36"/>
      <c r="I3" s="36"/>
      <c r="J3" s="37"/>
      <c r="K3" s="10"/>
      <c r="L3" t="s">
        <v>174</v>
      </c>
      <c r="M3" t="s">
        <v>1319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V4" s="13"/>
      <c r="W4" s="13"/>
      <c r="Y4" s="14"/>
      <c r="Z4" s="13"/>
    </row>
    <row r="5" spans="1:26" ht="15" customHeight="1" x14ac:dyDescent="0.3">
      <c r="A5" s="41" t="s">
        <v>144</v>
      </c>
      <c r="B5" s="36"/>
      <c r="C5" s="36" t="s">
        <v>1320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3">
      <c r="A6" s="45"/>
      <c r="B6" s="36"/>
      <c r="C6" s="36"/>
      <c r="D6" s="36"/>
      <c r="E6" s="36"/>
      <c r="F6" s="36"/>
      <c r="G6" s="36"/>
      <c r="H6" s="36"/>
      <c r="I6" s="36"/>
      <c r="J6" s="37"/>
      <c r="K6" s="14"/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6" t="s">
        <v>1321</v>
      </c>
      <c r="D7" s="36"/>
      <c r="E7" s="36"/>
      <c r="F7" s="36"/>
      <c r="G7" s="36"/>
      <c r="H7" s="36"/>
      <c r="I7" s="36"/>
      <c r="J7" s="37"/>
      <c r="K7" s="14"/>
      <c r="M7" t="s">
        <v>1323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 t="s">
        <v>1322</v>
      </c>
      <c r="D8" s="36"/>
      <c r="E8" s="36"/>
      <c r="F8" s="36"/>
      <c r="G8" s="36"/>
      <c r="H8" s="36"/>
      <c r="I8" s="36"/>
      <c r="J8" s="37"/>
      <c r="K8" s="14"/>
      <c r="M8" t="s">
        <v>1325</v>
      </c>
      <c r="V8" s="13"/>
      <c r="W8" s="13"/>
      <c r="X8" s="13"/>
      <c r="Y8" s="14"/>
      <c r="Z8" s="13"/>
    </row>
    <row r="9" spans="1:26" x14ac:dyDescent="0.3">
      <c r="A9" s="41"/>
      <c r="B9" s="39"/>
      <c r="C9" s="36" t="s">
        <v>1324</v>
      </c>
      <c r="D9" s="36"/>
      <c r="E9" s="36"/>
      <c r="F9" s="36"/>
      <c r="G9" s="36"/>
      <c r="H9" s="36"/>
      <c r="I9" s="36"/>
      <c r="J9" s="37"/>
      <c r="K9" s="14"/>
      <c r="V9" s="13"/>
      <c r="W9" s="13"/>
      <c r="X9" s="13"/>
      <c r="Y9" s="14"/>
      <c r="Z9" s="13"/>
    </row>
    <row r="10" spans="1:26" x14ac:dyDescent="0.3">
      <c r="A10" s="38"/>
      <c r="B10" s="39"/>
      <c r="C10" s="36" t="s">
        <v>1326</v>
      </c>
      <c r="D10" s="36"/>
      <c r="E10" s="36"/>
      <c r="F10" s="36"/>
      <c r="G10" s="36"/>
      <c r="H10" s="36"/>
      <c r="I10" s="36"/>
      <c r="J10" s="37"/>
      <c r="K10" s="14"/>
      <c r="M10" t="s">
        <v>1328</v>
      </c>
      <c r="V10" s="13"/>
      <c r="W10" s="13"/>
      <c r="X10" s="13"/>
      <c r="Y10" s="14"/>
      <c r="Z10" s="13"/>
    </row>
    <row r="11" spans="1:26" x14ac:dyDescent="0.3">
      <c r="A11" s="38"/>
      <c r="B11" s="39"/>
      <c r="C11" s="36" t="s">
        <v>1327</v>
      </c>
      <c r="D11" s="36"/>
      <c r="E11" s="36"/>
      <c r="F11" s="36"/>
      <c r="G11" s="36"/>
      <c r="H11" s="36"/>
      <c r="I11" s="36"/>
      <c r="J11" s="37"/>
      <c r="K11" s="14"/>
      <c r="M11" t="s">
        <v>1329</v>
      </c>
      <c r="V11" s="13"/>
      <c r="W11" s="13"/>
      <c r="X11" s="13"/>
      <c r="Y11" s="14"/>
      <c r="Z11" s="13"/>
    </row>
    <row r="12" spans="1:26" x14ac:dyDescent="0.3">
      <c r="A12" s="38"/>
      <c r="B12" s="39"/>
      <c r="C12" s="36"/>
      <c r="D12" s="36"/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3">
      <c r="A13" s="38"/>
      <c r="B13" s="39"/>
      <c r="C13" s="636" t="s">
        <v>1330</v>
      </c>
      <c r="D13" s="285"/>
      <c r="E13" s="285"/>
      <c r="F13" s="285"/>
      <c r="G13" s="285"/>
      <c r="H13" s="285"/>
      <c r="I13" s="75"/>
      <c r="J13" s="37"/>
      <c r="K13" s="14"/>
      <c r="M13" t="s">
        <v>1333</v>
      </c>
      <c r="V13" s="13"/>
      <c r="W13" s="13"/>
      <c r="X13" s="13"/>
      <c r="Y13" s="14"/>
      <c r="Z13" s="13"/>
    </row>
    <row r="14" spans="1:26" x14ac:dyDescent="0.3">
      <c r="A14" s="38"/>
      <c r="B14" s="39"/>
      <c r="C14" s="637"/>
      <c r="D14" s="419" t="s">
        <v>1331</v>
      </c>
      <c r="E14" s="638"/>
      <c r="F14" s="420"/>
      <c r="G14" s="638" t="s">
        <v>1332</v>
      </c>
      <c r="H14" s="638"/>
      <c r="I14" s="420"/>
      <c r="J14" s="37"/>
      <c r="K14" s="14"/>
      <c r="V14" s="13"/>
      <c r="W14" s="13"/>
      <c r="X14" s="13"/>
      <c r="Y14" s="14"/>
      <c r="Z14" s="13"/>
    </row>
    <row r="15" spans="1:26" x14ac:dyDescent="0.3">
      <c r="A15" s="45"/>
      <c r="B15" s="36"/>
      <c r="C15" s="639"/>
      <c r="D15" s="82" t="s">
        <v>1334</v>
      </c>
      <c r="E15" s="319" t="s">
        <v>1335</v>
      </c>
      <c r="F15" s="185" t="s">
        <v>1336</v>
      </c>
      <c r="G15" s="291" t="s">
        <v>1334</v>
      </c>
      <c r="H15" s="291" t="s">
        <v>1335</v>
      </c>
      <c r="I15" s="47" t="s">
        <v>1336</v>
      </c>
      <c r="J15" s="37"/>
      <c r="K15" s="14"/>
      <c r="V15" s="13"/>
      <c r="W15" s="13"/>
      <c r="X15" s="13"/>
      <c r="Y15" s="14"/>
      <c r="Z15" s="13"/>
    </row>
    <row r="16" spans="1:26" x14ac:dyDescent="0.3">
      <c r="A16" s="45"/>
      <c r="B16" s="36"/>
      <c r="C16" s="640" t="s">
        <v>1337</v>
      </c>
      <c r="D16" s="80">
        <v>2</v>
      </c>
      <c r="E16" s="326">
        <v>10</v>
      </c>
      <c r="F16" s="145">
        <v>1000</v>
      </c>
      <c r="G16" s="326">
        <v>1</v>
      </c>
      <c r="H16" s="326">
        <v>12</v>
      </c>
      <c r="I16" s="145">
        <v>1000</v>
      </c>
      <c r="J16" s="37"/>
      <c r="K16" s="14"/>
      <c r="V16" s="13"/>
      <c r="W16" s="13"/>
      <c r="X16" s="13"/>
      <c r="Y16" s="14"/>
      <c r="Z16" s="13"/>
    </row>
    <row r="17" spans="1:26" x14ac:dyDescent="0.3">
      <c r="A17" s="45"/>
      <c r="B17" s="36"/>
      <c r="C17" s="640" t="s">
        <v>1338</v>
      </c>
      <c r="D17" s="82">
        <v>3</v>
      </c>
      <c r="E17" s="319">
        <v>10</v>
      </c>
      <c r="F17" s="148">
        <v>1000</v>
      </c>
      <c r="G17" s="319">
        <v>2</v>
      </c>
      <c r="H17" s="319">
        <v>13</v>
      </c>
      <c r="I17" s="148">
        <v>1000</v>
      </c>
      <c r="J17" s="37"/>
      <c r="K17" s="14"/>
      <c r="V17" s="13"/>
      <c r="W17" s="13"/>
      <c r="X17" s="13"/>
      <c r="Y17" s="14"/>
      <c r="Z17" s="13"/>
    </row>
    <row r="18" spans="1:26" x14ac:dyDescent="0.3">
      <c r="A18" s="35" t="s">
        <v>173</v>
      </c>
      <c r="B18" s="36"/>
      <c r="C18" s="230" t="s">
        <v>308</v>
      </c>
      <c r="D18" s="82">
        <f>SUM(D16:D17)</f>
        <v>5</v>
      </c>
      <c r="E18" s="319">
        <f t="shared" ref="E18:I18" si="0">SUM(E16:E17)</f>
        <v>20</v>
      </c>
      <c r="F18" s="185">
        <f t="shared" si="0"/>
        <v>2000</v>
      </c>
      <c r="G18" s="319">
        <f t="shared" si="0"/>
        <v>3</v>
      </c>
      <c r="H18" s="319">
        <f t="shared" si="0"/>
        <v>25</v>
      </c>
      <c r="I18" s="185">
        <f t="shared" si="0"/>
        <v>2000</v>
      </c>
      <c r="J18" s="37"/>
      <c r="K18" s="14"/>
      <c r="V18" s="13"/>
      <c r="W18" s="13"/>
      <c r="X18" s="13"/>
      <c r="Y18" s="14"/>
      <c r="Z18" s="13"/>
    </row>
    <row r="19" spans="1:26" ht="15" customHeight="1" x14ac:dyDescent="0.3">
      <c r="A19" s="45"/>
      <c r="B19" s="36"/>
      <c r="C19" s="36"/>
      <c r="D19" s="36"/>
      <c r="E19" s="36"/>
      <c r="F19" s="36"/>
      <c r="G19" s="36"/>
      <c r="H19" s="36"/>
      <c r="I19" s="36"/>
      <c r="J19" s="37"/>
      <c r="K19" s="14"/>
      <c r="M19" t="s">
        <v>1340</v>
      </c>
      <c r="V19" s="13"/>
      <c r="W19" s="13"/>
      <c r="X19" s="13"/>
      <c r="Y19" s="14"/>
      <c r="Z19" s="13"/>
    </row>
    <row r="20" spans="1:26" x14ac:dyDescent="0.3">
      <c r="A20" s="45"/>
      <c r="B20" s="36"/>
      <c r="C20" s="226" t="s">
        <v>1339</v>
      </c>
      <c r="D20" s="36"/>
      <c r="E20" s="36"/>
      <c r="F20" s="36"/>
      <c r="G20" s="36"/>
      <c r="H20" s="36"/>
      <c r="I20" s="36"/>
      <c r="J20" s="37"/>
      <c r="K20" s="14"/>
      <c r="M20" t="s">
        <v>1343</v>
      </c>
      <c r="V20" s="13"/>
      <c r="W20" s="13"/>
      <c r="X20" s="13"/>
      <c r="Y20" s="14"/>
      <c r="Z20" s="13"/>
    </row>
    <row r="21" spans="1:26" x14ac:dyDescent="0.3">
      <c r="A21" s="45"/>
      <c r="B21" s="36"/>
      <c r="C21" s="48" t="s">
        <v>1341</v>
      </c>
      <c r="D21" s="96" t="s">
        <v>1342</v>
      </c>
      <c r="E21" s="36"/>
      <c r="F21" s="36"/>
      <c r="G21" s="36"/>
      <c r="H21" s="36"/>
      <c r="I21" s="36"/>
      <c r="J21" s="37"/>
      <c r="K21" s="14"/>
      <c r="S21" s="13"/>
      <c r="T21" s="13"/>
      <c r="U21" s="13"/>
      <c r="V21" s="13"/>
      <c r="W21" s="13"/>
      <c r="X21" s="13"/>
      <c r="Y21" s="14"/>
      <c r="Z21" s="13"/>
    </row>
    <row r="22" spans="1:26" x14ac:dyDescent="0.3">
      <c r="A22" s="45"/>
      <c r="B22" s="36"/>
      <c r="C22" s="22">
        <v>0.2</v>
      </c>
      <c r="D22" s="185">
        <v>0.3</v>
      </c>
      <c r="E22" s="36"/>
      <c r="F22" s="36"/>
      <c r="G22" s="36"/>
      <c r="H22" s="36"/>
      <c r="I22" s="36"/>
      <c r="J22" s="37"/>
      <c r="K22" s="14"/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3">
      <c r="A23" s="45"/>
      <c r="B23" s="36"/>
      <c r="C23" s="36"/>
      <c r="D23" s="36"/>
      <c r="E23" s="36"/>
      <c r="F23" s="36"/>
      <c r="G23" s="36"/>
      <c r="H23" s="36"/>
      <c r="I23" s="36"/>
      <c r="J23" s="37"/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3">
      <c r="A24" s="45"/>
      <c r="B24" s="36" t="s">
        <v>174</v>
      </c>
      <c r="C24" s="36" t="s">
        <v>1344</v>
      </c>
      <c r="D24" s="36"/>
      <c r="E24" s="36"/>
      <c r="F24" s="36"/>
      <c r="G24" s="36"/>
      <c r="H24" s="36"/>
      <c r="I24" s="36"/>
      <c r="J24" s="37"/>
      <c r="K24" s="14"/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3">
      <c r="A25" s="45"/>
      <c r="B25" s="36"/>
      <c r="C25" s="36"/>
      <c r="D25" s="36"/>
      <c r="E25" s="36"/>
      <c r="F25" s="36"/>
      <c r="G25" s="36"/>
      <c r="H25" s="36"/>
      <c r="I25" s="36"/>
      <c r="J25" s="37"/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3">
      <c r="A26" s="45"/>
      <c r="B26" s="36" t="s">
        <v>183</v>
      </c>
      <c r="C26" s="36" t="s">
        <v>1345</v>
      </c>
      <c r="D26" s="36"/>
      <c r="E26" s="36"/>
      <c r="F26" s="36"/>
      <c r="G26" s="36"/>
      <c r="H26" s="36"/>
      <c r="I26" s="36"/>
      <c r="J26" s="37"/>
      <c r="K26" s="14"/>
      <c r="M26" t="s">
        <v>1346</v>
      </c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3">
      <c r="A27" s="45"/>
      <c r="B27" s="36"/>
      <c r="C27" s="36"/>
      <c r="D27" s="36"/>
      <c r="E27" s="36"/>
      <c r="F27" s="36"/>
      <c r="G27" s="36"/>
      <c r="H27" s="36"/>
      <c r="I27" s="36"/>
      <c r="J27" s="37"/>
      <c r="K27" s="14"/>
      <c r="M27" s="29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3">
      <c r="A28" s="45"/>
      <c r="B28" s="36" t="s">
        <v>778</v>
      </c>
      <c r="C28" s="36" t="s">
        <v>1347</v>
      </c>
      <c r="D28" s="36"/>
      <c r="E28" s="36"/>
      <c r="F28" s="36"/>
      <c r="G28" s="36"/>
      <c r="H28" s="36"/>
      <c r="I28" s="36"/>
      <c r="J28" s="37"/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3">
      <c r="A29" s="45"/>
      <c r="B29" s="36"/>
      <c r="C29" s="36" t="s">
        <v>1348</v>
      </c>
      <c r="D29" s="36"/>
      <c r="E29" s="36"/>
      <c r="F29" s="36"/>
      <c r="G29" s="36"/>
      <c r="H29" s="36"/>
      <c r="I29" s="36"/>
      <c r="J29" s="37"/>
      <c r="K29" s="14"/>
      <c r="L29" t="s">
        <v>183</v>
      </c>
      <c r="M29" t="s">
        <v>1349</v>
      </c>
      <c r="S29" s="13"/>
      <c r="T29" s="13"/>
      <c r="U29" s="13"/>
      <c r="V29" s="13"/>
      <c r="W29" s="13"/>
      <c r="X29" s="13"/>
      <c r="Y29" s="14"/>
      <c r="Z29" s="13"/>
    </row>
    <row r="30" spans="1:26" ht="15" thickBot="1" x14ac:dyDescent="0.35">
      <c r="A30" s="53"/>
      <c r="B30" s="54"/>
      <c r="C30" s="54"/>
      <c r="D30" s="54"/>
      <c r="E30" s="54"/>
      <c r="F30" s="54"/>
      <c r="G30" s="54"/>
      <c r="H30" s="54"/>
      <c r="I30" s="54"/>
      <c r="J30" s="55"/>
      <c r="K30" s="14"/>
      <c r="M30" t="s">
        <v>1350</v>
      </c>
      <c r="S30" s="13"/>
      <c r="T30" s="13"/>
      <c r="U30" s="13"/>
      <c r="V30" s="13"/>
      <c r="W30" s="13"/>
      <c r="X30" s="13"/>
      <c r="Y30" s="14"/>
      <c r="Z30" s="13"/>
    </row>
    <row r="31" spans="1:26" x14ac:dyDescent="0.3">
      <c r="K31" s="14"/>
      <c r="M31" t="s">
        <v>1351</v>
      </c>
      <c r="S31" s="13"/>
      <c r="T31" s="13"/>
      <c r="U31" s="13"/>
      <c r="V31" s="13"/>
      <c r="W31" s="13"/>
      <c r="X31" s="13"/>
      <c r="Y31" s="14"/>
      <c r="Z31" s="13"/>
    </row>
    <row r="32" spans="1:26" x14ac:dyDescent="0.3">
      <c r="K32" s="14"/>
      <c r="M32" t="s">
        <v>1352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M33" t="s">
        <v>1353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M34" t="s">
        <v>1354</v>
      </c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L36" t="s">
        <v>778</v>
      </c>
      <c r="M36" t="s">
        <v>1355</v>
      </c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M37" t="s">
        <v>1356</v>
      </c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3">
      <c r="K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3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3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3"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3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3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3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3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3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3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3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3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3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3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3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3">
      <c r="K65" s="14"/>
      <c r="Y65" s="14"/>
    </row>
    <row r="66" spans="11:25" x14ac:dyDescent="0.3">
      <c r="K66" s="14"/>
      <c r="Y66" s="14"/>
    </row>
    <row r="67" spans="11:25" x14ac:dyDescent="0.3">
      <c r="K67" s="14"/>
      <c r="Y67" s="14"/>
    </row>
    <row r="68" spans="11:25" x14ac:dyDescent="0.3">
      <c r="K68" s="14"/>
      <c r="Y68" s="14"/>
    </row>
    <row r="69" spans="11:25" x14ac:dyDescent="0.3">
      <c r="K69" s="14"/>
      <c r="Y69" s="14"/>
    </row>
    <row r="70" spans="11:25" x14ac:dyDescent="0.3">
      <c r="K70" s="14"/>
      <c r="Y70" s="14"/>
    </row>
    <row r="71" spans="11:25" x14ac:dyDescent="0.3">
      <c r="K71" s="14"/>
      <c r="Y71" s="14"/>
    </row>
    <row r="72" spans="11:25" x14ac:dyDescent="0.3">
      <c r="K72" s="14"/>
      <c r="Y72" s="14"/>
    </row>
    <row r="73" spans="11:25" x14ac:dyDescent="0.3">
      <c r="K73" s="14"/>
      <c r="Y73" s="14"/>
    </row>
    <row r="74" spans="11:25" x14ac:dyDescent="0.3">
      <c r="K74" s="14"/>
      <c r="Y74" s="14"/>
    </row>
    <row r="75" spans="11:25" x14ac:dyDescent="0.3">
      <c r="K75" s="14"/>
      <c r="Y75" s="14"/>
    </row>
    <row r="76" spans="11:25" x14ac:dyDescent="0.3">
      <c r="K76" s="14"/>
      <c r="Y76" s="14"/>
    </row>
    <row r="77" spans="11:25" x14ac:dyDescent="0.3">
      <c r="K77" s="14"/>
      <c r="Y77" s="14"/>
    </row>
    <row r="78" spans="11:25" x14ac:dyDescent="0.3">
      <c r="K78" s="14"/>
      <c r="Y78" s="14"/>
    </row>
    <row r="79" spans="11:25" x14ac:dyDescent="0.3">
      <c r="K79" s="14"/>
      <c r="Y79" s="14"/>
    </row>
    <row r="80" spans="11:25" x14ac:dyDescent="0.3">
      <c r="K80" s="14"/>
      <c r="Y80" s="14"/>
    </row>
    <row r="81" spans="11:25" x14ac:dyDescent="0.3">
      <c r="K81" s="14"/>
      <c r="Y81" s="14"/>
    </row>
    <row r="82" spans="11:25" x14ac:dyDescent="0.3">
      <c r="K82" s="14"/>
      <c r="Y82" s="14"/>
    </row>
    <row r="83" spans="11:25" x14ac:dyDescent="0.3">
      <c r="K83" s="14"/>
      <c r="Y83" s="14"/>
    </row>
    <row r="84" spans="11:25" x14ac:dyDescent="0.3">
      <c r="K84" s="14"/>
      <c r="Y84" s="14"/>
    </row>
    <row r="85" spans="11:25" x14ac:dyDescent="0.3">
      <c r="K85" s="14"/>
      <c r="Y85" s="14"/>
    </row>
    <row r="86" spans="11:25" x14ac:dyDescent="0.3">
      <c r="K86" s="14"/>
      <c r="Y86" s="14"/>
    </row>
    <row r="87" spans="11:25" x14ac:dyDescent="0.3">
      <c r="K87" s="14"/>
      <c r="Y87" s="14"/>
    </row>
    <row r="88" spans="11:25" x14ac:dyDescent="0.3">
      <c r="K88" s="14"/>
      <c r="Y88" s="14"/>
    </row>
    <row r="89" spans="11:25" x14ac:dyDescent="0.3">
      <c r="K89" s="14"/>
      <c r="Y89" s="14"/>
    </row>
    <row r="90" spans="11:25" x14ac:dyDescent="0.3">
      <c r="K90" s="14"/>
      <c r="Y90" s="14"/>
    </row>
    <row r="91" spans="11:25" x14ac:dyDescent="0.3">
      <c r="K91" s="14"/>
      <c r="Y91" s="14"/>
    </row>
    <row r="92" spans="11:25" x14ac:dyDescent="0.3">
      <c r="K92" s="14"/>
      <c r="Y92" s="14"/>
    </row>
    <row r="93" spans="11:25" x14ac:dyDescent="0.3">
      <c r="K93" s="14"/>
      <c r="Y93" s="14"/>
    </row>
    <row r="94" spans="11:25" x14ac:dyDescent="0.3">
      <c r="K94" s="14"/>
      <c r="Y94" s="14"/>
    </row>
    <row r="95" spans="11:25" x14ac:dyDescent="0.3">
      <c r="K95" s="14"/>
      <c r="Y95" s="14"/>
    </row>
    <row r="96" spans="11:25" x14ac:dyDescent="0.3">
      <c r="K96" s="14"/>
      <c r="Y96" s="14"/>
    </row>
    <row r="97" spans="1:25" x14ac:dyDescent="0.3">
      <c r="K97" s="14"/>
      <c r="Y97" s="14"/>
    </row>
    <row r="98" spans="1:25" x14ac:dyDescent="0.3">
      <c r="K98" s="14"/>
      <c r="Y98" s="14"/>
    </row>
    <row r="99" spans="1:25" x14ac:dyDescent="0.3">
      <c r="K99" s="14"/>
      <c r="Y99" s="14"/>
    </row>
    <row r="100" spans="1:25" x14ac:dyDescent="0.3">
      <c r="K100" s="14"/>
      <c r="Y100" s="14"/>
    </row>
    <row r="101" spans="1:25" x14ac:dyDescent="0.3">
      <c r="K101" s="14"/>
      <c r="Y101" s="14"/>
    </row>
    <row r="102" spans="1:25" x14ac:dyDescent="0.3">
      <c r="K102" s="14"/>
      <c r="Y102" s="14"/>
    </row>
    <row r="103" spans="1:25" x14ac:dyDescent="0.3">
      <c r="K103" s="14"/>
      <c r="Y103" s="14"/>
    </row>
    <row r="104" spans="1:25" x14ac:dyDescent="0.3">
      <c r="K104" s="14"/>
      <c r="Y104" s="14"/>
    </row>
    <row r="105" spans="1:25" x14ac:dyDescent="0.3">
      <c r="K105" s="14"/>
      <c r="Y105" s="14"/>
    </row>
    <row r="106" spans="1:25" x14ac:dyDescent="0.3">
      <c r="K106" s="14"/>
      <c r="Y106" s="14"/>
    </row>
    <row r="107" spans="1:25" x14ac:dyDescent="0.3">
      <c r="K107" s="14"/>
      <c r="Y107" s="14"/>
    </row>
    <row r="108" spans="1:25" x14ac:dyDescent="0.3">
      <c r="K108" s="14"/>
      <c r="Y108" s="14"/>
    </row>
    <row r="109" spans="1:25" x14ac:dyDescent="0.3">
      <c r="K109" s="14"/>
      <c r="Y109" s="14"/>
    </row>
    <row r="110" spans="1:25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x14ac:dyDescent="0.3">
      <c r="K111" s="14"/>
      <c r="Y111" s="14"/>
    </row>
    <row r="112" spans="1:25" x14ac:dyDescent="0.3">
      <c r="K112" s="14"/>
      <c r="Y112" s="14"/>
    </row>
    <row r="113" spans="11:25" x14ac:dyDescent="0.3">
      <c r="K113" s="14"/>
      <c r="Y113" s="14"/>
    </row>
    <row r="114" spans="11:25" x14ac:dyDescent="0.3">
      <c r="K114" s="14"/>
      <c r="Y114" s="14"/>
    </row>
    <row r="115" spans="11:25" x14ac:dyDescent="0.3">
      <c r="K115" s="14"/>
      <c r="Y115" s="14"/>
    </row>
    <row r="116" spans="11:25" x14ac:dyDescent="0.3">
      <c r="K116" s="14"/>
      <c r="Y116" s="14"/>
    </row>
    <row r="117" spans="11:25" x14ac:dyDescent="0.3">
      <c r="K117" s="14"/>
      <c r="Y117" s="14"/>
    </row>
    <row r="118" spans="11:25" x14ac:dyDescent="0.3">
      <c r="K118" s="14"/>
      <c r="Y118" s="14"/>
    </row>
  </sheetData>
  <mergeCells count="1">
    <mergeCell ref="I1:J1"/>
  </mergeCells>
  <hyperlinks>
    <hyperlink ref="I1" location="TOC!A1" display="Return to TOC" xr:uid="{55EDFF86-5E5F-497A-8283-EDD8E8DB1AB9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69E9-1A8C-4C9B-A61E-ED6539669050}">
  <sheetPr codeName="Sheet32"/>
  <dimension ref="A1:X11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6640625" customWidth="1"/>
    <col min="4" max="4" width="19.6640625" customWidth="1"/>
    <col min="5" max="5" width="17.6640625" customWidth="1"/>
    <col min="6" max="6" width="17.33203125" customWidth="1"/>
    <col min="7" max="7" width="12.5546875" bestFit="1" customWidth="1"/>
    <col min="8" max="8" width="7.5546875" customWidth="1"/>
    <col min="9" max="9" width="2.6640625" customWidth="1"/>
    <col min="10" max="10" width="24.6640625" customWidth="1"/>
    <col min="11" max="11" width="57.88671875" customWidth="1"/>
    <col min="12" max="25" width="9" customWidth="1"/>
  </cols>
  <sheetData>
    <row r="1" spans="1:24" x14ac:dyDescent="0.3">
      <c r="A1" s="32" t="s">
        <v>137</v>
      </c>
      <c r="B1" s="33"/>
      <c r="C1" s="33" t="s">
        <v>132</v>
      </c>
      <c r="D1" s="34"/>
      <c r="E1" s="33"/>
      <c r="F1" s="33"/>
      <c r="G1" s="772" t="s">
        <v>199</v>
      </c>
      <c r="H1" s="773"/>
      <c r="I1" s="10"/>
      <c r="J1" s="12" t="s">
        <v>140</v>
      </c>
      <c r="W1" s="10"/>
    </row>
    <row r="2" spans="1:24" x14ac:dyDescent="0.3">
      <c r="A2" s="35" t="s">
        <v>138</v>
      </c>
      <c r="B2" s="36"/>
      <c r="C2" s="36" t="s">
        <v>1357</v>
      </c>
      <c r="D2" s="36"/>
      <c r="E2" s="36"/>
      <c r="F2" s="36"/>
      <c r="G2" s="36"/>
      <c r="H2" s="37"/>
      <c r="I2" s="10"/>
      <c r="W2" s="10"/>
    </row>
    <row r="3" spans="1:24" x14ac:dyDescent="0.3">
      <c r="A3" s="35" t="s">
        <v>141</v>
      </c>
      <c r="B3" s="36"/>
      <c r="C3" s="36" t="s">
        <v>1358</v>
      </c>
      <c r="D3" s="36"/>
      <c r="E3" s="36"/>
      <c r="F3" s="36"/>
      <c r="G3" s="36"/>
      <c r="H3" s="37"/>
      <c r="I3" s="10"/>
      <c r="J3" t="s">
        <v>1359</v>
      </c>
      <c r="W3" s="10"/>
    </row>
    <row r="4" spans="1:24" x14ac:dyDescent="0.3">
      <c r="A4" s="38"/>
      <c r="B4" s="39"/>
      <c r="C4" s="39"/>
      <c r="D4" s="39"/>
      <c r="E4" s="39"/>
      <c r="F4" s="39"/>
      <c r="G4" s="39"/>
      <c r="H4" s="40"/>
      <c r="I4" s="14"/>
      <c r="W4" s="14"/>
      <c r="X4" s="13"/>
    </row>
    <row r="5" spans="1:24" ht="15" customHeight="1" x14ac:dyDescent="0.3">
      <c r="A5" s="41" t="s">
        <v>144</v>
      </c>
      <c r="B5" s="36"/>
      <c r="C5" s="36" t="s">
        <v>1376</v>
      </c>
      <c r="D5" s="36"/>
      <c r="E5" s="36"/>
      <c r="F5" s="36"/>
      <c r="G5" s="36"/>
      <c r="H5" s="40"/>
      <c r="I5" s="14"/>
      <c r="J5" t="s">
        <v>1360</v>
      </c>
      <c r="T5" s="13"/>
      <c r="U5" s="13"/>
      <c r="V5" s="13"/>
      <c r="W5" s="14"/>
      <c r="X5" s="13"/>
    </row>
    <row r="6" spans="1:24" x14ac:dyDescent="0.3">
      <c r="A6" s="45"/>
      <c r="B6" s="36"/>
      <c r="C6" s="36" t="s">
        <v>1377</v>
      </c>
      <c r="D6" s="36"/>
      <c r="E6" s="36"/>
      <c r="F6" s="36"/>
      <c r="G6" s="36"/>
      <c r="H6" s="40"/>
      <c r="I6" s="14"/>
      <c r="J6" t="s">
        <v>1362</v>
      </c>
      <c r="T6" s="13"/>
      <c r="U6" s="13"/>
      <c r="V6" s="13"/>
      <c r="W6" s="14"/>
      <c r="X6" s="13"/>
    </row>
    <row r="7" spans="1:24" ht="15" customHeight="1" x14ac:dyDescent="0.3">
      <c r="A7" s="45"/>
      <c r="B7" s="36"/>
      <c r="C7" s="36"/>
      <c r="D7" s="36"/>
      <c r="E7" s="36"/>
      <c r="F7" s="36"/>
      <c r="G7" s="36"/>
      <c r="H7" s="40"/>
      <c r="I7" s="14"/>
      <c r="J7" t="s">
        <v>1364</v>
      </c>
      <c r="T7" s="13"/>
      <c r="U7" s="13"/>
      <c r="V7" s="13"/>
      <c r="W7" s="14"/>
      <c r="X7" s="13"/>
    </row>
    <row r="8" spans="1:24" ht="15" customHeight="1" x14ac:dyDescent="0.3">
      <c r="A8" s="41"/>
      <c r="B8" s="39"/>
      <c r="C8" s="36" t="s">
        <v>1361</v>
      </c>
      <c r="D8" s="36"/>
      <c r="E8" s="36"/>
      <c r="F8" s="36"/>
      <c r="G8" s="36"/>
      <c r="H8" s="40"/>
      <c r="I8" s="14"/>
      <c r="J8" t="s">
        <v>1366</v>
      </c>
      <c r="T8" s="13"/>
      <c r="U8" s="13"/>
      <c r="V8" s="13"/>
      <c r="W8" s="14"/>
      <c r="X8" s="13"/>
    </row>
    <row r="9" spans="1:24" x14ac:dyDescent="0.3">
      <c r="A9" s="41"/>
      <c r="B9" s="39"/>
      <c r="C9" s="36" t="s">
        <v>1363</v>
      </c>
      <c r="D9" s="36"/>
      <c r="E9" s="36"/>
      <c r="F9" s="36"/>
      <c r="G9" s="36"/>
      <c r="H9" s="40"/>
      <c r="I9" s="14"/>
      <c r="T9" s="13"/>
      <c r="U9" s="13"/>
      <c r="V9" s="13"/>
      <c r="W9" s="14"/>
      <c r="X9" s="13"/>
    </row>
    <row r="10" spans="1:24" x14ac:dyDescent="0.3">
      <c r="A10" s="38"/>
      <c r="B10" s="39"/>
      <c r="C10" s="36" t="s">
        <v>1365</v>
      </c>
      <c r="D10" s="36"/>
      <c r="E10" s="36"/>
      <c r="F10" s="36"/>
      <c r="G10" s="36"/>
      <c r="H10" s="40"/>
      <c r="I10" s="14"/>
      <c r="J10" t="s">
        <v>1367</v>
      </c>
      <c r="T10" s="13"/>
      <c r="U10" s="13"/>
      <c r="V10" s="13"/>
      <c r="W10" s="14"/>
      <c r="X10" s="13"/>
    </row>
    <row r="11" spans="1:24" x14ac:dyDescent="0.3">
      <c r="A11" s="38"/>
      <c r="B11" s="39"/>
      <c r="C11" s="36"/>
      <c r="D11" s="36"/>
      <c r="E11" s="36"/>
      <c r="F11" s="36"/>
      <c r="G11" s="36"/>
      <c r="H11" s="40"/>
      <c r="I11" s="14"/>
      <c r="T11" s="13"/>
      <c r="U11" s="13"/>
      <c r="V11" s="13"/>
      <c r="W11" s="14"/>
      <c r="X11" s="13"/>
    </row>
    <row r="12" spans="1:24" ht="43.2" x14ac:dyDescent="0.3">
      <c r="A12" s="38"/>
      <c r="B12" s="39"/>
      <c r="C12" s="333" t="s">
        <v>277</v>
      </c>
      <c r="D12" s="334" t="s">
        <v>1368</v>
      </c>
      <c r="E12" s="334" t="s">
        <v>1369</v>
      </c>
      <c r="F12" s="336" t="s">
        <v>1370</v>
      </c>
      <c r="G12" s="177"/>
      <c r="H12" s="40"/>
      <c r="I12" s="14"/>
      <c r="J12" t="s">
        <v>1371</v>
      </c>
      <c r="K12" t="str">
        <f>"(1 - "&amp;D13 &amp;")^2 + (1 - "&amp;D14&amp;")^2 + (1 - "&amp;D15&amp;")^2 + (1 - "&amp;D16&amp;")^2 + (1 - "&amp;D17&amp;")^2"</f>
        <v>(1 - 0.6)^2 + (1 - 0.8)^2 + (1 - 1)^2 + (1 - 1.2)^2 + (1 - 1.4)^2</v>
      </c>
      <c r="T12" s="13"/>
      <c r="U12" s="13"/>
      <c r="V12" s="13"/>
      <c r="W12" s="14"/>
      <c r="X12" s="13"/>
    </row>
    <row r="13" spans="1:24" x14ac:dyDescent="0.3">
      <c r="A13" s="38"/>
      <c r="B13" s="39"/>
      <c r="C13" s="77">
        <v>1</v>
      </c>
      <c r="D13" s="641">
        <v>0.6</v>
      </c>
      <c r="E13" s="641">
        <v>0.3</v>
      </c>
      <c r="F13" s="642">
        <v>0.4</v>
      </c>
      <c r="G13" s="36"/>
      <c r="H13" s="40"/>
      <c r="I13" s="14"/>
      <c r="K13" s="643" t="str">
        <f>"= " &amp;(1 - D13)^2 + (1 - D14)^2 + (1 - D15) ^2+ (1 - D16)^2 + (1 - D17)^2</f>
        <v>= 0.4</v>
      </c>
      <c r="T13" s="13"/>
      <c r="U13" s="13"/>
      <c r="V13" s="13"/>
      <c r="W13" s="14"/>
      <c r="X13" s="13"/>
    </row>
    <row r="14" spans="1:24" x14ac:dyDescent="0.3">
      <c r="A14" s="38"/>
      <c r="B14" s="39"/>
      <c r="C14" s="77">
        <v>2</v>
      </c>
      <c r="D14" s="641">
        <v>0.8</v>
      </c>
      <c r="E14" s="641">
        <v>0.5</v>
      </c>
      <c r="F14" s="642">
        <v>0.7</v>
      </c>
      <c r="G14" s="36"/>
      <c r="H14" s="40"/>
      <c r="I14" s="14"/>
      <c r="T14" s="13"/>
      <c r="U14" s="13"/>
      <c r="V14" s="13"/>
      <c r="W14" s="14"/>
      <c r="X14" s="13"/>
    </row>
    <row r="15" spans="1:24" x14ac:dyDescent="0.3">
      <c r="A15" s="45"/>
      <c r="B15" s="36"/>
      <c r="C15" s="77">
        <v>3</v>
      </c>
      <c r="D15" s="641">
        <v>1</v>
      </c>
      <c r="E15" s="641">
        <v>1.1000000000000001</v>
      </c>
      <c r="F15" s="642">
        <v>1</v>
      </c>
      <c r="G15" s="36"/>
      <c r="H15" s="40"/>
      <c r="I15" s="14"/>
      <c r="J15" t="s">
        <v>1372</v>
      </c>
      <c r="K15" t="str">
        <f>"("&amp;E13&amp;" - "&amp;D13 &amp;")^2 + ("&amp;E14&amp;" - "&amp;D14&amp;")^2 + ("&amp;E15&amp;" - "&amp;D15&amp;")^2 + ("&amp;E16&amp;" - "&amp;D16&amp;")^2 + ("&amp;E17&amp;" - "&amp;D17&amp;")^2"</f>
        <v>(0.3 - 0.6)^2 + (0.5 - 0.8)^2 + (1.1 - 1)^2 + (1.9 - 1.2)^2 + (3 - 1.4)^2</v>
      </c>
      <c r="T15" s="13"/>
      <c r="U15" s="13"/>
      <c r="V15" s="13"/>
      <c r="W15" s="14"/>
      <c r="X15" s="13"/>
    </row>
    <row r="16" spans="1:24" x14ac:dyDescent="0.3">
      <c r="A16" s="45"/>
      <c r="B16" s="36"/>
      <c r="C16" s="77">
        <v>4</v>
      </c>
      <c r="D16" s="641">
        <v>1.2</v>
      </c>
      <c r="E16" s="641">
        <v>1.9</v>
      </c>
      <c r="F16" s="642">
        <v>1.5</v>
      </c>
      <c r="G16" s="36"/>
      <c r="H16" s="40"/>
      <c r="I16" s="14"/>
      <c r="K16" s="646" t="str">
        <f>"= "&amp;(E13 - D13)^2 + (E14 - D14)^2 + (E15 - D15)^2 + (E16 - D16)^2 + (E17 - D17)^2</f>
        <v>= 3.24</v>
      </c>
      <c r="T16" s="13"/>
      <c r="U16" s="13"/>
      <c r="V16" s="13"/>
      <c r="W16" s="14"/>
      <c r="X16" s="13"/>
    </row>
    <row r="17" spans="1:24" x14ac:dyDescent="0.3">
      <c r="A17" s="45"/>
      <c r="B17" s="36"/>
      <c r="C17" s="82">
        <v>5</v>
      </c>
      <c r="D17" s="644">
        <v>1.4</v>
      </c>
      <c r="E17" s="644">
        <v>3</v>
      </c>
      <c r="F17" s="645">
        <v>1.8</v>
      </c>
      <c r="G17" s="36"/>
      <c r="H17" s="40"/>
      <c r="I17" s="14"/>
      <c r="T17" s="13"/>
      <c r="U17" s="13"/>
      <c r="V17" s="13"/>
      <c r="W17" s="14"/>
      <c r="X17" s="13"/>
    </row>
    <row r="18" spans="1:24" x14ac:dyDescent="0.3">
      <c r="A18" s="45"/>
      <c r="B18" s="36"/>
      <c r="C18" s="36"/>
      <c r="D18" s="36"/>
      <c r="E18" s="36"/>
      <c r="F18" s="36"/>
      <c r="G18" s="36"/>
      <c r="H18" s="40"/>
      <c r="I18" s="14"/>
      <c r="J18" t="s">
        <v>1373</v>
      </c>
      <c r="K18" t="str">
        <f>"("&amp;F13&amp;" - "&amp;D13 &amp;")^2 + ("&amp;F14&amp;" - "&amp;D14&amp;")^2 + ("&amp;F15&amp;" - "&amp;D15&amp;")^2 + ("&amp;F16&amp;" - "&amp;D16&amp;")^2 + ("&amp;F17&amp;" - "&amp;D17&amp;")^2"</f>
        <v>(0.4 - 0.6)^2 + (0.7 - 0.8)^2 + (1 - 1)^2 + (1.5 - 1.2)^2 + (1.8 - 1.4)^2</v>
      </c>
      <c r="T18" s="13"/>
      <c r="U18" s="13"/>
      <c r="V18" s="13"/>
      <c r="W18" s="14"/>
      <c r="X18" s="13"/>
    </row>
    <row r="19" spans="1:24" ht="15" customHeight="1" x14ac:dyDescent="0.3">
      <c r="A19" s="35" t="s">
        <v>173</v>
      </c>
      <c r="B19" s="36"/>
      <c r="C19" s="36" t="s">
        <v>1378</v>
      </c>
      <c r="D19" s="36"/>
      <c r="E19" s="36"/>
      <c r="F19" s="36"/>
      <c r="G19" s="36"/>
      <c r="H19" s="40"/>
      <c r="I19" s="14"/>
      <c r="K19" s="29" t="str">
        <f>"= "&amp;(F13 - D13)^2 + (F14 - D14)^2 + (F15 - D15)^2 + (F16 - D16)^2 + (F17 - D17)^2</f>
        <v>= 0.3</v>
      </c>
      <c r="T19" s="13"/>
      <c r="U19" s="13"/>
      <c r="V19" s="13"/>
      <c r="W19" s="14"/>
      <c r="X19" s="13"/>
    </row>
    <row r="20" spans="1:24" ht="15" thickBot="1" x14ac:dyDescent="0.35">
      <c r="A20" s="53"/>
      <c r="B20" s="54"/>
      <c r="C20" s="54" t="s">
        <v>1379</v>
      </c>
      <c r="D20" s="54"/>
      <c r="E20" s="54"/>
      <c r="F20" s="54"/>
      <c r="G20" s="54"/>
      <c r="H20" s="85"/>
      <c r="I20" s="14"/>
      <c r="T20" s="13"/>
      <c r="U20" s="13"/>
      <c r="V20" s="13"/>
      <c r="W20" s="14"/>
      <c r="X20" s="13"/>
    </row>
    <row r="21" spans="1:24" x14ac:dyDescent="0.3">
      <c r="H21" s="13"/>
      <c r="I21" s="14"/>
      <c r="J21" t="s">
        <v>1374</v>
      </c>
      <c r="T21" s="13"/>
      <c r="U21" s="13"/>
      <c r="V21" s="13"/>
      <c r="W21" s="14"/>
      <c r="X21" s="13"/>
    </row>
    <row r="22" spans="1:24" x14ac:dyDescent="0.3">
      <c r="H22" s="13"/>
      <c r="I22" s="14"/>
      <c r="J22" t="s">
        <v>1375</v>
      </c>
      <c r="Q22" s="13"/>
      <c r="R22" s="13"/>
      <c r="S22" s="13"/>
      <c r="T22" s="13"/>
      <c r="U22" s="13"/>
      <c r="V22" s="13"/>
      <c r="W22" s="14"/>
      <c r="X22" s="13"/>
    </row>
    <row r="23" spans="1:24" ht="15" customHeight="1" x14ac:dyDescent="0.3">
      <c r="H23" s="13"/>
      <c r="I23" s="14"/>
      <c r="Q23" s="13"/>
      <c r="R23" s="13"/>
      <c r="S23" s="13"/>
      <c r="T23" s="13"/>
      <c r="U23" s="13"/>
      <c r="V23" s="13"/>
      <c r="W23" s="14"/>
      <c r="X23" s="13"/>
    </row>
    <row r="24" spans="1:24" ht="15" customHeight="1" x14ac:dyDescent="0.3">
      <c r="H24" s="13"/>
      <c r="I24" s="14"/>
      <c r="Q24" s="13"/>
      <c r="R24" s="13"/>
      <c r="S24" s="13"/>
      <c r="T24" s="13"/>
      <c r="U24" s="13"/>
      <c r="V24" s="13"/>
      <c r="W24" s="14"/>
      <c r="X24" s="13"/>
    </row>
    <row r="25" spans="1:24" ht="15" customHeight="1" x14ac:dyDescent="0.3">
      <c r="H25" s="13"/>
      <c r="I25" s="14"/>
      <c r="Q25" s="13"/>
      <c r="R25" s="13"/>
      <c r="S25" s="13"/>
      <c r="T25" s="13"/>
      <c r="U25" s="13"/>
      <c r="V25" s="13"/>
      <c r="W25" s="14"/>
      <c r="X25" s="13"/>
    </row>
    <row r="26" spans="1:24" ht="15" customHeight="1" x14ac:dyDescent="0.3">
      <c r="H26" s="13"/>
      <c r="I26" s="14"/>
      <c r="Q26" s="13"/>
      <c r="R26" s="13"/>
      <c r="S26" s="13"/>
      <c r="T26" s="13"/>
      <c r="U26" s="13"/>
      <c r="V26" s="13"/>
      <c r="W26" s="14"/>
      <c r="X26" s="13"/>
    </row>
    <row r="27" spans="1:24" ht="15" customHeight="1" x14ac:dyDescent="0.3">
      <c r="H27" s="13"/>
      <c r="I27" s="14"/>
      <c r="Q27" s="13"/>
      <c r="R27" s="13"/>
      <c r="S27" s="13"/>
      <c r="T27" s="13"/>
      <c r="U27" s="13"/>
      <c r="V27" s="13"/>
      <c r="W27" s="14"/>
      <c r="X27" s="13"/>
    </row>
    <row r="28" spans="1:24" ht="15" customHeight="1" x14ac:dyDescent="0.3">
      <c r="H28" s="13"/>
      <c r="I28" s="14"/>
      <c r="Q28" s="13"/>
      <c r="R28" s="13"/>
      <c r="S28" s="13"/>
      <c r="T28" s="13"/>
      <c r="U28" s="13"/>
      <c r="V28" s="13"/>
      <c r="W28" s="14"/>
      <c r="X28" s="13"/>
    </row>
    <row r="29" spans="1:24" x14ac:dyDescent="0.3">
      <c r="H29" s="13"/>
      <c r="I29" s="14"/>
      <c r="Q29" s="13"/>
      <c r="R29" s="13"/>
      <c r="S29" s="13"/>
      <c r="T29" s="13"/>
      <c r="U29" s="13"/>
      <c r="V29" s="13"/>
      <c r="W29" s="14"/>
      <c r="X29" s="13"/>
    </row>
    <row r="30" spans="1:24" x14ac:dyDescent="0.3">
      <c r="H30" s="13"/>
      <c r="I30" s="14"/>
      <c r="Q30" s="13"/>
      <c r="R30" s="13"/>
      <c r="S30" s="13"/>
      <c r="T30" s="13"/>
      <c r="U30" s="13"/>
      <c r="V30" s="13"/>
      <c r="W30" s="14"/>
      <c r="X30" s="13"/>
    </row>
    <row r="31" spans="1:24" x14ac:dyDescent="0.3">
      <c r="H31" s="13"/>
      <c r="I31" s="14"/>
      <c r="Q31" s="13"/>
      <c r="R31" s="13"/>
      <c r="S31" s="13"/>
      <c r="T31" s="13"/>
      <c r="U31" s="13"/>
      <c r="V31" s="13"/>
      <c r="W31" s="14"/>
      <c r="X31" s="13"/>
    </row>
    <row r="32" spans="1:24" x14ac:dyDescent="0.3">
      <c r="H32" s="13"/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H33" s="13"/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3">
      <c r="H34" s="13"/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3">
      <c r="H35" s="13"/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3">
      <c r="H36" s="13"/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3">
      <c r="H37" s="13"/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H38" s="13"/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13"/>
      <c r="B39" s="13"/>
      <c r="H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3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3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3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3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3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3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3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3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3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3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3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3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3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3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3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3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3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3">
      <c r="I65" s="14"/>
      <c r="W65" s="14"/>
    </row>
    <row r="66" spans="9:23" x14ac:dyDescent="0.3">
      <c r="I66" s="14"/>
      <c r="W66" s="14"/>
    </row>
    <row r="67" spans="9:23" x14ac:dyDescent="0.3">
      <c r="I67" s="14"/>
      <c r="W67" s="14"/>
    </row>
    <row r="68" spans="9:23" x14ac:dyDescent="0.3">
      <c r="I68" s="14"/>
      <c r="W68" s="14"/>
    </row>
    <row r="69" spans="9:23" x14ac:dyDescent="0.3">
      <c r="I69" s="14"/>
      <c r="W69" s="14"/>
    </row>
    <row r="70" spans="9:23" x14ac:dyDescent="0.3">
      <c r="I70" s="14"/>
      <c r="W70" s="14"/>
    </row>
    <row r="71" spans="9:23" x14ac:dyDescent="0.3">
      <c r="I71" s="14"/>
      <c r="W71" s="14"/>
    </row>
    <row r="72" spans="9:23" x14ac:dyDescent="0.3">
      <c r="I72" s="14"/>
      <c r="W72" s="14"/>
    </row>
    <row r="73" spans="9:23" x14ac:dyDescent="0.3">
      <c r="I73" s="14"/>
      <c r="W73" s="14"/>
    </row>
    <row r="74" spans="9:23" x14ac:dyDescent="0.3">
      <c r="I74" s="14"/>
      <c r="W74" s="14"/>
    </row>
    <row r="75" spans="9:23" x14ac:dyDescent="0.3">
      <c r="I75" s="14"/>
      <c r="W75" s="14"/>
    </row>
    <row r="76" spans="9:23" x14ac:dyDescent="0.3">
      <c r="I76" s="14"/>
      <c r="W76" s="14"/>
    </row>
    <row r="77" spans="9:23" x14ac:dyDescent="0.3">
      <c r="I77" s="14"/>
      <c r="W77" s="14"/>
    </row>
    <row r="78" spans="9:23" x14ac:dyDescent="0.3">
      <c r="I78" s="14"/>
      <c r="W78" s="14"/>
    </row>
    <row r="79" spans="9:23" x14ac:dyDescent="0.3">
      <c r="I79" s="14"/>
      <c r="W79" s="14"/>
    </row>
    <row r="80" spans="9:23" x14ac:dyDescent="0.3">
      <c r="I80" s="14"/>
      <c r="W80" s="14"/>
    </row>
    <row r="81" spans="9:23" x14ac:dyDescent="0.3">
      <c r="I81" s="14"/>
      <c r="W81" s="14"/>
    </row>
    <row r="82" spans="9:23" x14ac:dyDescent="0.3">
      <c r="I82" s="14"/>
      <c r="W82" s="14"/>
    </row>
    <row r="83" spans="9:23" x14ac:dyDescent="0.3">
      <c r="I83" s="14"/>
      <c r="W83" s="14"/>
    </row>
    <row r="84" spans="9:23" x14ac:dyDescent="0.3">
      <c r="I84" s="14"/>
      <c r="W84" s="14"/>
    </row>
    <row r="85" spans="9:23" x14ac:dyDescent="0.3">
      <c r="I85" s="14"/>
      <c r="W85" s="14"/>
    </row>
    <row r="86" spans="9:23" x14ac:dyDescent="0.3">
      <c r="I86" s="14"/>
      <c r="W86" s="14"/>
    </row>
    <row r="87" spans="9:23" x14ac:dyDescent="0.3">
      <c r="I87" s="14"/>
      <c r="W87" s="14"/>
    </row>
    <row r="88" spans="9:23" x14ac:dyDescent="0.3">
      <c r="I88" s="14"/>
      <c r="W88" s="14"/>
    </row>
    <row r="89" spans="9:23" x14ac:dyDescent="0.3">
      <c r="I89" s="14"/>
      <c r="W89" s="14"/>
    </row>
    <row r="90" spans="9:23" x14ac:dyDescent="0.3">
      <c r="I90" s="14"/>
      <c r="W90" s="14"/>
    </row>
    <row r="91" spans="9:23" x14ac:dyDescent="0.3">
      <c r="I91" s="14"/>
      <c r="W91" s="14"/>
    </row>
    <row r="92" spans="9:23" x14ac:dyDescent="0.3">
      <c r="I92" s="14"/>
      <c r="W92" s="14"/>
    </row>
    <row r="93" spans="9:23" x14ac:dyDescent="0.3">
      <c r="I93" s="14"/>
      <c r="W93" s="14"/>
    </row>
    <row r="94" spans="9:23" x14ac:dyDescent="0.3">
      <c r="I94" s="14"/>
      <c r="W94" s="14"/>
    </row>
    <row r="95" spans="9:23" x14ac:dyDescent="0.3">
      <c r="I95" s="14"/>
      <c r="W95" s="14"/>
    </row>
    <row r="96" spans="9:23" x14ac:dyDescent="0.3">
      <c r="I96" s="14"/>
      <c r="W96" s="14"/>
    </row>
    <row r="97" spans="1:23" x14ac:dyDescent="0.3">
      <c r="I97" s="14"/>
      <c r="W97" s="14"/>
    </row>
    <row r="98" spans="1:23" x14ac:dyDescent="0.3">
      <c r="I98" s="14"/>
      <c r="W98" s="14"/>
    </row>
    <row r="99" spans="1:23" x14ac:dyDescent="0.3">
      <c r="I99" s="14"/>
      <c r="W99" s="14"/>
    </row>
    <row r="100" spans="1:23" x14ac:dyDescent="0.3">
      <c r="I100" s="14"/>
      <c r="W100" s="14"/>
    </row>
    <row r="101" spans="1:23" x14ac:dyDescent="0.3">
      <c r="I101" s="14"/>
      <c r="W101" s="14"/>
    </row>
    <row r="102" spans="1:23" x14ac:dyDescent="0.3">
      <c r="I102" s="14"/>
      <c r="W102" s="14"/>
    </row>
    <row r="103" spans="1:23" x14ac:dyDescent="0.3">
      <c r="I103" s="14"/>
      <c r="W103" s="14"/>
    </row>
    <row r="104" spans="1:23" x14ac:dyDescent="0.3">
      <c r="I104" s="14"/>
      <c r="W104" s="14"/>
    </row>
    <row r="105" spans="1:23" x14ac:dyDescent="0.3">
      <c r="I105" s="14"/>
      <c r="W105" s="14"/>
    </row>
    <row r="106" spans="1:23" x14ac:dyDescent="0.3">
      <c r="I106" s="14"/>
      <c r="W106" s="14"/>
    </row>
    <row r="107" spans="1:23" x14ac:dyDescent="0.3">
      <c r="I107" s="14"/>
      <c r="W107" s="14"/>
    </row>
    <row r="108" spans="1:23" x14ac:dyDescent="0.3">
      <c r="I108" s="14"/>
      <c r="W108" s="14"/>
    </row>
    <row r="109" spans="1:23" x14ac:dyDescent="0.3">
      <c r="I109" s="14"/>
      <c r="W109" s="14"/>
    </row>
    <row r="110" spans="1:23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 x14ac:dyDescent="0.3">
      <c r="I111" s="14"/>
      <c r="W111" s="14"/>
    </row>
    <row r="112" spans="1:23" x14ac:dyDescent="0.3">
      <c r="I112" s="14"/>
      <c r="W112" s="14"/>
    </row>
    <row r="113" spans="9:23" x14ac:dyDescent="0.3">
      <c r="I113" s="14"/>
      <c r="W113" s="14"/>
    </row>
    <row r="114" spans="9:23" x14ac:dyDescent="0.3">
      <c r="I114" s="14"/>
      <c r="W114" s="14"/>
    </row>
    <row r="115" spans="9:23" x14ac:dyDescent="0.3">
      <c r="I115" s="14"/>
      <c r="W115" s="14"/>
    </row>
    <row r="116" spans="9:23" x14ac:dyDescent="0.3">
      <c r="I116" s="14"/>
      <c r="W116" s="14"/>
    </row>
    <row r="117" spans="9:23" x14ac:dyDescent="0.3">
      <c r="I117" s="14"/>
      <c r="W117" s="14"/>
    </row>
    <row r="118" spans="9:23" x14ac:dyDescent="0.3">
      <c r="I118" s="14"/>
      <c r="W118" s="14"/>
    </row>
  </sheetData>
  <mergeCells count="1">
    <mergeCell ref="G1:H1"/>
  </mergeCells>
  <hyperlinks>
    <hyperlink ref="G1" location="TOC!A1" display="Return to TOC" xr:uid="{0B266E58-EF44-456B-9C5E-A5526CC003DF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401E-0822-48CA-9D98-EC7AFC2DAD55}">
  <sheetPr codeName="Sheet33"/>
  <dimension ref="A1:AB12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31.44140625" customWidth="1"/>
    <col min="4" max="4" width="10.33203125" customWidth="1"/>
    <col min="5" max="5" width="10.6640625" customWidth="1"/>
    <col min="6" max="6" width="15" bestFit="1" customWidth="1"/>
    <col min="7" max="7" width="9.44140625" customWidth="1"/>
    <col min="8" max="8" width="9.88671875" bestFit="1" customWidth="1"/>
    <col min="9" max="9" width="9.33203125" bestFit="1" customWidth="1"/>
    <col min="10" max="10" width="9.109375" customWidth="1"/>
    <col min="11" max="11" width="15" bestFit="1" customWidth="1"/>
    <col min="12" max="13" width="2.6640625" customWidth="1"/>
    <col min="14" max="14" width="5.6640625" customWidth="1"/>
    <col min="15" max="15" width="18.88671875" customWidth="1"/>
    <col min="16" max="17" width="15.6640625" customWidth="1"/>
    <col min="18" max="18" width="11.44140625" customWidth="1"/>
    <col min="19" max="19" width="15.6640625" customWidth="1"/>
    <col min="20" max="22" width="9.109375" customWidth="1"/>
    <col min="24" max="27" width="9" customWidth="1"/>
  </cols>
  <sheetData>
    <row r="1" spans="1:28" x14ac:dyDescent="0.3">
      <c r="A1" s="32" t="s">
        <v>137</v>
      </c>
      <c r="B1" s="33"/>
      <c r="C1" s="33" t="s">
        <v>132</v>
      </c>
      <c r="D1" s="34"/>
      <c r="E1" s="33"/>
      <c r="F1" s="33"/>
      <c r="G1" s="33"/>
      <c r="H1" s="33"/>
      <c r="I1" s="33"/>
      <c r="J1" s="33"/>
      <c r="K1" s="772" t="s">
        <v>199</v>
      </c>
      <c r="L1" s="773"/>
      <c r="M1" s="10"/>
      <c r="N1" s="12" t="s">
        <v>140</v>
      </c>
      <c r="AA1" s="10"/>
    </row>
    <row r="2" spans="1:28" x14ac:dyDescent="0.3">
      <c r="A2" s="35" t="s">
        <v>138</v>
      </c>
      <c r="B2" s="36"/>
      <c r="C2" s="36" t="s">
        <v>1380</v>
      </c>
      <c r="D2" s="36"/>
      <c r="E2" s="36"/>
      <c r="F2" s="36"/>
      <c r="G2" s="36"/>
      <c r="H2" s="36"/>
      <c r="I2" s="36"/>
      <c r="J2" s="36"/>
      <c r="K2" s="36"/>
      <c r="L2" s="37"/>
      <c r="M2" s="10"/>
      <c r="N2" t="s">
        <v>1381</v>
      </c>
      <c r="AA2" s="10"/>
    </row>
    <row r="3" spans="1:28" x14ac:dyDescent="0.3">
      <c r="A3" s="35" t="s">
        <v>141</v>
      </c>
      <c r="B3" s="36"/>
      <c r="C3" s="36" t="s">
        <v>1358</v>
      </c>
      <c r="D3" s="36"/>
      <c r="E3" s="36"/>
      <c r="F3" s="36"/>
      <c r="G3" s="36"/>
      <c r="H3" s="36"/>
      <c r="I3" s="36"/>
      <c r="J3" s="36"/>
      <c r="K3" s="36"/>
      <c r="L3" s="37"/>
      <c r="M3" s="10"/>
      <c r="AA3" s="10"/>
    </row>
    <row r="4" spans="1:28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14"/>
      <c r="N4" t="s">
        <v>174</v>
      </c>
      <c r="O4" t="s">
        <v>1383</v>
      </c>
      <c r="X4" s="13"/>
      <c r="Y4" s="13"/>
      <c r="AA4" s="14"/>
      <c r="AB4" s="13"/>
    </row>
    <row r="5" spans="1:28" ht="15" customHeight="1" x14ac:dyDescent="0.3">
      <c r="A5" s="41" t="s">
        <v>144</v>
      </c>
      <c r="B5" s="36"/>
      <c r="C5" s="36" t="s">
        <v>1382</v>
      </c>
      <c r="D5" s="36"/>
      <c r="E5" s="36"/>
      <c r="F5" s="36"/>
      <c r="G5" s="36"/>
      <c r="H5" s="36"/>
      <c r="I5" s="36"/>
      <c r="J5" s="36"/>
      <c r="K5" s="39"/>
      <c r="L5" s="40"/>
      <c r="M5" s="14"/>
      <c r="O5" t="s">
        <v>1385</v>
      </c>
      <c r="X5" s="13"/>
      <c r="Y5" s="13"/>
      <c r="Z5" s="13"/>
      <c r="AA5" s="14"/>
      <c r="AB5" s="13"/>
    </row>
    <row r="6" spans="1:28" x14ac:dyDescent="0.3">
      <c r="A6" s="45"/>
      <c r="B6" s="36"/>
      <c r="C6" s="36" t="s">
        <v>1384</v>
      </c>
      <c r="D6" s="36"/>
      <c r="E6" s="36"/>
      <c r="F6" s="36"/>
      <c r="G6" s="36"/>
      <c r="H6" s="36"/>
      <c r="I6" s="36"/>
      <c r="J6" s="36"/>
      <c r="K6" s="39"/>
      <c r="L6" s="40"/>
      <c r="M6" s="14"/>
      <c r="O6" t="s">
        <v>1387</v>
      </c>
      <c r="X6" s="13"/>
      <c r="Y6" s="13"/>
      <c r="Z6" s="13"/>
      <c r="AA6" s="14"/>
      <c r="AB6" s="13"/>
    </row>
    <row r="7" spans="1:28" ht="15" customHeight="1" x14ac:dyDescent="0.3">
      <c r="A7" s="45"/>
      <c r="B7" s="36"/>
      <c r="C7" s="36" t="s">
        <v>1386</v>
      </c>
      <c r="D7" s="36"/>
      <c r="E7" s="36"/>
      <c r="F7" s="36"/>
      <c r="G7" s="36"/>
      <c r="H7" s="36"/>
      <c r="I7" s="36"/>
      <c r="J7" s="36"/>
      <c r="K7" s="39"/>
      <c r="L7" s="40"/>
      <c r="M7" s="14"/>
      <c r="X7" s="13"/>
      <c r="Y7" s="13"/>
      <c r="Z7" s="13"/>
      <c r="AA7" s="14"/>
      <c r="AB7" s="13"/>
    </row>
    <row r="8" spans="1:28" ht="15" customHeight="1" x14ac:dyDescent="0.3">
      <c r="A8" s="41"/>
      <c r="B8" s="39"/>
      <c r="C8" s="36" t="s">
        <v>1388</v>
      </c>
      <c r="D8" s="36"/>
      <c r="E8" s="36"/>
      <c r="F8" s="36"/>
      <c r="G8" s="36"/>
      <c r="H8" s="36"/>
      <c r="I8" s="36"/>
      <c r="J8" s="36"/>
      <c r="K8" s="39"/>
      <c r="L8" s="40"/>
      <c r="M8" s="14"/>
      <c r="O8" s="209" t="s">
        <v>1390</v>
      </c>
      <c r="X8" s="13"/>
      <c r="Y8" s="13"/>
      <c r="Z8" s="13"/>
      <c r="AA8" s="14"/>
      <c r="AB8" s="13"/>
    </row>
    <row r="9" spans="1:28" x14ac:dyDescent="0.3">
      <c r="A9" s="41"/>
      <c r="B9" s="39"/>
      <c r="C9" s="36" t="s">
        <v>1389</v>
      </c>
      <c r="D9" s="36"/>
      <c r="E9" s="36"/>
      <c r="F9" s="36"/>
      <c r="G9" s="36"/>
      <c r="H9" s="36"/>
      <c r="I9" s="36"/>
      <c r="J9" s="36"/>
      <c r="K9" s="39"/>
      <c r="L9" s="40"/>
      <c r="M9" s="14"/>
      <c r="N9" s="27" t="s">
        <v>1391</v>
      </c>
      <c r="O9" t="str">
        <f>"(" &amp; D22&amp; " - "&amp;F22&amp;")^2 + ("&amp;D23&amp;" - "&amp;F23&amp;")^2 + ("&amp;D24&amp;" - "&amp;F24&amp;")^2 + ("&amp;D25 &amp;" - "&amp;F25&amp;")^2 + ("&amp;D26&amp; " - "&amp;F26&amp; ")^2"</f>
        <v>(0.75 - 0.9)^2 + (0.9 - 0.95)^2 + (1 - 1)^2 + (1.1 - 1.05)^2 + (1.25 - 1.1)^2</v>
      </c>
      <c r="X9" s="13"/>
      <c r="Y9" s="13"/>
      <c r="Z9" s="13"/>
      <c r="AA9" s="14"/>
      <c r="AB9" s="13"/>
    </row>
    <row r="10" spans="1:28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39"/>
      <c r="L10" s="40"/>
      <c r="M10" s="14"/>
      <c r="N10" s="27" t="s">
        <v>179</v>
      </c>
      <c r="O10" s="647">
        <f>(D22 -F22)^2 + (D23 - F23)^2 + (D24 - F24)^2 + (D25  - F25)^2 + (D26  - F26)^2</f>
        <v>4.9999999999999982E-2</v>
      </c>
      <c r="X10" s="13"/>
      <c r="Y10" s="13"/>
      <c r="Z10" s="13"/>
      <c r="AA10" s="14"/>
      <c r="AB10" s="13"/>
    </row>
    <row r="11" spans="1:28" x14ac:dyDescent="0.3">
      <c r="A11" s="38"/>
      <c r="B11" s="39"/>
      <c r="C11" s="74" t="s">
        <v>1392</v>
      </c>
      <c r="D11" s="285"/>
      <c r="E11" s="285"/>
      <c r="F11" s="285"/>
      <c r="G11" s="285"/>
      <c r="H11" s="285"/>
      <c r="I11" s="75"/>
      <c r="J11" s="36"/>
      <c r="K11" s="39"/>
      <c r="L11" s="40"/>
      <c r="M11" s="14"/>
      <c r="X11" s="13"/>
      <c r="Y11" s="13"/>
      <c r="Z11" s="13"/>
      <c r="AA11" s="14"/>
      <c r="AB11" s="13"/>
    </row>
    <row r="12" spans="1:28" x14ac:dyDescent="0.3">
      <c r="A12" s="38"/>
      <c r="B12" s="39"/>
      <c r="C12" s="655"/>
      <c r="D12" s="48" t="s">
        <v>1341</v>
      </c>
      <c r="E12" s="212" t="s">
        <v>1393</v>
      </c>
      <c r="F12" s="48" t="s">
        <v>1394</v>
      </c>
      <c r="G12" s="212" t="s">
        <v>1395</v>
      </c>
      <c r="H12" s="48" t="s">
        <v>1396</v>
      </c>
      <c r="I12" s="96" t="s">
        <v>1397</v>
      </c>
      <c r="J12" s="36"/>
      <c r="K12" s="39"/>
      <c r="L12" s="40"/>
      <c r="M12" s="14"/>
      <c r="O12" s="209" t="s">
        <v>1399</v>
      </c>
      <c r="X12" s="13"/>
      <c r="Y12" s="13"/>
      <c r="Z12" s="13"/>
      <c r="AA12" s="14"/>
      <c r="AB12" s="13"/>
    </row>
    <row r="13" spans="1:28" x14ac:dyDescent="0.3">
      <c r="A13" s="38"/>
      <c r="B13" s="39"/>
      <c r="C13" s="640" t="s">
        <v>1398</v>
      </c>
      <c r="D13" s="20">
        <v>6.0000000000000001E-3</v>
      </c>
      <c r="E13" s="181">
        <v>6.0000000000000001E-3</v>
      </c>
      <c r="F13" s="20">
        <v>8.5000000000000006E-2</v>
      </c>
      <c r="G13" s="181">
        <v>0.37</v>
      </c>
      <c r="H13" s="155">
        <v>1</v>
      </c>
      <c r="I13" s="337">
        <v>3.6</v>
      </c>
      <c r="J13" s="36"/>
      <c r="K13" s="39"/>
      <c r="L13" s="40"/>
      <c r="M13" s="14"/>
      <c r="N13" s="27" t="s">
        <v>1391</v>
      </c>
      <c r="O13" t="str">
        <f>"(" &amp; F27&amp; " - "&amp;F22&amp;")^2 + ("&amp;F27&amp;" - "&amp;F23&amp;")^2 + ("&amp;F27&amp;" - "&amp;F24&amp;")^2 + ("&amp;F27 &amp;" - "&amp;F25&amp;")^2 + ("&amp;F27&amp; " - "&amp;F26&amp; ")^2"</f>
        <v>(1 - 0.9)^2 + (1 - 0.95)^2 + (1 - 1)^2 + (1 - 1.05)^2 + (1 - 1.1)^2</v>
      </c>
      <c r="X13" s="13"/>
      <c r="Y13" s="13"/>
      <c r="Z13" s="13"/>
      <c r="AA13" s="14"/>
      <c r="AB13" s="13"/>
    </row>
    <row r="14" spans="1:28" x14ac:dyDescent="0.3">
      <c r="A14" s="38"/>
      <c r="B14" s="39"/>
      <c r="C14" s="640" t="s">
        <v>1400</v>
      </c>
      <c r="D14" s="20">
        <v>80</v>
      </c>
      <c r="E14" s="181">
        <v>100</v>
      </c>
      <c r="F14" s="20">
        <v>30</v>
      </c>
      <c r="G14" s="181">
        <v>4</v>
      </c>
      <c r="H14" s="155">
        <v>1</v>
      </c>
      <c r="I14" s="337">
        <v>0.3</v>
      </c>
      <c r="J14" s="36"/>
      <c r="K14" s="39"/>
      <c r="L14" s="40"/>
      <c r="M14" s="14"/>
      <c r="N14" s="27" t="s">
        <v>179</v>
      </c>
      <c r="O14" s="647">
        <f>(F27 -F22)^2 + (F27 - F23)^2 + (F27 - F24)^2 + (F27  - F25)^2 + (F27  - F26)^2</f>
        <v>2.5000000000000022E-2</v>
      </c>
      <c r="X14" s="13"/>
      <c r="Y14" s="13"/>
      <c r="Z14" s="13"/>
      <c r="AA14" s="14"/>
      <c r="AB14" s="13"/>
    </row>
    <row r="15" spans="1:28" x14ac:dyDescent="0.3">
      <c r="A15" s="45"/>
      <c r="B15" s="36"/>
      <c r="C15" s="639" t="s">
        <v>1401</v>
      </c>
      <c r="D15" s="532">
        <v>0.27</v>
      </c>
      <c r="E15" s="648">
        <v>0.22</v>
      </c>
      <c r="F15" s="532">
        <v>0.56999999999999995</v>
      </c>
      <c r="G15" s="648">
        <v>1</v>
      </c>
      <c r="H15" s="532">
        <v>1</v>
      </c>
      <c r="I15" s="649">
        <v>1</v>
      </c>
      <c r="J15" s="36"/>
      <c r="K15" s="39"/>
      <c r="L15" s="40"/>
      <c r="M15" s="14"/>
      <c r="X15" s="13"/>
      <c r="Y15" s="13"/>
      <c r="Z15" s="13"/>
      <c r="AA15" s="14"/>
      <c r="AB15" s="13"/>
    </row>
    <row r="16" spans="1:28" x14ac:dyDescent="0.3">
      <c r="A16" s="45"/>
      <c r="B16" s="36"/>
      <c r="C16" s="36"/>
      <c r="D16" s="36"/>
      <c r="E16" s="36"/>
      <c r="F16" s="36"/>
      <c r="G16" s="36"/>
      <c r="H16" s="36"/>
      <c r="I16" s="36"/>
      <c r="J16" s="36"/>
      <c r="K16" s="39"/>
      <c r="L16" s="40"/>
      <c r="M16" s="14"/>
      <c r="O16" t="s">
        <v>1403</v>
      </c>
      <c r="X16" s="13"/>
      <c r="Y16" s="13"/>
      <c r="Z16" s="13"/>
      <c r="AA16" s="14"/>
      <c r="AB16" s="13"/>
    </row>
    <row r="17" spans="1:28" x14ac:dyDescent="0.3">
      <c r="A17" s="45"/>
      <c r="B17" s="36"/>
      <c r="C17" s="36" t="s">
        <v>1402</v>
      </c>
      <c r="D17" s="181">
        <v>2.0000000000000001E-4</v>
      </c>
      <c r="E17" s="36"/>
      <c r="F17" s="36"/>
      <c r="G17" s="36"/>
      <c r="H17" s="36"/>
      <c r="I17" s="36"/>
      <c r="J17" s="36"/>
      <c r="K17" s="39"/>
      <c r="L17" s="40"/>
      <c r="M17" s="14"/>
      <c r="X17" s="13"/>
      <c r="Y17" s="13"/>
      <c r="Z17" s="13"/>
      <c r="AA17" s="14"/>
      <c r="AB17" s="13"/>
    </row>
    <row r="18" spans="1:28" x14ac:dyDescent="0.3">
      <c r="A18" s="45"/>
      <c r="B18" s="36"/>
      <c r="C18" s="36" t="s">
        <v>1404</v>
      </c>
      <c r="D18" s="475">
        <v>10000</v>
      </c>
      <c r="E18" s="36"/>
      <c r="F18" s="36"/>
      <c r="G18" s="36"/>
      <c r="H18" s="36"/>
      <c r="I18" s="36"/>
      <c r="J18" s="36"/>
      <c r="K18" s="39"/>
      <c r="L18" s="40"/>
      <c r="M18" s="14"/>
      <c r="O18" t="s">
        <v>1405</v>
      </c>
      <c r="X18" s="13"/>
      <c r="Y18" s="13"/>
      <c r="Z18" s="13"/>
      <c r="AA18" s="14"/>
      <c r="AB18" s="13"/>
    </row>
    <row r="19" spans="1:28" ht="15" customHeight="1" x14ac:dyDescent="0.3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39"/>
      <c r="L19" s="40"/>
      <c r="M19" s="14"/>
      <c r="X19" s="13"/>
      <c r="Y19" s="13"/>
      <c r="Z19" s="13"/>
      <c r="AA19" s="14"/>
      <c r="AB19" s="13"/>
    </row>
    <row r="20" spans="1:28" x14ac:dyDescent="0.3">
      <c r="A20" s="45"/>
      <c r="B20" s="36"/>
      <c r="C20" s="74" t="s">
        <v>1406</v>
      </c>
      <c r="D20" s="285"/>
      <c r="E20" s="285"/>
      <c r="F20" s="75"/>
      <c r="G20" s="36"/>
      <c r="H20" s="74" t="s">
        <v>1407</v>
      </c>
      <c r="I20" s="285"/>
      <c r="J20" s="285"/>
      <c r="K20" s="656"/>
      <c r="L20" s="37"/>
      <c r="M20" s="14"/>
      <c r="N20" t="s">
        <v>183</v>
      </c>
      <c r="O20" t="s">
        <v>1410</v>
      </c>
      <c r="X20" s="13"/>
      <c r="Y20" s="13"/>
      <c r="Z20" s="13"/>
      <c r="AA20" s="14"/>
      <c r="AB20" s="13"/>
    </row>
    <row r="21" spans="1:28" x14ac:dyDescent="0.3">
      <c r="A21" s="45"/>
      <c r="B21" s="36"/>
      <c r="C21" s="655"/>
      <c r="D21" s="48" t="s">
        <v>357</v>
      </c>
      <c r="E21" s="48" t="s">
        <v>1408</v>
      </c>
      <c r="F21" s="96" t="s">
        <v>1409</v>
      </c>
      <c r="G21" s="36"/>
      <c r="H21" s="655"/>
      <c r="I21" s="48" t="s">
        <v>357</v>
      </c>
      <c r="J21" s="48" t="s">
        <v>1408</v>
      </c>
      <c r="K21" s="657" t="s">
        <v>1409</v>
      </c>
      <c r="L21" s="40"/>
      <c r="M21" s="14"/>
      <c r="O21" t="s">
        <v>1412</v>
      </c>
      <c r="U21" s="13"/>
      <c r="V21" s="13"/>
      <c r="W21" s="13"/>
      <c r="X21" s="13"/>
      <c r="Y21" s="13"/>
      <c r="Z21" s="13"/>
      <c r="AA21" s="14"/>
      <c r="AB21" s="13"/>
    </row>
    <row r="22" spans="1:28" x14ac:dyDescent="0.3">
      <c r="A22" s="45"/>
      <c r="B22" s="36"/>
      <c r="C22" s="77" t="s">
        <v>1411</v>
      </c>
      <c r="D22" s="155">
        <v>0.75</v>
      </c>
      <c r="E22" s="155">
        <v>0.7</v>
      </c>
      <c r="F22" s="650">
        <v>0.9</v>
      </c>
      <c r="G22" s="36"/>
      <c r="H22" s="77" t="s">
        <v>1411</v>
      </c>
      <c r="I22" s="155">
        <v>0.7</v>
      </c>
      <c r="J22" s="155">
        <v>0.75</v>
      </c>
      <c r="K22" s="650">
        <v>0.8</v>
      </c>
      <c r="L22" s="37"/>
      <c r="M22" s="14"/>
      <c r="O22" t="s">
        <v>1414</v>
      </c>
      <c r="U22" s="13"/>
      <c r="V22" s="13"/>
      <c r="W22" s="13"/>
      <c r="X22" s="13"/>
      <c r="Y22" s="13"/>
      <c r="Z22" s="13"/>
      <c r="AA22" s="14"/>
      <c r="AB22" s="13"/>
    </row>
    <row r="23" spans="1:28" ht="15" customHeight="1" x14ac:dyDescent="0.3">
      <c r="A23" s="45"/>
      <c r="B23" s="36"/>
      <c r="C23" s="77" t="s">
        <v>1413</v>
      </c>
      <c r="D23" s="155">
        <v>0.9</v>
      </c>
      <c r="E23" s="155">
        <v>0.9</v>
      </c>
      <c r="F23" s="650">
        <v>0.95</v>
      </c>
      <c r="G23" s="36"/>
      <c r="H23" s="77" t="s">
        <v>1413</v>
      </c>
      <c r="I23" s="155">
        <v>0.9</v>
      </c>
      <c r="J23" s="155">
        <v>0.9</v>
      </c>
      <c r="K23" s="650">
        <v>0.9</v>
      </c>
      <c r="L23" s="37"/>
      <c r="M23" s="14"/>
      <c r="U23" s="13"/>
      <c r="V23" s="13"/>
      <c r="W23" s="13"/>
      <c r="X23" s="13"/>
      <c r="Y23" s="13"/>
      <c r="Z23" s="13"/>
      <c r="AA23" s="14"/>
      <c r="AB23" s="13"/>
    </row>
    <row r="24" spans="1:28" ht="15" customHeight="1" x14ac:dyDescent="0.3">
      <c r="A24" s="45"/>
      <c r="B24" s="36"/>
      <c r="C24" s="77" t="s">
        <v>1415</v>
      </c>
      <c r="D24" s="155">
        <v>1</v>
      </c>
      <c r="E24" s="155">
        <v>1</v>
      </c>
      <c r="F24" s="650">
        <v>1</v>
      </c>
      <c r="G24" s="36"/>
      <c r="H24" s="77" t="s">
        <v>1415</v>
      </c>
      <c r="I24" s="155">
        <v>1</v>
      </c>
      <c r="J24" s="155">
        <v>1</v>
      </c>
      <c r="K24" s="650">
        <v>1</v>
      </c>
      <c r="L24" s="37"/>
      <c r="M24" s="14"/>
      <c r="O24" t="s">
        <v>1417</v>
      </c>
      <c r="U24" s="13"/>
      <c r="V24" s="13"/>
      <c r="W24" s="13"/>
      <c r="X24" s="13"/>
      <c r="Y24" s="13"/>
      <c r="Z24" s="13"/>
      <c r="AA24" s="14"/>
      <c r="AB24" s="13"/>
    </row>
    <row r="25" spans="1:28" ht="15" customHeight="1" x14ac:dyDescent="0.3">
      <c r="A25" s="45"/>
      <c r="B25" s="36"/>
      <c r="C25" s="77" t="s">
        <v>1416</v>
      </c>
      <c r="D25" s="155">
        <v>1.1000000000000001</v>
      </c>
      <c r="E25" s="155">
        <v>1.1000000000000001</v>
      </c>
      <c r="F25" s="650">
        <v>1.05</v>
      </c>
      <c r="G25" s="36"/>
      <c r="H25" s="77" t="s">
        <v>1416</v>
      </c>
      <c r="I25" s="155">
        <v>1.1499999999999999</v>
      </c>
      <c r="J25" s="155">
        <v>1.2</v>
      </c>
      <c r="K25" s="650">
        <v>1.1000000000000001</v>
      </c>
      <c r="L25" s="37"/>
      <c r="M25" s="14"/>
      <c r="O25" t="s">
        <v>1419</v>
      </c>
      <c r="U25" s="13"/>
      <c r="V25" s="13"/>
      <c r="W25" s="13"/>
      <c r="X25" s="13"/>
      <c r="Y25" s="13"/>
      <c r="Z25" s="13"/>
      <c r="AA25" s="14"/>
      <c r="AB25" s="13"/>
    </row>
    <row r="26" spans="1:28" ht="15" customHeight="1" x14ac:dyDescent="0.3">
      <c r="A26" s="45"/>
      <c r="B26" s="36"/>
      <c r="C26" s="77" t="s">
        <v>1418</v>
      </c>
      <c r="D26" s="155">
        <v>1.25</v>
      </c>
      <c r="E26" s="155">
        <v>1.3</v>
      </c>
      <c r="F26" s="650">
        <v>1.1000000000000001</v>
      </c>
      <c r="G26" s="36"/>
      <c r="H26" s="77" t="s">
        <v>1418</v>
      </c>
      <c r="I26" s="155">
        <v>1.2</v>
      </c>
      <c r="J26" s="155">
        <v>1.25</v>
      </c>
      <c r="K26" s="650">
        <v>1.2</v>
      </c>
      <c r="L26" s="37"/>
      <c r="M26" s="14"/>
      <c r="O26" t="s">
        <v>1421</v>
      </c>
      <c r="U26" s="13"/>
      <c r="V26" s="13"/>
      <c r="W26" s="13"/>
      <c r="X26" s="13"/>
      <c r="Y26" s="13"/>
      <c r="Z26" s="13"/>
      <c r="AA26" s="14"/>
      <c r="AB26" s="13"/>
    </row>
    <row r="27" spans="1:28" ht="15" customHeight="1" x14ac:dyDescent="0.3">
      <c r="A27" s="45"/>
      <c r="B27" s="36"/>
      <c r="C27" s="333" t="s">
        <v>1420</v>
      </c>
      <c r="D27" s="651">
        <v>1</v>
      </c>
      <c r="E27" s="651">
        <v>1</v>
      </c>
      <c r="F27" s="652">
        <v>1</v>
      </c>
      <c r="G27" s="36"/>
      <c r="H27" s="333" t="s">
        <v>1420</v>
      </c>
      <c r="I27" s="651">
        <v>1</v>
      </c>
      <c r="J27" s="651">
        <v>1</v>
      </c>
      <c r="K27" s="652">
        <v>1</v>
      </c>
      <c r="L27" s="37"/>
      <c r="M27" s="14"/>
      <c r="U27" s="13"/>
      <c r="V27" s="13"/>
      <c r="W27" s="13"/>
      <c r="X27" s="13"/>
      <c r="Y27" s="13"/>
      <c r="Z27" s="13"/>
      <c r="AA27" s="14"/>
      <c r="AB27" s="13"/>
    </row>
    <row r="28" spans="1:28" ht="15" customHeight="1" x14ac:dyDescent="0.3">
      <c r="A28" s="45"/>
      <c r="B28" s="36"/>
      <c r="C28" s="36"/>
      <c r="D28" s="36"/>
      <c r="E28" s="36"/>
      <c r="F28" s="36"/>
      <c r="G28" s="36"/>
      <c r="H28" s="36"/>
      <c r="I28" s="36"/>
      <c r="J28" s="36"/>
      <c r="K28" s="39"/>
      <c r="L28" s="40"/>
      <c r="M28" s="14"/>
      <c r="O28" t="s">
        <v>1423</v>
      </c>
      <c r="U28" s="13"/>
      <c r="V28" s="13"/>
      <c r="W28" s="13"/>
      <c r="X28" s="13"/>
      <c r="Y28" s="13"/>
      <c r="Z28" s="13"/>
      <c r="AA28" s="14"/>
      <c r="AB28" s="13"/>
    </row>
    <row r="29" spans="1:28" x14ac:dyDescent="0.3">
      <c r="A29" s="45"/>
      <c r="B29" s="36"/>
      <c r="C29" s="84" t="s">
        <v>1422</v>
      </c>
      <c r="D29" s="36"/>
      <c r="E29" s="36"/>
      <c r="F29" s="36"/>
      <c r="G29" s="36"/>
      <c r="H29" s="36"/>
      <c r="I29" s="36"/>
      <c r="J29" s="36"/>
      <c r="K29" s="39"/>
      <c r="L29" s="40"/>
      <c r="M29" s="14"/>
      <c r="O29" t="s">
        <v>1425</v>
      </c>
      <c r="U29" s="13"/>
      <c r="V29" s="13"/>
      <c r="W29" s="13"/>
      <c r="X29" s="13"/>
      <c r="Y29" s="13"/>
      <c r="Z29" s="13"/>
      <c r="AA29" s="14"/>
      <c r="AB29" s="13"/>
    </row>
    <row r="30" spans="1:28" x14ac:dyDescent="0.3">
      <c r="A30" s="45"/>
      <c r="B30" s="36"/>
      <c r="C30" s="84" t="s">
        <v>1424</v>
      </c>
      <c r="D30" s="36"/>
      <c r="E30" s="36"/>
      <c r="F30" s="36"/>
      <c r="G30" s="36"/>
      <c r="H30" s="36"/>
      <c r="I30" s="36"/>
      <c r="J30" s="36"/>
      <c r="K30" s="39"/>
      <c r="L30" s="40"/>
      <c r="M30" s="14"/>
      <c r="O30" t="s">
        <v>1427</v>
      </c>
      <c r="U30" s="13"/>
      <c r="V30" s="13"/>
      <c r="W30" s="13"/>
      <c r="X30" s="13"/>
      <c r="Y30" s="13"/>
      <c r="Z30" s="13"/>
      <c r="AA30" s="14"/>
      <c r="AB30" s="13"/>
    </row>
    <row r="31" spans="1:28" x14ac:dyDescent="0.3">
      <c r="A31" s="45"/>
      <c r="B31" s="36"/>
      <c r="C31" s="84" t="s">
        <v>1426</v>
      </c>
      <c r="D31" s="36"/>
      <c r="E31" s="36"/>
      <c r="F31" s="36"/>
      <c r="G31" s="36"/>
      <c r="H31" s="36"/>
      <c r="I31" s="36"/>
      <c r="J31" s="36"/>
      <c r="K31" s="39"/>
      <c r="L31" s="40"/>
      <c r="M31" s="14"/>
      <c r="U31" s="13"/>
      <c r="V31" s="13"/>
      <c r="W31" s="13"/>
      <c r="X31" s="13"/>
      <c r="Y31" s="13"/>
      <c r="Z31" s="13"/>
      <c r="AA31" s="14"/>
      <c r="AB31" s="13"/>
    </row>
    <row r="32" spans="1:28" x14ac:dyDescent="0.3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9"/>
      <c r="L32" s="40"/>
      <c r="M32" s="14"/>
      <c r="O32" s="209" t="s">
        <v>1428</v>
      </c>
      <c r="U32" s="13"/>
      <c r="V32" s="13"/>
      <c r="W32" s="13"/>
      <c r="X32" s="13"/>
      <c r="Y32" s="13"/>
      <c r="Z32" s="13"/>
      <c r="AA32" s="14"/>
      <c r="AB32" s="13"/>
    </row>
    <row r="33" spans="1:28" x14ac:dyDescent="0.3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9"/>
      <c r="L33" s="40"/>
      <c r="M33" s="14"/>
      <c r="O33" t="s">
        <v>1430</v>
      </c>
      <c r="Q33" s="11">
        <f>D13*D14</f>
        <v>0.48</v>
      </c>
      <c r="R33" t="s">
        <v>1431</v>
      </c>
      <c r="U33" s="13"/>
      <c r="V33" s="13"/>
      <c r="W33" s="13"/>
      <c r="X33" s="13"/>
      <c r="Y33" s="13"/>
      <c r="Z33" s="13"/>
      <c r="AA33" s="14"/>
      <c r="AB33" s="13"/>
    </row>
    <row r="34" spans="1:28" x14ac:dyDescent="0.3">
      <c r="A34" s="35" t="s">
        <v>173</v>
      </c>
      <c r="B34" s="36" t="s">
        <v>174</v>
      </c>
      <c r="C34" s="84" t="s">
        <v>1429</v>
      </c>
      <c r="D34" s="36"/>
      <c r="E34" s="36"/>
      <c r="F34" s="36"/>
      <c r="G34" s="36"/>
      <c r="H34" s="36"/>
      <c r="I34" s="36"/>
      <c r="J34" s="36"/>
      <c r="K34" s="39"/>
      <c r="L34" s="40"/>
      <c r="M34" s="14"/>
      <c r="O34" t="s">
        <v>1432</v>
      </c>
      <c r="Q34" s="11">
        <f>Q33*(1-D15)</f>
        <v>0.35039999999999999</v>
      </c>
      <c r="R34" t="s">
        <v>1433</v>
      </c>
      <c r="U34" s="13"/>
      <c r="V34" s="13"/>
      <c r="W34" s="13"/>
      <c r="X34" s="13"/>
      <c r="Y34" s="13"/>
      <c r="Z34" s="13"/>
      <c r="AA34" s="14"/>
      <c r="AB34" s="13"/>
    </row>
    <row r="35" spans="1:28" x14ac:dyDescent="0.3">
      <c r="A35" s="45"/>
      <c r="B35" s="36"/>
      <c r="C35" s="36"/>
      <c r="D35" s="36"/>
      <c r="E35" s="36"/>
      <c r="F35" s="36"/>
      <c r="G35" s="36"/>
      <c r="H35" s="36"/>
      <c r="I35" s="36"/>
      <c r="J35" s="36"/>
      <c r="K35" s="39"/>
      <c r="L35" s="40"/>
      <c r="M35" s="14"/>
      <c r="O35" t="s">
        <v>1435</v>
      </c>
      <c r="Q35" s="653">
        <f>Q34*1</f>
        <v>0.35039999999999999</v>
      </c>
      <c r="R35" t="s">
        <v>1436</v>
      </c>
      <c r="U35" s="13"/>
      <c r="V35" s="13"/>
      <c r="W35" s="13"/>
      <c r="X35" s="13"/>
      <c r="Y35" s="13"/>
      <c r="Z35" s="13"/>
      <c r="AA35" s="14"/>
      <c r="AB35" s="13"/>
    </row>
    <row r="36" spans="1:28" x14ac:dyDescent="0.3">
      <c r="A36" s="45"/>
      <c r="B36" s="36" t="s">
        <v>183</v>
      </c>
      <c r="C36" s="36" t="s">
        <v>1434</v>
      </c>
      <c r="D36" s="36"/>
      <c r="E36" s="36"/>
      <c r="F36" s="36"/>
      <c r="G36" s="36"/>
      <c r="H36" s="36"/>
      <c r="I36" s="36"/>
      <c r="J36" s="36"/>
      <c r="K36" s="39"/>
      <c r="L36" s="40"/>
      <c r="M36" s="14"/>
      <c r="U36" s="13"/>
      <c r="V36" s="13"/>
      <c r="W36" s="13"/>
      <c r="X36" s="13"/>
      <c r="Y36" s="13"/>
      <c r="Z36" s="13"/>
      <c r="AA36" s="14"/>
      <c r="AB36" s="13"/>
    </row>
    <row r="37" spans="1:28" ht="15" thickBot="1" x14ac:dyDescent="0.3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189"/>
      <c r="L37" s="85"/>
      <c r="M37" s="14"/>
      <c r="O37" s="209" t="s">
        <v>1437</v>
      </c>
      <c r="U37" s="13"/>
      <c r="V37" s="13"/>
      <c r="W37" s="13"/>
      <c r="X37" s="13"/>
      <c r="Y37" s="13"/>
      <c r="Z37" s="13"/>
      <c r="AA37" s="14"/>
      <c r="AB37" s="13"/>
    </row>
    <row r="38" spans="1:28" x14ac:dyDescent="0.3">
      <c r="K38" s="13"/>
      <c r="L38" s="13"/>
      <c r="M38" s="14"/>
      <c r="O38" t="s">
        <v>1430</v>
      </c>
      <c r="Q38" s="11">
        <f>F13*F14</f>
        <v>2.5500000000000003</v>
      </c>
      <c r="R38" t="s">
        <v>1431</v>
      </c>
      <c r="U38" s="13"/>
      <c r="V38" s="13"/>
      <c r="W38" s="13"/>
      <c r="X38" s="13"/>
      <c r="Y38" s="13"/>
      <c r="Z38" s="13"/>
      <c r="AA38" s="14"/>
      <c r="AB38" s="13"/>
    </row>
    <row r="39" spans="1:28" x14ac:dyDescent="0.3">
      <c r="A39" s="13"/>
      <c r="B39" s="13"/>
      <c r="K39" s="13"/>
      <c r="L39" s="13"/>
      <c r="M39" s="14"/>
      <c r="O39" t="s">
        <v>1432</v>
      </c>
      <c r="Q39" s="11">
        <f>Q38*(1-F15)</f>
        <v>1.0965000000000003</v>
      </c>
      <c r="R39" t="s">
        <v>1433</v>
      </c>
      <c r="U39" s="13"/>
      <c r="V39" s="13"/>
      <c r="W39" s="13"/>
      <c r="X39" s="13"/>
      <c r="Y39" s="13"/>
      <c r="Z39" s="13"/>
      <c r="AA39" s="14"/>
      <c r="AB39" s="13"/>
    </row>
    <row r="40" spans="1:28" x14ac:dyDescent="0.3">
      <c r="M40" s="14"/>
      <c r="O40" t="s">
        <v>1438</v>
      </c>
      <c r="Q40" s="653">
        <f>Q39*1</f>
        <v>1.0965000000000003</v>
      </c>
      <c r="R40" t="s">
        <v>1436</v>
      </c>
      <c r="U40" s="13"/>
      <c r="V40" s="13"/>
      <c r="W40" s="13"/>
      <c r="X40" s="13"/>
      <c r="Y40" s="13"/>
      <c r="Z40" s="13"/>
      <c r="AA40" s="14"/>
      <c r="AB40" s="13"/>
    </row>
    <row r="41" spans="1:28" x14ac:dyDescent="0.3">
      <c r="M41" s="14"/>
      <c r="U41" s="13"/>
      <c r="V41" s="13"/>
      <c r="W41" s="13"/>
      <c r="X41" s="13"/>
      <c r="Y41" s="13"/>
      <c r="Z41" s="13"/>
      <c r="AA41" s="14"/>
      <c r="AB41" s="13"/>
    </row>
    <row r="42" spans="1:28" x14ac:dyDescent="0.3">
      <c r="M42" s="14"/>
      <c r="O42" s="209" t="s">
        <v>1439</v>
      </c>
      <c r="U42" s="13"/>
      <c r="V42" s="13"/>
      <c r="W42" s="13"/>
      <c r="X42" s="13"/>
      <c r="Y42" s="13"/>
      <c r="Z42" s="13"/>
      <c r="AA42" s="14"/>
      <c r="AB42" s="13"/>
    </row>
    <row r="43" spans="1:28" x14ac:dyDescent="0.3">
      <c r="M43" s="14"/>
      <c r="O43" t="s">
        <v>1440</v>
      </c>
      <c r="U43" s="13"/>
      <c r="V43" s="13"/>
      <c r="W43" s="13"/>
      <c r="X43" s="13"/>
      <c r="Y43" s="13"/>
      <c r="Z43" s="13"/>
      <c r="AA43" s="14"/>
      <c r="AB43" s="13"/>
    </row>
    <row r="44" spans="1:28" x14ac:dyDescent="0.3">
      <c r="M44" s="14"/>
      <c r="O44" t="s">
        <v>1441</v>
      </c>
      <c r="U44" s="13"/>
      <c r="V44" s="13"/>
      <c r="W44" s="13"/>
      <c r="X44" s="13"/>
      <c r="Y44" s="13"/>
      <c r="Z44" s="13"/>
      <c r="AA44" s="14"/>
      <c r="AB44" s="13"/>
    </row>
    <row r="45" spans="1:28" x14ac:dyDescent="0.3">
      <c r="M45" s="14"/>
      <c r="O45" t="str">
        <f>"Using the Hazard Group F for PT Claims table, we look up the predicted value for quintile 4 which is "&amp;I25&amp;"."</f>
        <v>Using the Hazard Group F for PT Claims table, we look up the predicted value for quintile 4 which is 1.15.</v>
      </c>
      <c r="U45" s="13"/>
      <c r="V45" s="13"/>
      <c r="W45" s="13"/>
      <c r="X45" s="13"/>
      <c r="Y45" s="13"/>
      <c r="Z45" s="13"/>
      <c r="AA45" s="14"/>
      <c r="AB45" s="13"/>
    </row>
    <row r="46" spans="1:28" x14ac:dyDescent="0.3">
      <c r="M46" s="14"/>
      <c r="O46" t="s">
        <v>1442</v>
      </c>
      <c r="U46" s="13"/>
      <c r="V46" s="13"/>
      <c r="W46" s="13"/>
      <c r="X46" s="13"/>
      <c r="Y46" s="13"/>
      <c r="Z46" s="13"/>
      <c r="AA46" s="14"/>
      <c r="AB46" s="13"/>
    </row>
    <row r="47" spans="1:28" x14ac:dyDescent="0.3">
      <c r="M47" s="14"/>
      <c r="U47" s="13"/>
      <c r="V47" s="13"/>
      <c r="W47" s="13"/>
      <c r="X47" s="13"/>
      <c r="Y47" s="13"/>
      <c r="Z47" s="13"/>
      <c r="AA47" s="14"/>
      <c r="AB47" s="13"/>
    </row>
    <row r="48" spans="1:28" x14ac:dyDescent="0.3">
      <c r="M48" s="14"/>
      <c r="O48" t="s">
        <v>1430</v>
      </c>
      <c r="Q48" s="452">
        <f>E13*E14</f>
        <v>0.6</v>
      </c>
      <c r="R48" t="s">
        <v>1431</v>
      </c>
      <c r="U48" s="13"/>
      <c r="V48" s="13"/>
      <c r="W48" s="13"/>
      <c r="X48" s="13"/>
      <c r="Y48" s="13"/>
      <c r="Z48" s="13"/>
      <c r="AA48" s="14"/>
      <c r="AB48" s="13"/>
    </row>
    <row r="49" spans="1:28" x14ac:dyDescent="0.3">
      <c r="M49" s="14"/>
      <c r="O49" t="s">
        <v>1432</v>
      </c>
      <c r="Q49" s="11">
        <f>Q48*(1-E15)</f>
        <v>0.46799999999999997</v>
      </c>
      <c r="R49" t="s">
        <v>1433</v>
      </c>
      <c r="U49" s="13"/>
      <c r="V49" s="13"/>
      <c r="W49" s="13"/>
      <c r="X49" s="13"/>
      <c r="Y49" s="13"/>
      <c r="Z49" s="13"/>
      <c r="AA49" s="14"/>
      <c r="AB49" s="13"/>
    </row>
    <row r="50" spans="1:28" x14ac:dyDescent="0.3">
      <c r="M50" s="14"/>
      <c r="O50" t="s">
        <v>1443</v>
      </c>
      <c r="Q50" s="452">
        <f>I25</f>
        <v>1.1499999999999999</v>
      </c>
      <c r="S50" s="13"/>
      <c r="U50" s="13"/>
      <c r="V50" s="13"/>
      <c r="W50" s="13"/>
      <c r="X50" s="13"/>
      <c r="Y50" s="13"/>
      <c r="Z50" s="13"/>
      <c r="AA50" s="14"/>
      <c r="AB50" s="13"/>
    </row>
    <row r="51" spans="1:28" x14ac:dyDescent="0.3">
      <c r="M51" s="14"/>
      <c r="N51" s="13"/>
      <c r="O51" t="s">
        <v>1435</v>
      </c>
      <c r="Q51" s="653">
        <f>Q50*Q49</f>
        <v>0.5381999999999999</v>
      </c>
      <c r="R51" t="s">
        <v>1444</v>
      </c>
      <c r="S51" s="13"/>
      <c r="T51" s="13"/>
      <c r="U51" s="13"/>
      <c r="V51" s="13"/>
      <c r="W51" s="13"/>
      <c r="X51" s="13"/>
      <c r="Y51" s="13"/>
      <c r="Z51" s="13"/>
      <c r="AA51" s="14"/>
    </row>
    <row r="52" spans="1:28" x14ac:dyDescent="0.3">
      <c r="M52" s="14"/>
      <c r="N52" s="13"/>
      <c r="S52" s="13"/>
      <c r="T52" s="13"/>
      <c r="U52" s="13"/>
      <c r="V52" s="13"/>
      <c r="W52" s="13"/>
      <c r="X52" s="13"/>
      <c r="Y52" s="13"/>
      <c r="Z52" s="13"/>
      <c r="AA52" s="14"/>
    </row>
    <row r="53" spans="1:28" x14ac:dyDescent="0.3">
      <c r="M53" s="14"/>
      <c r="N53" s="13"/>
      <c r="O53" t="s">
        <v>1445</v>
      </c>
      <c r="R53" s="653">
        <f>Q35+Q40+Q51</f>
        <v>1.9851000000000001</v>
      </c>
      <c r="S53" s="13"/>
      <c r="T53" s="13"/>
      <c r="U53" s="13"/>
      <c r="V53" s="13"/>
      <c r="W53" s="13"/>
      <c r="X53" s="13"/>
      <c r="Y53" s="13"/>
      <c r="Z53" s="13"/>
      <c r="AA53" s="14"/>
    </row>
    <row r="54" spans="1:28" x14ac:dyDescent="0.3">
      <c r="M54" s="14"/>
      <c r="N54" s="13"/>
      <c r="O54" t="s">
        <v>1446</v>
      </c>
      <c r="Q54" s="654">
        <f>D17*D18</f>
        <v>2</v>
      </c>
      <c r="R54" t="s">
        <v>1447</v>
      </c>
      <c r="S54" s="13"/>
      <c r="T54" s="13"/>
      <c r="U54" s="13"/>
      <c r="V54" s="13"/>
      <c r="W54" s="13"/>
      <c r="X54" s="13"/>
      <c r="Y54" s="13"/>
      <c r="Z54" s="13"/>
      <c r="AA54" s="14"/>
    </row>
    <row r="55" spans="1:28" x14ac:dyDescent="0.3">
      <c r="M55" s="14"/>
      <c r="N55" s="13"/>
      <c r="S55" s="13"/>
      <c r="T55" s="13"/>
      <c r="U55" s="13"/>
      <c r="V55" s="13"/>
      <c r="W55" s="13"/>
      <c r="X55" s="13"/>
      <c r="Y55" s="13"/>
      <c r="Z55" s="13"/>
      <c r="AA55" s="14"/>
    </row>
    <row r="56" spans="1:28" x14ac:dyDescent="0.3">
      <c r="M56" s="14"/>
      <c r="N56" s="13"/>
      <c r="O56" t="s">
        <v>1448</v>
      </c>
      <c r="S56" s="13"/>
      <c r="T56" s="13"/>
      <c r="U56" s="13"/>
      <c r="V56" s="13"/>
      <c r="W56" s="13"/>
      <c r="X56" s="13"/>
      <c r="Y56" s="13"/>
      <c r="Z56" s="13"/>
      <c r="AA56" s="14"/>
    </row>
    <row r="57" spans="1:28" x14ac:dyDescent="0.3">
      <c r="M57" s="14"/>
      <c r="N57" s="13"/>
      <c r="O57" s="13" t="s">
        <v>1449</v>
      </c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4"/>
    </row>
    <row r="58" spans="1:28" x14ac:dyDescent="0.3">
      <c r="M58" s="14"/>
      <c r="N58" s="13"/>
      <c r="O58" t="s">
        <v>1450</v>
      </c>
      <c r="P58" s="313">
        <f>10*10^6/100*Q54*R53</f>
        <v>397020</v>
      </c>
      <c r="Q58" s="13"/>
      <c r="R58" s="13"/>
      <c r="T58" s="13"/>
      <c r="U58" s="13"/>
      <c r="V58" s="13"/>
      <c r="W58" s="13"/>
      <c r="X58" s="13"/>
      <c r="Y58" s="13"/>
      <c r="Z58" s="13"/>
      <c r="AA58" s="14"/>
    </row>
    <row r="59" spans="1:28" x14ac:dyDescent="0.3">
      <c r="M59" s="14"/>
      <c r="Z59" s="13"/>
      <c r="AA59" s="14"/>
    </row>
    <row r="60" spans="1:28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8" x14ac:dyDescent="0.3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</row>
    <row r="62" spans="1:28" x14ac:dyDescent="0.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4"/>
    </row>
    <row r="63" spans="1:28" x14ac:dyDescent="0.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</row>
    <row r="64" spans="1:28" x14ac:dyDescent="0.3"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4"/>
    </row>
    <row r="65" spans="13:27" x14ac:dyDescent="0.3"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4"/>
    </row>
    <row r="66" spans="13:27" x14ac:dyDescent="0.3"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4"/>
    </row>
    <row r="67" spans="13:27" x14ac:dyDescent="0.3"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4"/>
    </row>
    <row r="68" spans="13:27" x14ac:dyDescent="0.3"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</row>
    <row r="69" spans="13:27" x14ac:dyDescent="0.3"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</row>
    <row r="70" spans="13:27" x14ac:dyDescent="0.3"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4"/>
    </row>
    <row r="71" spans="13:27" x14ac:dyDescent="0.3"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4"/>
    </row>
    <row r="72" spans="13:27" x14ac:dyDescent="0.3"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4"/>
    </row>
    <row r="73" spans="13:27" x14ac:dyDescent="0.3"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4"/>
    </row>
    <row r="74" spans="13:27" x14ac:dyDescent="0.3">
      <c r="M74" s="14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4"/>
    </row>
    <row r="75" spans="13:27" x14ac:dyDescent="0.3">
      <c r="M75" s="14"/>
      <c r="AA75" s="14"/>
    </row>
    <row r="76" spans="13:27" x14ac:dyDescent="0.3">
      <c r="M76" s="14"/>
      <c r="AA76" s="14"/>
    </row>
    <row r="77" spans="13:27" x14ac:dyDescent="0.3">
      <c r="M77" s="14"/>
      <c r="AA77" s="14"/>
    </row>
    <row r="78" spans="13:27" x14ac:dyDescent="0.3">
      <c r="M78" s="14"/>
      <c r="AA78" s="14"/>
    </row>
    <row r="79" spans="13:27" x14ac:dyDescent="0.3">
      <c r="M79" s="14"/>
      <c r="AA79" s="14"/>
    </row>
    <row r="80" spans="13:27" x14ac:dyDescent="0.3">
      <c r="M80" s="14"/>
      <c r="AA80" s="14"/>
    </row>
    <row r="81" spans="13:27" x14ac:dyDescent="0.3">
      <c r="M81" s="14"/>
      <c r="AA81" s="14"/>
    </row>
    <row r="82" spans="13:27" x14ac:dyDescent="0.3">
      <c r="M82" s="14"/>
      <c r="AA82" s="14"/>
    </row>
    <row r="83" spans="13:27" x14ac:dyDescent="0.3">
      <c r="M83" s="14"/>
      <c r="AA83" s="14"/>
    </row>
    <row r="84" spans="13:27" x14ac:dyDescent="0.3">
      <c r="M84" s="14"/>
      <c r="AA84" s="14"/>
    </row>
    <row r="85" spans="13:27" x14ac:dyDescent="0.3">
      <c r="M85" s="14"/>
      <c r="AA85" s="14"/>
    </row>
    <row r="86" spans="13:27" x14ac:dyDescent="0.3">
      <c r="M86" s="14"/>
      <c r="AA86" s="14"/>
    </row>
    <row r="87" spans="13:27" x14ac:dyDescent="0.3">
      <c r="M87" s="14"/>
      <c r="AA87" s="14"/>
    </row>
    <row r="88" spans="13:27" x14ac:dyDescent="0.3">
      <c r="M88" s="14"/>
      <c r="AA88" s="14"/>
    </row>
    <row r="89" spans="13:27" x14ac:dyDescent="0.3">
      <c r="M89" s="14"/>
      <c r="AA89" s="14"/>
    </row>
    <row r="90" spans="13:27" x14ac:dyDescent="0.3">
      <c r="M90" s="14"/>
      <c r="AA90" s="14"/>
    </row>
    <row r="91" spans="13:27" x14ac:dyDescent="0.3">
      <c r="M91" s="14"/>
      <c r="AA91" s="14"/>
    </row>
    <row r="92" spans="13:27" x14ac:dyDescent="0.3">
      <c r="M92" s="14"/>
      <c r="AA92" s="14"/>
    </row>
    <row r="93" spans="13:27" x14ac:dyDescent="0.3">
      <c r="M93" s="14"/>
      <c r="AA93" s="14"/>
    </row>
    <row r="94" spans="13:27" x14ac:dyDescent="0.3">
      <c r="M94" s="14"/>
      <c r="AA94" s="14"/>
    </row>
    <row r="95" spans="13:27" x14ac:dyDescent="0.3">
      <c r="M95" s="14"/>
      <c r="AA95" s="14"/>
    </row>
    <row r="96" spans="13:27" x14ac:dyDescent="0.3">
      <c r="M96" s="14"/>
      <c r="AA96" s="14"/>
    </row>
    <row r="97" spans="13:27" x14ac:dyDescent="0.3">
      <c r="M97" s="14"/>
      <c r="AA97" s="14"/>
    </row>
    <row r="98" spans="13:27" x14ac:dyDescent="0.3">
      <c r="M98" s="14"/>
      <c r="AA98" s="14"/>
    </row>
    <row r="99" spans="13:27" x14ac:dyDescent="0.3">
      <c r="M99" s="14"/>
      <c r="AA99" s="14"/>
    </row>
    <row r="100" spans="13:27" x14ac:dyDescent="0.3">
      <c r="M100" s="14"/>
      <c r="AA100" s="14"/>
    </row>
    <row r="101" spans="13:27" x14ac:dyDescent="0.3">
      <c r="M101" s="14"/>
      <c r="AA101" s="14"/>
    </row>
    <row r="102" spans="13:27" x14ac:dyDescent="0.3">
      <c r="M102" s="14"/>
      <c r="AA102" s="14"/>
    </row>
    <row r="103" spans="13:27" x14ac:dyDescent="0.3">
      <c r="M103" s="14"/>
      <c r="AA103" s="14"/>
    </row>
    <row r="104" spans="13:27" x14ac:dyDescent="0.3">
      <c r="M104" s="14"/>
      <c r="AA104" s="14"/>
    </row>
    <row r="105" spans="13:27" x14ac:dyDescent="0.3">
      <c r="M105" s="14"/>
      <c r="AA105" s="14"/>
    </row>
    <row r="106" spans="13:27" x14ac:dyDescent="0.3">
      <c r="M106" s="14"/>
      <c r="AA106" s="14"/>
    </row>
    <row r="107" spans="13:27" x14ac:dyDescent="0.3">
      <c r="M107" s="14"/>
      <c r="AA107" s="14"/>
    </row>
    <row r="108" spans="13:27" x14ac:dyDescent="0.3">
      <c r="M108" s="14"/>
      <c r="AA108" s="14"/>
    </row>
    <row r="109" spans="13:27" x14ac:dyDescent="0.3">
      <c r="M109" s="14"/>
      <c r="AA109" s="14"/>
    </row>
    <row r="110" spans="13:27" x14ac:dyDescent="0.3">
      <c r="M110" s="14"/>
      <c r="AA110" s="14"/>
    </row>
    <row r="111" spans="13:27" x14ac:dyDescent="0.3">
      <c r="M111" s="14"/>
      <c r="AA111" s="14"/>
    </row>
    <row r="112" spans="13:27" x14ac:dyDescent="0.3">
      <c r="M112" s="14"/>
      <c r="AA112" s="14"/>
    </row>
    <row r="113" spans="1:27" x14ac:dyDescent="0.3">
      <c r="M113" s="14"/>
      <c r="AA113" s="14"/>
    </row>
    <row r="114" spans="1:27" x14ac:dyDescent="0.3">
      <c r="M114" s="14"/>
      <c r="AA114" s="14"/>
    </row>
    <row r="115" spans="1:27" x14ac:dyDescent="0.3">
      <c r="M115" s="14"/>
      <c r="AA115" s="14"/>
    </row>
    <row r="116" spans="1:27" x14ac:dyDescent="0.3">
      <c r="M116" s="14"/>
      <c r="AA116" s="14"/>
    </row>
    <row r="117" spans="1:27" x14ac:dyDescent="0.3">
      <c r="M117" s="14"/>
      <c r="AA117" s="14"/>
    </row>
    <row r="118" spans="1:27" x14ac:dyDescent="0.3">
      <c r="M118" s="14"/>
      <c r="AA118" s="14"/>
    </row>
    <row r="119" spans="1:27" x14ac:dyDescent="0.3">
      <c r="M119" s="14"/>
      <c r="AA119" s="14"/>
    </row>
    <row r="120" spans="1:27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x14ac:dyDescent="0.3">
      <c r="M121" s="14"/>
      <c r="AA121" s="14"/>
    </row>
    <row r="122" spans="1:27" x14ac:dyDescent="0.3">
      <c r="M122" s="14"/>
      <c r="AA122" s="14"/>
    </row>
    <row r="123" spans="1:27" x14ac:dyDescent="0.3">
      <c r="M123" s="14"/>
      <c r="AA123" s="14"/>
    </row>
    <row r="124" spans="1:27" x14ac:dyDescent="0.3">
      <c r="M124" s="14"/>
      <c r="AA124" s="14"/>
    </row>
    <row r="125" spans="1:27" x14ac:dyDescent="0.3">
      <c r="M125" s="14"/>
      <c r="AA125" s="14"/>
    </row>
    <row r="126" spans="1:27" x14ac:dyDescent="0.3">
      <c r="M126" s="14"/>
      <c r="AA126" s="14"/>
    </row>
    <row r="127" spans="1:27" x14ac:dyDescent="0.3">
      <c r="M127" s="14"/>
      <c r="AA127" s="14"/>
    </row>
    <row r="128" spans="1:27" x14ac:dyDescent="0.3">
      <c r="M128" s="14"/>
      <c r="AA128" s="14"/>
    </row>
  </sheetData>
  <mergeCells count="1">
    <mergeCell ref="K1:L1"/>
  </mergeCells>
  <hyperlinks>
    <hyperlink ref="K1" location="TOC!A1" display="Return to TOC" xr:uid="{D2F99A28-F08A-49A9-8AD7-AF621D9D26D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0E9-887A-4ABB-A14B-5E768CE2A07D}">
  <sheetPr codeName="Sheet89"/>
  <dimension ref="A1:Z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24.88671875" customWidth="1"/>
    <col min="4" max="4" width="11.5546875" bestFit="1" customWidth="1"/>
    <col min="5" max="5" width="11.5546875" customWidth="1"/>
    <col min="6" max="6" width="12.33203125" customWidth="1"/>
    <col min="7" max="7" width="12.5546875" bestFit="1" customWidth="1"/>
    <col min="9" max="9" width="5.6640625" customWidth="1"/>
    <col min="10" max="11" width="2.6640625" customWidth="1"/>
    <col min="12" max="12" width="16.88671875" customWidth="1"/>
    <col min="13" max="13" width="11" customWidth="1"/>
    <col min="14" max="14" width="9.33203125" customWidth="1"/>
    <col min="15" max="15" width="12.44140625" bestFit="1" customWidth="1"/>
    <col min="16" max="16" width="11.109375" bestFit="1" customWidth="1"/>
    <col min="17" max="18" width="9.33203125" customWidth="1"/>
    <col min="19" max="20" width="9.109375" customWidth="1"/>
    <col min="22" max="22" width="9.109375" customWidth="1"/>
    <col min="23" max="23" width="4.6640625" customWidth="1"/>
    <col min="24" max="24" width="5.6640625" customWidth="1"/>
  </cols>
  <sheetData>
    <row r="1" spans="1:26" x14ac:dyDescent="0.3">
      <c r="A1" s="32" t="s">
        <v>137</v>
      </c>
      <c r="B1" s="33"/>
      <c r="C1" s="33" t="s">
        <v>133</v>
      </c>
      <c r="D1" s="34"/>
      <c r="E1" s="33"/>
      <c r="F1" s="33"/>
      <c r="G1" s="33"/>
      <c r="H1" s="772" t="s">
        <v>199</v>
      </c>
      <c r="I1" s="772"/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1451</v>
      </c>
      <c r="D2" s="36"/>
      <c r="E2" s="36"/>
      <c r="F2" s="36"/>
      <c r="G2" s="36"/>
      <c r="H2" s="36"/>
      <c r="I2" s="36"/>
      <c r="J2" s="37"/>
      <c r="K2" s="10"/>
      <c r="L2" t="s">
        <v>1453</v>
      </c>
      <c r="Y2" s="10"/>
    </row>
    <row r="3" spans="1:26" x14ac:dyDescent="0.3">
      <c r="A3" s="35" t="s">
        <v>141</v>
      </c>
      <c r="B3" s="36"/>
      <c r="C3" s="36" t="s">
        <v>1452</v>
      </c>
      <c r="D3" s="36"/>
      <c r="E3" s="36"/>
      <c r="F3" s="36"/>
      <c r="G3" s="36"/>
      <c r="H3" s="36"/>
      <c r="I3" s="36"/>
      <c r="J3" s="37"/>
      <c r="K3" s="10"/>
      <c r="L3" t="s">
        <v>1454</v>
      </c>
      <c r="M3" s="653">
        <f>D26</f>
        <v>2.02</v>
      </c>
      <c r="Y3" s="14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L4" t="s">
        <v>1455</v>
      </c>
      <c r="M4" s="653">
        <f>E26</f>
        <v>0.17</v>
      </c>
      <c r="V4" s="13"/>
      <c r="W4" s="13"/>
      <c r="X4" s="13"/>
      <c r="Y4" s="14"/>
      <c r="Z4" s="13"/>
    </row>
    <row r="5" spans="1:26" ht="15" customHeight="1" x14ac:dyDescent="0.3">
      <c r="A5" s="41" t="s">
        <v>144</v>
      </c>
      <c r="B5" s="36"/>
      <c r="C5" s="36" t="s">
        <v>1507</v>
      </c>
      <c r="D5" s="36"/>
      <c r="E5" s="36"/>
      <c r="F5" s="36"/>
      <c r="G5" s="36"/>
      <c r="H5" s="36"/>
      <c r="I5" s="36"/>
      <c r="J5" s="40"/>
      <c r="K5" s="14"/>
      <c r="V5" s="13"/>
      <c r="W5" s="13"/>
      <c r="X5" s="13"/>
      <c r="Y5" s="14"/>
      <c r="Z5" s="13"/>
    </row>
    <row r="6" spans="1:26" x14ac:dyDescent="0.3">
      <c r="A6" s="45"/>
      <c r="B6" s="36"/>
      <c r="C6" s="36" t="s">
        <v>1508</v>
      </c>
      <c r="D6" s="36"/>
      <c r="E6" s="36"/>
      <c r="F6" s="36"/>
      <c r="G6" s="36"/>
      <c r="H6" s="36"/>
      <c r="I6" s="36"/>
      <c r="J6" s="40"/>
      <c r="K6" s="14"/>
      <c r="L6" t="s">
        <v>1456</v>
      </c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6" t="s">
        <v>1509</v>
      </c>
      <c r="D7" s="36"/>
      <c r="E7" s="36"/>
      <c r="F7" s="36"/>
      <c r="G7" s="36"/>
      <c r="H7" s="36"/>
      <c r="I7" s="36"/>
      <c r="J7" s="40"/>
      <c r="K7" s="14"/>
      <c r="L7" s="26" t="s">
        <v>1457</v>
      </c>
      <c r="M7" t="str">
        <f>D26&amp;" * "&amp;TEXT(D9,"$0,000")&amp;" / $100"</f>
        <v>2.02 * $5,000,000 / $100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/>
      <c r="D8" s="36"/>
      <c r="E8" s="36"/>
      <c r="F8" s="36"/>
      <c r="G8" s="36"/>
      <c r="H8" s="36"/>
      <c r="I8" s="36"/>
      <c r="J8" s="40"/>
      <c r="K8" s="14"/>
      <c r="L8" s="27" t="s">
        <v>1459</v>
      </c>
      <c r="M8" s="654">
        <f>ROUND(D26*D9/100,0)</f>
        <v>101000</v>
      </c>
      <c r="N8" s="19" t="s">
        <v>1460</v>
      </c>
      <c r="V8" s="13"/>
      <c r="W8" s="13"/>
      <c r="X8" s="13"/>
      <c r="Y8" s="14"/>
      <c r="Z8" s="13"/>
    </row>
    <row r="9" spans="1:26" x14ac:dyDescent="0.3">
      <c r="A9" s="41"/>
      <c r="B9" s="39"/>
      <c r="C9" s="637" t="s">
        <v>1458</v>
      </c>
      <c r="D9" s="325">
        <v>5000000</v>
      </c>
      <c r="E9" s="36"/>
      <c r="F9" s="36"/>
      <c r="G9" s="36"/>
      <c r="H9" s="36"/>
      <c r="I9" s="36"/>
      <c r="J9" s="40"/>
      <c r="K9" s="14"/>
      <c r="V9" s="13"/>
      <c r="W9" s="13"/>
      <c r="X9" s="13"/>
      <c r="Y9" s="14"/>
      <c r="Z9" s="13"/>
    </row>
    <row r="10" spans="1:26" x14ac:dyDescent="0.3">
      <c r="A10" s="38"/>
      <c r="B10" s="39"/>
      <c r="C10" s="640" t="s">
        <v>1461</v>
      </c>
      <c r="D10" s="20" t="s">
        <v>1462</v>
      </c>
      <c r="E10" s="36"/>
      <c r="F10" s="36"/>
      <c r="G10" s="36"/>
      <c r="H10" s="36"/>
      <c r="I10" s="36"/>
      <c r="J10" s="40"/>
      <c r="K10" s="14"/>
      <c r="L10" t="s">
        <v>1464</v>
      </c>
      <c r="V10" s="13"/>
      <c r="W10" s="13"/>
      <c r="X10" s="13"/>
      <c r="Y10" s="14"/>
      <c r="Z10" s="13"/>
    </row>
    <row r="11" spans="1:26" x14ac:dyDescent="0.3">
      <c r="A11" s="38"/>
      <c r="B11" s="39"/>
      <c r="C11" s="639" t="s">
        <v>1463</v>
      </c>
      <c r="D11" s="22">
        <v>7705</v>
      </c>
      <c r="E11" s="36"/>
      <c r="F11" s="36"/>
      <c r="G11" s="36"/>
      <c r="H11" s="36"/>
      <c r="I11" s="36"/>
      <c r="J11" s="40"/>
      <c r="K11" s="14"/>
      <c r="M11" s="26" t="s">
        <v>1465</v>
      </c>
      <c r="N11" t="s">
        <v>1466</v>
      </c>
      <c r="V11" s="13"/>
      <c r="W11" s="13"/>
      <c r="X11" s="13"/>
      <c r="Y11" s="14"/>
      <c r="Z11" s="13"/>
    </row>
    <row r="12" spans="1:26" ht="15.6" x14ac:dyDescent="0.35">
      <c r="A12" s="38"/>
      <c r="B12" s="39"/>
      <c r="C12" s="36"/>
      <c r="D12" s="36"/>
      <c r="E12" s="36"/>
      <c r="F12" s="36"/>
      <c r="G12" s="36"/>
      <c r="H12" s="36"/>
      <c r="I12" s="36"/>
      <c r="J12" s="40"/>
      <c r="K12" s="14"/>
      <c r="M12" s="27" t="s">
        <v>179</v>
      </c>
      <c r="N12" s="658">
        <f>ROUND(M8*M4,0)</f>
        <v>17170</v>
      </c>
      <c r="O12" s="19" t="s">
        <v>1467</v>
      </c>
      <c r="V12" s="13"/>
      <c r="W12" s="13"/>
      <c r="X12" s="13"/>
      <c r="Y12" s="14"/>
      <c r="Z12" s="13"/>
    </row>
    <row r="13" spans="1:26" x14ac:dyDescent="0.3">
      <c r="A13" s="38"/>
      <c r="B13" s="39"/>
      <c r="C13" s="36" t="s">
        <v>1510</v>
      </c>
      <c r="D13" s="36"/>
      <c r="E13" s="36"/>
      <c r="F13" s="36"/>
      <c r="G13" s="36"/>
      <c r="H13" s="36"/>
      <c r="I13" s="36"/>
      <c r="J13" s="40"/>
      <c r="K13" s="14"/>
      <c r="M13" s="26" t="s">
        <v>1468</v>
      </c>
      <c r="N13" t="s">
        <v>1469</v>
      </c>
      <c r="V13" s="13"/>
      <c r="W13" s="13"/>
      <c r="X13" s="13"/>
      <c r="Y13" s="14"/>
      <c r="Z13" s="13"/>
    </row>
    <row r="14" spans="1:26" ht="15.6" x14ac:dyDescent="0.35">
      <c r="A14" s="38"/>
      <c r="B14" s="39"/>
      <c r="C14" s="36" t="s">
        <v>1511</v>
      </c>
      <c r="D14" s="36"/>
      <c r="E14" s="36"/>
      <c r="F14" s="36"/>
      <c r="G14" s="36"/>
      <c r="H14" s="36"/>
      <c r="I14" s="36"/>
      <c r="J14" s="40"/>
      <c r="K14" s="14"/>
      <c r="M14" s="27" t="s">
        <v>179</v>
      </c>
      <c r="N14" s="658">
        <f>M8-N12</f>
        <v>83830</v>
      </c>
      <c r="O14" s="19" t="s">
        <v>1472</v>
      </c>
      <c r="V14" s="13"/>
      <c r="W14" s="13"/>
      <c r="X14" s="13"/>
      <c r="Y14" s="14"/>
      <c r="Z14" s="13"/>
    </row>
    <row r="15" spans="1:26" x14ac:dyDescent="0.3">
      <c r="A15" s="45"/>
      <c r="B15" s="36"/>
      <c r="C15" s="36"/>
      <c r="D15" s="36"/>
      <c r="E15" s="36"/>
      <c r="F15" s="36"/>
      <c r="G15" s="36"/>
      <c r="H15" s="36"/>
      <c r="I15" s="36"/>
      <c r="J15" s="40"/>
      <c r="K15" s="14"/>
      <c r="V15" s="13"/>
      <c r="W15" s="13"/>
      <c r="X15" s="13"/>
      <c r="Y15" s="14"/>
      <c r="Z15" s="13"/>
    </row>
    <row r="16" spans="1:26" x14ac:dyDescent="0.3">
      <c r="A16" s="45"/>
      <c r="B16" s="36"/>
      <c r="C16" s="333" t="s">
        <v>1470</v>
      </c>
      <c r="D16" s="48" t="s">
        <v>1471</v>
      </c>
      <c r="E16" s="96" t="s">
        <v>384</v>
      </c>
      <c r="F16" s="36"/>
      <c r="G16" s="36"/>
      <c r="H16" s="36"/>
      <c r="I16" s="36"/>
      <c r="J16" s="40"/>
      <c r="K16" s="14"/>
      <c r="L16" t="s">
        <v>1474</v>
      </c>
      <c r="V16" s="13"/>
      <c r="W16" s="13"/>
      <c r="X16" s="13"/>
      <c r="Y16" s="14"/>
      <c r="Z16" s="13"/>
    </row>
    <row r="17" spans="1:26" x14ac:dyDescent="0.3">
      <c r="A17" s="45"/>
      <c r="B17" s="36"/>
      <c r="C17" s="77">
        <v>1</v>
      </c>
      <c r="D17" s="20" t="s">
        <v>1232</v>
      </c>
      <c r="E17" s="362">
        <v>29000</v>
      </c>
      <c r="F17" s="36"/>
      <c r="G17" s="36"/>
      <c r="H17" s="36"/>
      <c r="I17" s="36"/>
      <c r="J17" s="40"/>
      <c r="K17" s="14"/>
      <c r="L17" s="26" t="s">
        <v>1475</v>
      </c>
      <c r="M17" s="653">
        <f>D30</f>
        <v>0.14000000000000001</v>
      </c>
      <c r="N17" s="19" t="s">
        <v>1476</v>
      </c>
      <c r="V17" s="13"/>
      <c r="W17" s="13"/>
      <c r="X17" s="13"/>
      <c r="Y17" s="14"/>
      <c r="Z17" s="13"/>
    </row>
    <row r="18" spans="1:26" x14ac:dyDescent="0.3">
      <c r="A18" s="45"/>
      <c r="B18" s="36"/>
      <c r="C18" s="77">
        <v>2</v>
      </c>
      <c r="D18" s="20" t="s">
        <v>1473</v>
      </c>
      <c r="E18" s="362">
        <v>30500</v>
      </c>
      <c r="F18" s="36"/>
      <c r="G18" s="36"/>
      <c r="H18" s="36"/>
      <c r="I18" s="36"/>
      <c r="J18" s="40"/>
      <c r="K18" s="14"/>
      <c r="L18" s="26" t="s">
        <v>1477</v>
      </c>
      <c r="M18" s="605">
        <f>D34</f>
        <v>28000</v>
      </c>
      <c r="N18" s="19" t="s">
        <v>1478</v>
      </c>
      <c r="V18" s="13"/>
      <c r="W18" s="13"/>
      <c r="X18" s="13"/>
      <c r="Y18" s="14"/>
      <c r="Z18" s="13"/>
    </row>
    <row r="19" spans="1:26" ht="15" customHeight="1" x14ac:dyDescent="0.3">
      <c r="A19" s="45"/>
      <c r="B19" s="36"/>
      <c r="C19" s="77">
        <v>3</v>
      </c>
      <c r="D19" s="20" t="s">
        <v>1232</v>
      </c>
      <c r="E19" s="362">
        <v>90000</v>
      </c>
      <c r="F19" s="36"/>
      <c r="G19" s="36"/>
      <c r="H19" s="36"/>
      <c r="I19" s="36"/>
      <c r="J19" s="40"/>
      <c r="K19" s="14"/>
      <c r="V19" s="13"/>
      <c r="W19" s="13"/>
      <c r="X19" s="13"/>
      <c r="Y19" s="14"/>
      <c r="Z19" s="13"/>
    </row>
    <row r="20" spans="1:26" x14ac:dyDescent="0.3">
      <c r="A20" s="45"/>
      <c r="B20" s="36"/>
      <c r="C20" s="77">
        <v>4</v>
      </c>
      <c r="D20" s="20" t="s">
        <v>1232</v>
      </c>
      <c r="E20" s="362">
        <v>1500</v>
      </c>
      <c r="F20" s="36"/>
      <c r="G20" s="36"/>
      <c r="H20" s="36"/>
      <c r="I20" s="36"/>
      <c r="J20" s="40"/>
      <c r="K20" s="14"/>
      <c r="L20" t="s">
        <v>1479</v>
      </c>
      <c r="V20" s="13"/>
      <c r="W20" s="13"/>
      <c r="X20" s="13"/>
      <c r="Y20" s="14"/>
      <c r="Z20" s="13"/>
    </row>
    <row r="21" spans="1:26" x14ac:dyDescent="0.3">
      <c r="A21" s="45"/>
      <c r="B21" s="36"/>
      <c r="C21" s="82">
        <v>5</v>
      </c>
      <c r="D21" s="22" t="s">
        <v>1473</v>
      </c>
      <c r="E21" s="518">
        <v>45000</v>
      </c>
      <c r="F21" s="36"/>
      <c r="G21" s="36"/>
      <c r="H21" s="36"/>
      <c r="I21" s="36"/>
      <c r="J21" s="40"/>
      <c r="K21" s="14"/>
      <c r="L21" t="s">
        <v>1480</v>
      </c>
      <c r="S21" s="13"/>
      <c r="T21" s="13"/>
      <c r="U21" s="13"/>
      <c r="V21" s="13"/>
      <c r="W21" s="13"/>
      <c r="X21" s="13"/>
      <c r="Y21" s="14"/>
      <c r="Z21" s="13"/>
    </row>
    <row r="22" spans="1:26" x14ac:dyDescent="0.3">
      <c r="A22" s="45"/>
      <c r="B22" s="36"/>
      <c r="C22" s="36"/>
      <c r="D22" s="36"/>
      <c r="E22" s="36"/>
      <c r="F22" s="36"/>
      <c r="G22" s="36"/>
      <c r="H22" s="36"/>
      <c r="I22" s="36"/>
      <c r="J22" s="40"/>
      <c r="K22" s="14"/>
      <c r="L22" t="s">
        <v>1482</v>
      </c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3">
      <c r="A23" s="35" t="s">
        <v>173</v>
      </c>
      <c r="B23" s="36"/>
      <c r="C23" s="36" t="s">
        <v>1481</v>
      </c>
      <c r="D23" s="36"/>
      <c r="E23" s="36"/>
      <c r="F23" s="36"/>
      <c r="G23" s="36"/>
      <c r="H23" s="36"/>
      <c r="I23" s="36"/>
      <c r="J23" s="40"/>
      <c r="K23" s="14"/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3">
      <c r="A24" s="45"/>
      <c r="B24" s="36"/>
      <c r="C24" s="36"/>
      <c r="D24" s="36"/>
      <c r="E24" s="36"/>
      <c r="F24" s="36"/>
      <c r="G24" s="36"/>
      <c r="H24" s="36"/>
      <c r="I24" s="36"/>
      <c r="J24" s="40"/>
      <c r="K24" s="14"/>
      <c r="O24" s="659" t="s">
        <v>566</v>
      </c>
      <c r="P24" s="659" t="s">
        <v>567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3">
      <c r="A25" s="45"/>
      <c r="B25" s="36"/>
      <c r="C25" s="333" t="s">
        <v>1483</v>
      </c>
      <c r="D25" s="48" t="s">
        <v>1175</v>
      </c>
      <c r="E25" s="96" t="s">
        <v>1484</v>
      </c>
      <c r="F25" s="36"/>
      <c r="G25" s="74" t="s">
        <v>1485</v>
      </c>
      <c r="H25" s="285"/>
      <c r="I25" s="75"/>
      <c r="J25" s="40"/>
      <c r="K25" s="14"/>
      <c r="L25" s="24" t="s">
        <v>1470</v>
      </c>
      <c r="M25" s="24" t="s">
        <v>1471</v>
      </c>
      <c r="N25" s="211" t="s">
        <v>384</v>
      </c>
      <c r="O25" s="24" t="s">
        <v>1486</v>
      </c>
      <c r="P25" s="87" t="s">
        <v>1487</v>
      </c>
      <c r="Q25" s="198" t="s">
        <v>1141</v>
      </c>
      <c r="V25" s="13"/>
      <c r="W25" s="13"/>
      <c r="X25" s="13"/>
      <c r="Y25" s="14"/>
      <c r="Z25" s="13"/>
    </row>
    <row r="26" spans="1:26" ht="15" customHeight="1" x14ac:dyDescent="0.3">
      <c r="A26" s="45"/>
      <c r="B26" s="36"/>
      <c r="C26" s="77">
        <v>7705</v>
      </c>
      <c r="D26" s="20">
        <v>2.02</v>
      </c>
      <c r="E26" s="337">
        <v>0.17</v>
      </c>
      <c r="F26" s="36"/>
      <c r="G26" s="660">
        <v>5250</v>
      </c>
      <c r="H26" s="285"/>
      <c r="I26" s="75"/>
      <c r="J26" s="40"/>
      <c r="K26" s="14"/>
      <c r="L26" s="58">
        <v>1</v>
      </c>
      <c r="M26" s="58" t="str">
        <f t="shared" ref="M26:N30" si="0">D17</f>
        <v>Indemnity</v>
      </c>
      <c r="N26" s="661">
        <f t="shared" si="0"/>
        <v>29000</v>
      </c>
      <c r="O26" s="563">
        <f>MIN($G$26,N26)*IF(M26="Medical",(1-70%),1)</f>
        <v>5250</v>
      </c>
      <c r="P26" s="564">
        <f>N26*IF(M26="Medical",(1-70%),1)-O26</f>
        <v>23750</v>
      </c>
      <c r="Q26" t="str">
        <f>"(1) = min("&amp;TEXT(G26,"$#,###")&amp;"; Loss). The result is reduced by 70% if Loss Type = Medical"</f>
        <v>(1) = min($5,250; Loss). The result is reduced by 70% if Loss Type = Medical</v>
      </c>
      <c r="V26" s="13"/>
      <c r="W26" s="13"/>
      <c r="X26" s="13"/>
      <c r="Y26" s="14"/>
      <c r="Z26" s="13"/>
    </row>
    <row r="27" spans="1:26" ht="15" customHeight="1" x14ac:dyDescent="0.3">
      <c r="A27" s="45"/>
      <c r="B27" s="36"/>
      <c r="C27" s="82">
        <v>7710</v>
      </c>
      <c r="D27" s="22">
        <v>1.41</v>
      </c>
      <c r="E27" s="185">
        <v>0.13</v>
      </c>
      <c r="F27" s="36"/>
      <c r="G27" s="36"/>
      <c r="H27" s="36"/>
      <c r="I27" s="36"/>
      <c r="J27" s="40"/>
      <c r="K27" s="14"/>
      <c r="L27" s="100">
        <v>2</v>
      </c>
      <c r="M27" s="100" t="str">
        <f t="shared" si="0"/>
        <v>Medical</v>
      </c>
      <c r="N27" s="14">
        <f t="shared" si="0"/>
        <v>30500</v>
      </c>
      <c r="O27" s="569">
        <f t="shared" ref="O27:O30" si="1">MIN($G$26,N27)*IF(M27="Medical",(1-70%),1)</f>
        <v>1575.0000000000002</v>
      </c>
      <c r="P27" s="570">
        <f t="shared" ref="P27:P30" si="2">N27*IF(M27="Medical",(1-70%),1)-O27</f>
        <v>7575.0000000000018</v>
      </c>
      <c r="Q27" t="s">
        <v>1488</v>
      </c>
      <c r="V27" s="13"/>
      <c r="W27" s="13"/>
      <c r="X27" s="13"/>
      <c r="Y27" s="14"/>
      <c r="Z27" s="13"/>
    </row>
    <row r="28" spans="1:26" ht="15" customHeight="1" x14ac:dyDescent="0.3">
      <c r="A28" s="45"/>
      <c r="B28" s="36"/>
      <c r="C28" s="36"/>
      <c r="D28" s="36"/>
      <c r="E28" s="36"/>
      <c r="F28" s="36"/>
      <c r="G28" s="36"/>
      <c r="H28" s="36"/>
      <c r="I28" s="36"/>
      <c r="J28" s="40"/>
      <c r="K28" s="14"/>
      <c r="L28" s="100">
        <v>3</v>
      </c>
      <c r="M28" s="100" t="str">
        <f t="shared" si="0"/>
        <v>Indemnity</v>
      </c>
      <c r="N28" s="14">
        <f t="shared" si="0"/>
        <v>90000</v>
      </c>
      <c r="O28" s="569">
        <f t="shared" si="1"/>
        <v>5250</v>
      </c>
      <c r="P28" s="570">
        <f t="shared" si="2"/>
        <v>84750</v>
      </c>
      <c r="S28" s="13"/>
      <c r="T28" s="13"/>
      <c r="U28" s="13"/>
      <c r="V28" s="13"/>
      <c r="W28" s="13"/>
      <c r="X28" s="13"/>
      <c r="Y28" s="14"/>
      <c r="Z28" s="13"/>
    </row>
    <row r="29" spans="1:26" x14ac:dyDescent="0.3">
      <c r="A29" s="45"/>
      <c r="B29" s="36"/>
      <c r="C29" s="48" t="s">
        <v>409</v>
      </c>
      <c r="D29" s="285" t="s">
        <v>1489</v>
      </c>
      <c r="E29" s="75"/>
      <c r="F29" s="36"/>
      <c r="G29" s="36"/>
      <c r="H29" s="36"/>
      <c r="I29" s="36"/>
      <c r="J29" s="40"/>
      <c r="K29" s="14"/>
      <c r="L29" s="100">
        <v>4</v>
      </c>
      <c r="M29" s="100" t="str">
        <f t="shared" si="0"/>
        <v>Indemnity</v>
      </c>
      <c r="N29" s="14">
        <f t="shared" si="0"/>
        <v>1500</v>
      </c>
      <c r="O29" s="569">
        <f t="shared" si="1"/>
        <v>1500</v>
      </c>
      <c r="P29" s="570">
        <f t="shared" si="2"/>
        <v>0</v>
      </c>
      <c r="S29" s="13"/>
      <c r="T29" s="13"/>
      <c r="U29" s="13"/>
      <c r="V29" s="13"/>
      <c r="W29" s="13"/>
      <c r="X29" s="13"/>
      <c r="Y29" s="14"/>
      <c r="Z29" s="13"/>
    </row>
    <row r="30" spans="1:26" x14ac:dyDescent="0.3">
      <c r="A30" s="45"/>
      <c r="B30" s="36"/>
      <c r="C30" s="20" t="s">
        <v>1490</v>
      </c>
      <c r="D30" s="73">
        <v>0.14000000000000001</v>
      </c>
      <c r="E30" s="662"/>
      <c r="F30" s="36"/>
      <c r="G30" s="36"/>
      <c r="H30" s="36"/>
      <c r="I30" s="36"/>
      <c r="J30" s="40"/>
      <c r="K30" s="14"/>
      <c r="L30" s="67">
        <v>5</v>
      </c>
      <c r="M30" s="67" t="str">
        <f t="shared" si="0"/>
        <v>Medical</v>
      </c>
      <c r="N30" s="240">
        <f t="shared" si="0"/>
        <v>45000</v>
      </c>
      <c r="O30" s="566">
        <f t="shared" si="1"/>
        <v>1575.0000000000002</v>
      </c>
      <c r="P30" s="567">
        <f t="shared" si="2"/>
        <v>11925.000000000002</v>
      </c>
      <c r="S30" s="13"/>
      <c r="T30" s="13"/>
      <c r="U30" s="13"/>
      <c r="V30" s="13"/>
      <c r="W30" s="13"/>
      <c r="X30" s="13"/>
      <c r="Y30" s="14"/>
      <c r="Z30" s="13"/>
    </row>
    <row r="31" spans="1:26" ht="15.6" x14ac:dyDescent="0.35">
      <c r="A31" s="45"/>
      <c r="B31" s="36"/>
      <c r="C31" s="22" t="s">
        <v>1491</v>
      </c>
      <c r="D31" s="663">
        <v>0.15</v>
      </c>
      <c r="E31" s="664"/>
      <c r="F31" s="36"/>
      <c r="G31" s="36"/>
      <c r="H31" s="36"/>
      <c r="I31" s="36"/>
      <c r="J31" s="40"/>
      <c r="K31" s="14"/>
      <c r="L31" s="24" t="s">
        <v>308</v>
      </c>
      <c r="M31" s="239"/>
      <c r="N31" s="665" t="s">
        <v>1492</v>
      </c>
      <c r="O31" s="666">
        <f>SUM(O26:O30)</f>
        <v>15150</v>
      </c>
      <c r="P31" s="667">
        <f>SUM(P26:P30)</f>
        <v>128000</v>
      </c>
      <c r="Q31" s="19" t="s">
        <v>1493</v>
      </c>
      <c r="S31" s="13"/>
      <c r="T31" s="13"/>
      <c r="U31" s="13"/>
      <c r="V31" s="13"/>
      <c r="W31" s="13"/>
      <c r="X31" s="13"/>
      <c r="Y31" s="14"/>
      <c r="Z31" s="13"/>
    </row>
    <row r="32" spans="1:26" x14ac:dyDescent="0.3">
      <c r="A32" s="45"/>
      <c r="B32" s="36"/>
      <c r="C32" s="36"/>
      <c r="D32" s="36"/>
      <c r="E32" s="36"/>
      <c r="F32" s="36"/>
      <c r="G32" s="36"/>
      <c r="H32" s="36"/>
      <c r="I32" s="36"/>
      <c r="J32" s="40"/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A33" s="45"/>
      <c r="B33" s="36"/>
      <c r="C33" s="48" t="s">
        <v>409</v>
      </c>
      <c r="D33" s="285" t="s">
        <v>1494</v>
      </c>
      <c r="E33" s="75"/>
      <c r="F33" s="36"/>
      <c r="G33" s="36"/>
      <c r="H33" s="36"/>
      <c r="I33" s="36"/>
      <c r="J33" s="40"/>
      <c r="K33" s="14"/>
      <c r="L33" t="s">
        <v>1496</v>
      </c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A34" s="45"/>
      <c r="B34" s="36"/>
      <c r="C34" s="20" t="s">
        <v>1495</v>
      </c>
      <c r="D34" s="496">
        <v>28000</v>
      </c>
      <c r="E34" s="662"/>
      <c r="F34" s="36"/>
      <c r="G34" s="36"/>
      <c r="H34" s="36"/>
      <c r="I34" s="36"/>
      <c r="J34" s="40"/>
      <c r="K34" s="14"/>
      <c r="L34" s="215"/>
      <c r="M34" s="216"/>
      <c r="N34" s="216"/>
      <c r="O34" s="216"/>
      <c r="P34" s="217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A35" s="45"/>
      <c r="B35" s="36"/>
      <c r="C35" s="22" t="s">
        <v>1497</v>
      </c>
      <c r="D35" s="668">
        <v>31500</v>
      </c>
      <c r="E35" s="664"/>
      <c r="F35" s="36"/>
      <c r="G35" s="36"/>
      <c r="H35" s="36"/>
      <c r="I35" s="36"/>
      <c r="J35" s="40"/>
      <c r="K35" s="14"/>
      <c r="L35" s="350"/>
      <c r="M35" s="341"/>
      <c r="N35" s="341"/>
      <c r="O35" s="341"/>
      <c r="P35" s="342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A36" s="45"/>
      <c r="B36" s="36"/>
      <c r="C36" s="36"/>
      <c r="D36" s="36"/>
      <c r="E36" s="36"/>
      <c r="F36" s="36"/>
      <c r="G36" s="36"/>
      <c r="H36" s="36"/>
      <c r="I36" s="36"/>
      <c r="J36" s="40"/>
      <c r="K36" s="14"/>
      <c r="L36" s="218"/>
      <c r="M36" s="219"/>
      <c r="N36" s="219"/>
      <c r="O36" s="219"/>
      <c r="P36" s="220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A37" s="45"/>
      <c r="B37" s="36"/>
      <c r="C37" s="419" t="s">
        <v>1498</v>
      </c>
      <c r="D37" s="420"/>
      <c r="E37" s="176">
        <v>7</v>
      </c>
      <c r="F37" s="36"/>
      <c r="G37" s="36"/>
      <c r="H37" s="36"/>
      <c r="I37" s="36"/>
      <c r="J37" s="40"/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A38" s="45"/>
      <c r="B38" s="36"/>
      <c r="C38" s="676" t="s">
        <v>1499</v>
      </c>
      <c r="D38" s="662"/>
      <c r="E38" s="362">
        <v>175500</v>
      </c>
      <c r="F38" s="36"/>
      <c r="G38" s="36"/>
      <c r="H38" s="36"/>
      <c r="I38" s="36"/>
      <c r="J38" s="40"/>
      <c r="K38" s="14"/>
      <c r="L38" t="s">
        <v>1501</v>
      </c>
      <c r="M38" t="str">
        <f>"("&amp;TEXT(O31,"#,###")&amp;" + (1 - "&amp;M17&amp;")*"&amp;TEXT(N14,"#,###")&amp;" + "&amp;TEXT(M18,"#,###")&amp;" + "&amp;M17&amp;"*"&amp;TEXT(P31,"#,###")&amp;") / ("&amp;TEXT(N12,"#,###")&amp;" + (1 - "&amp;M17&amp;")*"&amp;TEXT(N14,"#,###")&amp;" + "&amp;TEXT(M18,"#,###")&amp;" + "&amp;M17&amp;"*"&amp;TEXT(N14,"#,###")&amp;")"</f>
        <v>(15,150 + (1 - 0.14)*83,830 + 28,000 + 0.14*128,000) / (17,170 + (1 - 0.14)*83,830 + 28,000 + 0.14*83,830)</v>
      </c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38"/>
      <c r="B39" s="39"/>
      <c r="C39" s="677" t="s">
        <v>1500</v>
      </c>
      <c r="D39" s="664"/>
      <c r="E39" s="518">
        <v>351000</v>
      </c>
      <c r="F39" s="36"/>
      <c r="G39" s="36"/>
      <c r="H39" s="36"/>
      <c r="I39" s="36"/>
      <c r="J39" s="40"/>
      <c r="K39" s="14"/>
      <c r="L39" s="27" t="s">
        <v>1502</v>
      </c>
      <c r="M39" s="653">
        <f>ROUND((O31+(1-M17)*N14+M18+M17*P31)/(N12+(1-M17)*N14+M18+M17*N14),2)</f>
        <v>1.03</v>
      </c>
      <c r="N39" s="19" t="s">
        <v>1503</v>
      </c>
      <c r="S39" s="13"/>
      <c r="T39" s="13"/>
      <c r="U39" s="13"/>
      <c r="V39" s="13"/>
      <c r="W39" s="13"/>
      <c r="X39" s="13"/>
      <c r="Y39" s="14"/>
      <c r="Z39" s="13"/>
    </row>
    <row r="40" spans="1:26" ht="15" thickBot="1" x14ac:dyDescent="0.35">
      <c r="A40" s="53"/>
      <c r="B40" s="54"/>
      <c r="C40" s="54"/>
      <c r="D40" s="54"/>
      <c r="E40" s="54"/>
      <c r="F40" s="54"/>
      <c r="G40" s="54"/>
      <c r="H40" s="54"/>
      <c r="I40" s="54"/>
      <c r="J40" s="55"/>
      <c r="K40" s="14"/>
      <c r="O40" s="215"/>
      <c r="P40" s="216"/>
      <c r="Q40" s="216"/>
      <c r="R40" s="216"/>
      <c r="S40" s="669"/>
      <c r="T40" s="669"/>
      <c r="U40" s="670"/>
      <c r="V40" s="13"/>
      <c r="W40" s="13"/>
      <c r="X40" s="13"/>
      <c r="Y40" s="14"/>
      <c r="Z40" s="13"/>
    </row>
    <row r="41" spans="1:26" x14ac:dyDescent="0.3">
      <c r="K41" s="14"/>
      <c r="L41" t="s">
        <v>1504</v>
      </c>
      <c r="O41" s="350"/>
      <c r="P41" s="341"/>
      <c r="Q41" s="341"/>
      <c r="R41" s="341"/>
      <c r="S41" s="608"/>
      <c r="T41" s="608"/>
      <c r="U41" s="671"/>
      <c r="V41" s="13"/>
      <c r="W41" s="13"/>
      <c r="X41" s="13"/>
      <c r="Y41" s="14"/>
      <c r="Z41" s="13"/>
    </row>
    <row r="42" spans="1:26" x14ac:dyDescent="0.3">
      <c r="K42" s="14"/>
      <c r="O42" s="218"/>
      <c r="P42" s="219"/>
      <c r="Q42" s="219"/>
      <c r="R42" s="219"/>
      <c r="S42" s="672"/>
      <c r="T42" s="672"/>
      <c r="U42" s="673"/>
      <c r="V42" s="13"/>
      <c r="W42" s="13"/>
      <c r="X42" s="13"/>
      <c r="Y42" s="14"/>
      <c r="Z42" s="13"/>
    </row>
    <row r="43" spans="1:26" x14ac:dyDescent="0.3">
      <c r="K43" s="14"/>
      <c r="L43" s="26" t="s">
        <v>1505</v>
      </c>
      <c r="M43" t="str">
        <f>" 1.10 + 0.0004 * "&amp;TEXT(M8,"#,###")&amp; " / "&amp;E37&amp;")"</f>
        <v xml:space="preserve"> 1.10 + 0.0004 * 101,000 / 7)</v>
      </c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L44" s="27" t="s">
        <v>474</v>
      </c>
      <c r="M44" s="674">
        <f>ROUND(1.1+0.0004*(M8/E37),2)</f>
        <v>6.87</v>
      </c>
      <c r="W44" s="13"/>
      <c r="X44" s="13"/>
      <c r="Y44" s="14"/>
      <c r="Z44" s="13"/>
    </row>
    <row r="45" spans="1:26" x14ac:dyDescent="0.3">
      <c r="K45" s="14"/>
      <c r="W45" s="13"/>
      <c r="X45" s="13"/>
      <c r="Y45" s="14"/>
      <c r="Z45" s="13"/>
    </row>
    <row r="46" spans="1:26" x14ac:dyDescent="0.3">
      <c r="K46" s="14"/>
      <c r="L46" t="s">
        <v>1501</v>
      </c>
      <c r="M46" t="str">
        <f>"min("&amp;M39&amp;","&amp;M44&amp;")"</f>
        <v>min(1.03,6.87)</v>
      </c>
      <c r="W46" s="13"/>
      <c r="X46" s="13"/>
      <c r="Y46" s="14"/>
      <c r="Z46" s="13"/>
    </row>
    <row r="47" spans="1:26" x14ac:dyDescent="0.3">
      <c r="K47" s="14"/>
      <c r="L47" s="27" t="s">
        <v>474</v>
      </c>
      <c r="M47" s="675">
        <f>MIN(M39,M44)</f>
        <v>1.03</v>
      </c>
      <c r="N47" s="19" t="s">
        <v>1506</v>
      </c>
      <c r="W47" s="13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3">
      <c r="K49" s="14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3"/>
    </row>
    <row r="50" spans="1:26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</row>
    <row r="51" spans="1:26" x14ac:dyDescent="0.3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3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3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3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3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3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3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3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3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3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3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3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3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3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3">
      <c r="K65" s="14"/>
      <c r="Y65" s="14"/>
    </row>
    <row r="66" spans="11:25" x14ac:dyDescent="0.3">
      <c r="K66" s="14"/>
      <c r="Y66" s="14"/>
    </row>
    <row r="67" spans="11:25" x14ac:dyDescent="0.3">
      <c r="K67" s="14"/>
      <c r="Y67" s="14"/>
    </row>
    <row r="68" spans="11:25" x14ac:dyDescent="0.3">
      <c r="K68" s="14"/>
      <c r="Y68" s="14"/>
    </row>
    <row r="69" spans="11:25" x14ac:dyDescent="0.3">
      <c r="K69" s="14"/>
      <c r="Y69" s="14"/>
    </row>
    <row r="70" spans="11:25" x14ac:dyDescent="0.3">
      <c r="K70" s="14"/>
      <c r="Y70" s="14"/>
    </row>
    <row r="71" spans="11:25" x14ac:dyDescent="0.3">
      <c r="K71" s="14"/>
      <c r="Y71" s="14"/>
    </row>
    <row r="72" spans="11:25" x14ac:dyDescent="0.3">
      <c r="K72" s="14"/>
      <c r="Y72" s="14"/>
    </row>
    <row r="73" spans="11:25" x14ac:dyDescent="0.3">
      <c r="K73" s="14"/>
      <c r="Y73" s="14"/>
    </row>
    <row r="74" spans="11:25" x14ac:dyDescent="0.3">
      <c r="K74" s="14"/>
      <c r="Y74" s="14"/>
    </row>
    <row r="75" spans="11:25" x14ac:dyDescent="0.3">
      <c r="K75" s="14"/>
      <c r="Y75" s="14"/>
    </row>
    <row r="76" spans="11:25" x14ac:dyDescent="0.3">
      <c r="K76" s="14"/>
      <c r="Y76" s="14"/>
    </row>
    <row r="77" spans="11:25" x14ac:dyDescent="0.3">
      <c r="K77" s="14"/>
      <c r="Y77" s="14"/>
    </row>
    <row r="78" spans="11:25" x14ac:dyDescent="0.3">
      <c r="K78" s="14"/>
      <c r="Y78" s="14"/>
    </row>
    <row r="79" spans="11:25" x14ac:dyDescent="0.3">
      <c r="K79" s="14"/>
      <c r="Y79" s="14"/>
    </row>
    <row r="80" spans="11:25" x14ac:dyDescent="0.3">
      <c r="K80" s="14"/>
      <c r="Y80" s="14"/>
    </row>
    <row r="81" spans="11:25" x14ac:dyDescent="0.3">
      <c r="K81" s="14"/>
      <c r="Y81" s="14"/>
    </row>
    <row r="82" spans="11:25" x14ac:dyDescent="0.3">
      <c r="K82" s="14"/>
      <c r="Y82" s="14"/>
    </row>
    <row r="83" spans="11:25" x14ac:dyDescent="0.3">
      <c r="K83" s="14"/>
      <c r="Y83" s="14"/>
    </row>
    <row r="84" spans="11:25" x14ac:dyDescent="0.3">
      <c r="K84" s="14"/>
      <c r="Y84" s="14"/>
    </row>
    <row r="85" spans="11:25" x14ac:dyDescent="0.3">
      <c r="K85" s="14"/>
      <c r="Y85" s="14"/>
    </row>
    <row r="86" spans="11:25" x14ac:dyDescent="0.3">
      <c r="K86" s="14"/>
      <c r="Y86" s="14"/>
    </row>
    <row r="87" spans="11:25" x14ac:dyDescent="0.3">
      <c r="K87" s="14"/>
      <c r="Y87" s="14"/>
    </row>
    <row r="88" spans="11:25" x14ac:dyDescent="0.3">
      <c r="K88" s="14"/>
      <c r="Y88" s="14"/>
    </row>
    <row r="89" spans="11:25" x14ac:dyDescent="0.3">
      <c r="K89" s="14"/>
      <c r="Y89" s="14"/>
    </row>
    <row r="90" spans="11:25" x14ac:dyDescent="0.3">
      <c r="K90" s="14"/>
      <c r="Y90" s="14"/>
    </row>
    <row r="91" spans="11:25" x14ac:dyDescent="0.3">
      <c r="K91" s="14"/>
      <c r="Y91" s="14"/>
    </row>
    <row r="92" spans="11:25" x14ac:dyDescent="0.3">
      <c r="K92" s="14"/>
      <c r="Y92" s="14"/>
    </row>
    <row r="93" spans="11:25" x14ac:dyDescent="0.3">
      <c r="K93" s="14"/>
      <c r="Y93" s="14"/>
    </row>
    <row r="94" spans="11:25" x14ac:dyDescent="0.3">
      <c r="K94" s="14"/>
      <c r="Y94" s="14"/>
    </row>
    <row r="95" spans="11:25" x14ac:dyDescent="0.3">
      <c r="K95" s="14"/>
      <c r="Y95" s="14"/>
    </row>
    <row r="96" spans="11:25" x14ac:dyDescent="0.3">
      <c r="K96" s="14"/>
      <c r="Y96" s="14"/>
    </row>
    <row r="97" spans="1:25" x14ac:dyDescent="0.3">
      <c r="K97" s="14"/>
      <c r="Y97" s="14"/>
    </row>
    <row r="98" spans="1:25" x14ac:dyDescent="0.3">
      <c r="K98" s="14"/>
      <c r="Y98" s="14"/>
    </row>
    <row r="99" spans="1:25" x14ac:dyDescent="0.3">
      <c r="K99" s="14"/>
      <c r="Y99" s="14"/>
    </row>
    <row r="100" spans="1:25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x14ac:dyDescent="0.3">
      <c r="C101" s="13"/>
      <c r="D101" s="13"/>
      <c r="E101" s="13"/>
      <c r="F101" s="13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4"/>
    </row>
    <row r="102" spans="1:25" x14ac:dyDescent="0.3">
      <c r="C102" s="13"/>
      <c r="D102" s="13"/>
      <c r="E102" s="13"/>
      <c r="F102" s="13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x14ac:dyDescent="0.3">
      <c r="C103" s="13"/>
      <c r="D103" s="13"/>
      <c r="E103" s="13"/>
      <c r="F103" s="13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4"/>
    </row>
    <row r="104" spans="1:25" x14ac:dyDescent="0.3">
      <c r="K104" s="14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4"/>
    </row>
    <row r="105" spans="1:25" x14ac:dyDescent="0.3">
      <c r="K105" s="14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4"/>
    </row>
    <row r="106" spans="1:25" x14ac:dyDescent="0.3">
      <c r="K106" s="14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4"/>
    </row>
    <row r="107" spans="1:25" x14ac:dyDescent="0.3">
      <c r="K107" s="14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4"/>
    </row>
    <row r="108" spans="1:25" x14ac:dyDescent="0.3">
      <c r="K108" s="1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4"/>
    </row>
    <row r="109" spans="1:25" x14ac:dyDescent="0.3">
      <c r="K109" s="1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4"/>
    </row>
    <row r="110" spans="1:25" x14ac:dyDescent="0.3">
      <c r="K110" s="1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4"/>
    </row>
    <row r="111" spans="1:25" x14ac:dyDescent="0.3">
      <c r="K111" s="1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4"/>
    </row>
    <row r="112" spans="1:25" x14ac:dyDescent="0.3">
      <c r="K112" s="1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4"/>
    </row>
    <row r="113" spans="11:25" x14ac:dyDescent="0.3">
      <c r="K113" s="1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4"/>
    </row>
    <row r="114" spans="11:25" x14ac:dyDescent="0.3">
      <c r="K114" s="14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4"/>
    </row>
    <row r="115" spans="11:25" x14ac:dyDescent="0.3">
      <c r="K115" s="14"/>
      <c r="Y115" s="14"/>
    </row>
    <row r="116" spans="11:25" x14ac:dyDescent="0.3">
      <c r="K116" s="14"/>
      <c r="Y116" s="14"/>
    </row>
    <row r="117" spans="11:25" x14ac:dyDescent="0.3">
      <c r="K117" s="14"/>
      <c r="Y117" s="14"/>
    </row>
    <row r="118" spans="11:25" x14ac:dyDescent="0.3">
      <c r="K118" s="14"/>
      <c r="Y118" s="14"/>
    </row>
    <row r="119" spans="11:25" x14ac:dyDescent="0.3">
      <c r="K119" s="14"/>
      <c r="Y119" s="14"/>
    </row>
    <row r="120" spans="11:25" x14ac:dyDescent="0.3">
      <c r="K120" s="14"/>
      <c r="Y120" s="14"/>
    </row>
    <row r="121" spans="11:25" x14ac:dyDescent="0.3">
      <c r="K121" s="14"/>
      <c r="Y121" s="14"/>
    </row>
    <row r="122" spans="11:25" x14ac:dyDescent="0.3">
      <c r="K122" s="14"/>
      <c r="Y122" s="14"/>
    </row>
    <row r="123" spans="11:25" x14ac:dyDescent="0.3">
      <c r="K123" s="14"/>
      <c r="Y123" s="14"/>
    </row>
    <row r="124" spans="11:25" x14ac:dyDescent="0.3">
      <c r="K124" s="14"/>
      <c r="Y124" s="14"/>
    </row>
    <row r="125" spans="11:25" x14ac:dyDescent="0.3">
      <c r="K125" s="14"/>
      <c r="Y125" s="14"/>
    </row>
    <row r="126" spans="11:25" x14ac:dyDescent="0.3">
      <c r="K126" s="14"/>
      <c r="Y126" s="14"/>
    </row>
    <row r="127" spans="11:25" x14ac:dyDescent="0.3">
      <c r="K127" s="14"/>
      <c r="Y127" s="14"/>
    </row>
    <row r="128" spans="11:25" x14ac:dyDescent="0.3">
      <c r="K128" s="14"/>
      <c r="Y128" s="14"/>
    </row>
    <row r="129" spans="11:25" x14ac:dyDescent="0.3">
      <c r="K129" s="14"/>
      <c r="Y129" s="14"/>
    </row>
    <row r="130" spans="11:25" x14ac:dyDescent="0.3">
      <c r="K130" s="14"/>
      <c r="Y130" s="14"/>
    </row>
    <row r="131" spans="11:25" x14ac:dyDescent="0.3">
      <c r="K131" s="14"/>
      <c r="Y131" s="14"/>
    </row>
    <row r="132" spans="11:25" x14ac:dyDescent="0.3">
      <c r="K132" s="14"/>
      <c r="Y132" s="14"/>
    </row>
    <row r="133" spans="11:25" x14ac:dyDescent="0.3">
      <c r="K133" s="14"/>
      <c r="Y133" s="14"/>
    </row>
    <row r="134" spans="11:25" x14ac:dyDescent="0.3">
      <c r="K134" s="14"/>
      <c r="Y134" s="14"/>
    </row>
    <row r="135" spans="11:25" x14ac:dyDescent="0.3">
      <c r="K135" s="14"/>
      <c r="Y135" s="14"/>
    </row>
    <row r="136" spans="11:25" x14ac:dyDescent="0.3">
      <c r="K136" s="14"/>
      <c r="Y136" s="14"/>
    </row>
    <row r="137" spans="11:25" x14ac:dyDescent="0.3">
      <c r="K137" s="14"/>
      <c r="Y137" s="14"/>
    </row>
    <row r="138" spans="11:25" x14ac:dyDescent="0.3">
      <c r="K138" s="14"/>
      <c r="Y138" s="14"/>
    </row>
    <row r="139" spans="11:25" x14ac:dyDescent="0.3">
      <c r="K139" s="14"/>
      <c r="Y139" s="14"/>
    </row>
    <row r="140" spans="11:25" x14ac:dyDescent="0.3">
      <c r="K140" s="14"/>
      <c r="Y140" s="14"/>
    </row>
    <row r="141" spans="11:25" x14ac:dyDescent="0.3">
      <c r="K141" s="14"/>
      <c r="Y141" s="14"/>
    </row>
    <row r="142" spans="11:25" x14ac:dyDescent="0.3">
      <c r="K142" s="14"/>
      <c r="Y142" s="14"/>
    </row>
    <row r="143" spans="11:25" x14ac:dyDescent="0.3">
      <c r="K143" s="14"/>
      <c r="Y143" s="14"/>
    </row>
    <row r="144" spans="11:25" x14ac:dyDescent="0.3">
      <c r="K144" s="14"/>
      <c r="Y144" s="14"/>
    </row>
    <row r="145" spans="1:25" x14ac:dyDescent="0.3">
      <c r="K145" s="14"/>
      <c r="Y145" s="14"/>
    </row>
    <row r="146" spans="1:25" x14ac:dyDescent="0.3">
      <c r="K146" s="14"/>
      <c r="Y146" s="14"/>
    </row>
    <row r="147" spans="1:25" x14ac:dyDescent="0.3">
      <c r="K147" s="14"/>
      <c r="Y147" s="14"/>
    </row>
    <row r="148" spans="1:25" x14ac:dyDescent="0.3">
      <c r="K148" s="14"/>
      <c r="Y148" s="14"/>
    </row>
    <row r="149" spans="1:25" x14ac:dyDescent="0.3">
      <c r="K149" s="14"/>
      <c r="Y149" s="14"/>
    </row>
    <row r="150" spans="1:25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x14ac:dyDescent="0.3">
      <c r="K151" s="14"/>
      <c r="Y151" s="14"/>
    </row>
    <row r="152" spans="1:25" x14ac:dyDescent="0.3">
      <c r="K152" s="14"/>
      <c r="Y152" s="14"/>
    </row>
    <row r="153" spans="1:25" x14ac:dyDescent="0.3">
      <c r="K153" s="14"/>
      <c r="Y153" s="14"/>
    </row>
    <row r="154" spans="1:25" x14ac:dyDescent="0.3">
      <c r="K154" s="14"/>
      <c r="Y154" s="14"/>
    </row>
    <row r="155" spans="1:25" x14ac:dyDescent="0.3">
      <c r="K155" s="14"/>
      <c r="Y155" s="14"/>
    </row>
    <row r="156" spans="1:25" x14ac:dyDescent="0.3">
      <c r="K156" s="14"/>
      <c r="Y156" s="14"/>
    </row>
    <row r="157" spans="1:25" x14ac:dyDescent="0.3">
      <c r="K157" s="14"/>
      <c r="Y157" s="14"/>
    </row>
    <row r="158" spans="1:25" x14ac:dyDescent="0.3">
      <c r="K158" s="14"/>
      <c r="Y158" s="14"/>
    </row>
  </sheetData>
  <mergeCells count="1">
    <mergeCell ref="H1:J1"/>
  </mergeCells>
  <hyperlinks>
    <hyperlink ref="H1" location="TOC!A1" display="Return to TOC" xr:uid="{FE27C55B-4E61-4A33-B414-E690DE7F3D85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2BA-A8B3-4C73-BC43-20084ECE30BC}">
  <sheetPr codeName="Sheet37"/>
  <dimension ref="A1:AA11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6640625" customWidth="1"/>
    <col min="3" max="3" width="18.5546875" customWidth="1"/>
    <col min="4" max="4" width="20.5546875" customWidth="1"/>
    <col min="5" max="5" width="12.5546875" customWidth="1"/>
    <col min="6" max="6" width="14" customWidth="1"/>
    <col min="7" max="7" width="12.5546875" bestFit="1" customWidth="1"/>
    <col min="9" max="9" width="11.33203125" customWidth="1"/>
    <col min="10" max="10" width="9.109375" customWidth="1"/>
    <col min="11" max="11" width="6.33203125" customWidth="1"/>
    <col min="12" max="12" width="2.6640625" customWidth="1"/>
    <col min="13" max="13" width="5" customWidth="1"/>
    <col min="14" max="16" width="15.6640625" customWidth="1"/>
    <col min="17" max="17" width="16.109375" customWidth="1"/>
    <col min="18" max="18" width="14.6640625" customWidth="1"/>
    <col min="19" max="21" width="9.109375" customWidth="1"/>
    <col min="23" max="26" width="9" customWidth="1"/>
  </cols>
  <sheetData>
    <row r="1" spans="1:27" x14ac:dyDescent="0.3">
      <c r="A1" s="32" t="s">
        <v>137</v>
      </c>
      <c r="B1" s="33"/>
      <c r="C1" s="33" t="s">
        <v>134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1512</v>
      </c>
      <c r="D2" s="36"/>
      <c r="E2" s="36"/>
      <c r="F2" s="36"/>
      <c r="G2" s="36"/>
      <c r="H2" s="36"/>
      <c r="I2" s="36"/>
      <c r="J2" s="36"/>
      <c r="K2" s="37"/>
      <c r="L2" s="10"/>
      <c r="Z2" s="10"/>
    </row>
    <row r="3" spans="1:27" x14ac:dyDescent="0.3">
      <c r="A3" s="35" t="s">
        <v>141</v>
      </c>
      <c r="B3" s="36"/>
      <c r="C3" s="36" t="s">
        <v>1513</v>
      </c>
      <c r="D3" s="36"/>
      <c r="E3" s="36"/>
      <c r="F3" s="36"/>
      <c r="G3" s="36"/>
      <c r="H3" s="36"/>
      <c r="I3" s="36"/>
      <c r="J3" s="36"/>
      <c r="K3" s="37"/>
      <c r="L3" s="10"/>
      <c r="M3" t="s">
        <v>818</v>
      </c>
      <c r="N3" t="s">
        <v>1514</v>
      </c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N4" t="s">
        <v>1516</v>
      </c>
      <c r="W4" s="13"/>
      <c r="X4" s="13"/>
      <c r="Z4" s="14"/>
      <c r="AA4" s="13"/>
    </row>
    <row r="5" spans="1:27" ht="15" customHeight="1" x14ac:dyDescent="0.3">
      <c r="A5" s="41" t="s">
        <v>144</v>
      </c>
      <c r="B5" s="36"/>
      <c r="C5" s="36" t="s">
        <v>1515</v>
      </c>
      <c r="D5" s="36"/>
      <c r="E5" s="36"/>
      <c r="F5" s="36"/>
      <c r="G5" s="36"/>
      <c r="H5" s="36"/>
      <c r="I5" s="36"/>
      <c r="J5" s="36"/>
      <c r="K5" s="40"/>
      <c r="L5" s="14"/>
      <c r="N5" t="s">
        <v>1518</v>
      </c>
      <c r="W5" s="13"/>
      <c r="X5" s="13"/>
      <c r="Y5" s="13"/>
      <c r="Z5" s="14"/>
      <c r="AA5" s="13"/>
    </row>
    <row r="6" spans="1:27" x14ac:dyDescent="0.3">
      <c r="A6" s="45"/>
      <c r="B6" s="36"/>
      <c r="C6" s="36" t="s">
        <v>1517</v>
      </c>
      <c r="D6" s="36"/>
      <c r="E6" s="36"/>
      <c r="F6" s="36"/>
      <c r="G6" s="36"/>
      <c r="H6" s="36"/>
      <c r="I6" s="36"/>
      <c r="J6" s="36"/>
      <c r="K6" s="40"/>
      <c r="L6" s="14"/>
      <c r="N6" t="s">
        <v>1519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36" t="s">
        <v>1520</v>
      </c>
      <c r="D8" s="36"/>
      <c r="E8" s="36"/>
      <c r="F8" s="36"/>
      <c r="G8" s="36"/>
      <c r="H8" s="36"/>
      <c r="I8" s="36"/>
      <c r="J8" s="36"/>
      <c r="K8" s="40"/>
      <c r="L8" s="14"/>
      <c r="N8" t="s">
        <v>1522</v>
      </c>
      <c r="W8" s="13"/>
      <c r="X8" s="13"/>
      <c r="Y8" s="13"/>
      <c r="Z8" s="14"/>
      <c r="AA8" s="13"/>
    </row>
    <row r="9" spans="1:27" x14ac:dyDescent="0.3">
      <c r="A9" s="41"/>
      <c r="B9" s="39"/>
      <c r="C9" s="36" t="s">
        <v>1521</v>
      </c>
      <c r="D9" s="36"/>
      <c r="E9" s="36"/>
      <c r="F9" s="36"/>
      <c r="G9" s="36"/>
      <c r="H9" s="36"/>
      <c r="I9" s="36"/>
      <c r="J9" s="36"/>
      <c r="K9" s="40"/>
      <c r="L9" s="14"/>
      <c r="W9" s="13"/>
      <c r="X9" s="13"/>
      <c r="Y9" s="13"/>
      <c r="Z9" s="14"/>
      <c r="AA9" s="13"/>
    </row>
    <row r="10" spans="1:27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N10" t="s">
        <v>1526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637"/>
      <c r="D11" s="419" t="s">
        <v>1523</v>
      </c>
      <c r="E11" s="420"/>
      <c r="F11" s="419" t="s">
        <v>1524</v>
      </c>
      <c r="G11" s="420"/>
      <c r="H11" s="638" t="s">
        <v>1525</v>
      </c>
      <c r="I11" s="420"/>
      <c r="J11" s="36"/>
      <c r="K11" s="40"/>
      <c r="L11" s="14"/>
      <c r="N11" s="24" t="s">
        <v>1527</v>
      </c>
      <c r="O11" s="211" t="s">
        <v>1528</v>
      </c>
      <c r="P11" s="24" t="s">
        <v>1529</v>
      </c>
      <c r="W11" s="13"/>
      <c r="X11" s="13"/>
      <c r="Y11" s="13"/>
      <c r="Z11" s="14"/>
      <c r="AA11" s="13"/>
    </row>
    <row r="12" spans="1:27" x14ac:dyDescent="0.3">
      <c r="A12" s="38"/>
      <c r="B12" s="39"/>
      <c r="C12" s="82" t="s">
        <v>1527</v>
      </c>
      <c r="D12" s="48" t="s">
        <v>1528</v>
      </c>
      <c r="E12" s="48" t="s">
        <v>1529</v>
      </c>
      <c r="F12" s="48" t="s">
        <v>1528</v>
      </c>
      <c r="G12" s="48" t="s">
        <v>1529</v>
      </c>
      <c r="H12" s="48" t="s">
        <v>1528</v>
      </c>
      <c r="I12" s="48" t="s">
        <v>1529</v>
      </c>
      <c r="J12" s="36"/>
      <c r="K12" s="40"/>
      <c r="L12" s="14"/>
      <c r="N12" s="100" t="str">
        <f t="shared" ref="N12:N17" si="0">C13</f>
        <v>1991-1995</v>
      </c>
      <c r="O12" s="678">
        <f t="shared" ref="O12:P17" si="1">H13/D13</f>
        <v>1.4127815174935593E-5</v>
      </c>
      <c r="P12" s="679">
        <f t="shared" si="1"/>
        <v>9.626274065685164E-5</v>
      </c>
      <c r="W12" s="13"/>
      <c r="X12" s="13"/>
      <c r="Y12" s="13"/>
      <c r="Z12" s="14"/>
      <c r="AA12" s="13"/>
    </row>
    <row r="13" spans="1:27" x14ac:dyDescent="0.3">
      <c r="A13" s="38"/>
      <c r="B13" s="39"/>
      <c r="C13" s="80" t="s">
        <v>1530</v>
      </c>
      <c r="D13" s="143">
        <v>12033000</v>
      </c>
      <c r="E13" s="145">
        <v>1766000</v>
      </c>
      <c r="F13" s="143">
        <v>2329000</v>
      </c>
      <c r="G13" s="145">
        <v>1236000</v>
      </c>
      <c r="H13" s="143">
        <v>170</v>
      </c>
      <c r="I13" s="145">
        <v>170</v>
      </c>
      <c r="J13" s="36"/>
      <c r="K13" s="40"/>
      <c r="L13" s="14"/>
      <c r="N13" s="100" t="str">
        <f t="shared" si="0"/>
        <v>1996-2000</v>
      </c>
      <c r="O13" s="678">
        <f t="shared" si="1"/>
        <v>1.5204170286707211E-5</v>
      </c>
      <c r="P13" s="679">
        <f t="shared" si="1"/>
        <v>9.4557449147883446E-5</v>
      </c>
      <c r="W13" s="13"/>
      <c r="X13" s="13"/>
      <c r="Y13" s="13"/>
      <c r="Z13" s="14"/>
      <c r="AA13" s="13"/>
    </row>
    <row r="14" spans="1:27" x14ac:dyDescent="0.3">
      <c r="A14" s="38"/>
      <c r="B14" s="39"/>
      <c r="C14" s="77" t="s">
        <v>1531</v>
      </c>
      <c r="D14" s="144">
        <v>13812000</v>
      </c>
      <c r="E14" s="146">
        <v>1819000</v>
      </c>
      <c r="F14" s="144">
        <v>2762000</v>
      </c>
      <c r="G14" s="146">
        <v>1273000</v>
      </c>
      <c r="H14" s="144">
        <v>210</v>
      </c>
      <c r="I14" s="146">
        <v>172</v>
      </c>
      <c r="J14" s="36"/>
      <c r="K14" s="40"/>
      <c r="L14" s="14"/>
      <c r="N14" s="100" t="str">
        <f t="shared" si="0"/>
        <v>2001-2005</v>
      </c>
      <c r="O14" s="678">
        <f t="shared" si="1"/>
        <v>1.5016088666428317E-5</v>
      </c>
      <c r="P14" s="679">
        <f t="shared" si="1"/>
        <v>1.1479154768703597E-4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77" t="s">
        <v>1532</v>
      </c>
      <c r="D15" s="144">
        <v>13985000</v>
      </c>
      <c r="E15" s="146">
        <v>1751000</v>
      </c>
      <c r="F15" s="144">
        <v>2797000</v>
      </c>
      <c r="G15" s="146">
        <v>1506000</v>
      </c>
      <c r="H15" s="144">
        <v>210</v>
      </c>
      <c r="I15" s="146">
        <v>201</v>
      </c>
      <c r="J15" s="36"/>
      <c r="K15" s="40"/>
      <c r="L15" s="14"/>
      <c r="N15" s="100" t="str">
        <f t="shared" si="0"/>
        <v>2006-2010</v>
      </c>
      <c r="O15" s="678">
        <f t="shared" si="1"/>
        <v>1.459498905375821E-5</v>
      </c>
      <c r="P15" s="679">
        <f t="shared" si="1"/>
        <v>1.1403508771929824E-4</v>
      </c>
      <c r="W15" s="13"/>
      <c r="X15" s="13"/>
      <c r="Y15" s="13"/>
      <c r="Z15" s="14"/>
      <c r="AA15" s="13"/>
    </row>
    <row r="16" spans="1:27" x14ac:dyDescent="0.3">
      <c r="A16" s="45"/>
      <c r="B16" s="36"/>
      <c r="C16" s="77" t="s">
        <v>1533</v>
      </c>
      <c r="D16" s="144">
        <v>16444000</v>
      </c>
      <c r="E16" s="146">
        <v>1710000</v>
      </c>
      <c r="F16" s="144">
        <v>3288000</v>
      </c>
      <c r="G16" s="146">
        <v>1471000</v>
      </c>
      <c r="H16" s="144">
        <v>240</v>
      </c>
      <c r="I16" s="146">
        <v>195</v>
      </c>
      <c r="J16" s="36"/>
      <c r="K16" s="40"/>
      <c r="L16" s="14"/>
      <c r="N16" s="100" t="str">
        <f t="shared" si="0"/>
        <v>2011-2015</v>
      </c>
      <c r="O16" s="678">
        <f t="shared" si="1"/>
        <v>1.4280002284800366E-5</v>
      </c>
      <c r="P16" s="679">
        <f t="shared" si="1"/>
        <v>1.1835026897788404E-4</v>
      </c>
      <c r="W16" s="13"/>
      <c r="X16" s="13"/>
      <c r="Y16" s="13"/>
      <c r="Z16" s="14"/>
      <c r="AA16" s="13"/>
    </row>
    <row r="17" spans="1:27" x14ac:dyDescent="0.3">
      <c r="A17" s="45"/>
      <c r="B17" s="36"/>
      <c r="C17" s="82" t="s">
        <v>1534</v>
      </c>
      <c r="D17" s="147">
        <v>17507000</v>
      </c>
      <c r="E17" s="148">
        <v>1673000</v>
      </c>
      <c r="F17" s="147">
        <v>3350000</v>
      </c>
      <c r="G17" s="148">
        <v>1439000</v>
      </c>
      <c r="H17" s="147">
        <v>250</v>
      </c>
      <c r="I17" s="148">
        <v>198</v>
      </c>
      <c r="J17" s="36"/>
      <c r="K17" s="40"/>
      <c r="L17" s="14"/>
      <c r="N17" s="24" t="str">
        <f t="shared" si="0"/>
        <v>Total</v>
      </c>
      <c r="O17" s="680">
        <f t="shared" si="1"/>
        <v>1.4637914910342771E-5</v>
      </c>
      <c r="P17" s="681">
        <f t="shared" si="1"/>
        <v>1.0735176052299576E-4</v>
      </c>
      <c r="W17" s="13"/>
      <c r="X17" s="13"/>
      <c r="Y17" s="13"/>
      <c r="Z17" s="14"/>
      <c r="AA17" s="13"/>
    </row>
    <row r="18" spans="1:27" x14ac:dyDescent="0.3">
      <c r="A18" s="35" t="s">
        <v>173</v>
      </c>
      <c r="B18" s="36"/>
      <c r="C18" s="333" t="s">
        <v>308</v>
      </c>
      <c r="D18" s="504">
        <f>SUM(D13:D17)</f>
        <v>73781000</v>
      </c>
      <c r="E18" s="417">
        <f t="shared" ref="E18:I18" si="2">SUM(E13:E17)</f>
        <v>8719000</v>
      </c>
      <c r="F18" s="504">
        <f t="shared" si="2"/>
        <v>14526000</v>
      </c>
      <c r="G18" s="417">
        <f t="shared" si="2"/>
        <v>6925000</v>
      </c>
      <c r="H18" s="504">
        <f t="shared" si="2"/>
        <v>1080</v>
      </c>
      <c r="I18" s="417">
        <f t="shared" si="2"/>
        <v>936</v>
      </c>
      <c r="J18" s="36"/>
      <c r="K18" s="40"/>
      <c r="L18" s="14"/>
      <c r="W18" s="13"/>
      <c r="X18" s="13"/>
      <c r="Y18" s="13"/>
      <c r="Z18" s="14"/>
      <c r="AA18" s="13"/>
    </row>
    <row r="19" spans="1:27" ht="15" customHeight="1" x14ac:dyDescent="0.3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N19" t="s">
        <v>1536</v>
      </c>
      <c r="W19" s="13"/>
      <c r="X19" s="13"/>
      <c r="Y19" s="13"/>
      <c r="Z19" s="14"/>
      <c r="AA19" s="13"/>
    </row>
    <row r="20" spans="1:27" x14ac:dyDescent="0.3">
      <c r="A20" s="45"/>
      <c r="B20" s="36" t="s">
        <v>818</v>
      </c>
      <c r="C20" s="84" t="s">
        <v>1535</v>
      </c>
      <c r="D20" s="36"/>
      <c r="E20" s="36"/>
      <c r="F20" s="36"/>
      <c r="G20" s="36"/>
      <c r="H20" s="36"/>
      <c r="I20" s="36"/>
      <c r="J20" s="36"/>
      <c r="K20" s="40"/>
      <c r="L20" s="14"/>
      <c r="N20" t="s">
        <v>1538</v>
      </c>
      <c r="W20" s="13"/>
      <c r="X20" s="13"/>
      <c r="Y20" s="13"/>
      <c r="Z20" s="14"/>
      <c r="AA20" s="13"/>
    </row>
    <row r="21" spans="1:27" x14ac:dyDescent="0.3">
      <c r="A21" s="45"/>
      <c r="B21" s="36"/>
      <c r="C21" s="36" t="s">
        <v>1537</v>
      </c>
      <c r="D21" s="36"/>
      <c r="E21" s="36"/>
      <c r="F21" s="36"/>
      <c r="G21" s="36"/>
      <c r="H21" s="36"/>
      <c r="I21" s="36"/>
      <c r="J21" s="36"/>
      <c r="K21" s="40"/>
      <c r="L21" s="14"/>
      <c r="N21" t="s">
        <v>1539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3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s="687" t="s">
        <v>1556</v>
      </c>
      <c r="O22" s="634" t="s">
        <v>1541</v>
      </c>
      <c r="P22" s="635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A23" s="45"/>
      <c r="B23" s="36"/>
      <c r="C23" s="84" t="s">
        <v>1540</v>
      </c>
      <c r="D23" s="36"/>
      <c r="E23" s="36"/>
      <c r="F23" s="36"/>
      <c r="G23" s="36"/>
      <c r="H23" s="36"/>
      <c r="I23" s="36"/>
      <c r="J23" s="36"/>
      <c r="K23" s="40"/>
      <c r="L23" s="14"/>
      <c r="N23" s="688" t="s">
        <v>1270</v>
      </c>
      <c r="O23" s="24" t="s">
        <v>1542</v>
      </c>
      <c r="P23" s="24" t="s">
        <v>1529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A24" s="45"/>
      <c r="B24" s="36"/>
      <c r="C24" s="36"/>
      <c r="D24" s="36"/>
      <c r="E24" s="36"/>
      <c r="F24" s="36"/>
      <c r="G24" s="36"/>
      <c r="H24" s="36"/>
      <c r="I24" s="36"/>
      <c r="J24" s="36"/>
      <c r="K24" s="40"/>
      <c r="L24" s="14"/>
      <c r="N24" s="58" t="str">
        <f t="shared" ref="N24:N29" si="3">N12</f>
        <v>1991-1995</v>
      </c>
      <c r="O24" s="682">
        <f t="shared" ref="O24:P28" si="4">ROUND(O$17*D13,1)</f>
        <v>176.1</v>
      </c>
      <c r="P24" s="683">
        <f t="shared" si="4"/>
        <v>189.6</v>
      </c>
      <c r="Q24" t="s">
        <v>1545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A25" s="45"/>
      <c r="B25" s="36"/>
      <c r="C25" s="48" t="s">
        <v>1543</v>
      </c>
      <c r="D25" s="96" t="s">
        <v>1544</v>
      </c>
      <c r="E25" s="36"/>
      <c r="F25" s="36"/>
      <c r="G25" s="36"/>
      <c r="H25" s="36"/>
      <c r="I25" s="36"/>
      <c r="J25" s="36"/>
      <c r="K25" s="40"/>
      <c r="L25" s="14"/>
      <c r="N25" s="100" t="str">
        <f t="shared" si="3"/>
        <v>1996-2000</v>
      </c>
      <c r="O25" s="381">
        <f t="shared" si="4"/>
        <v>202.2</v>
      </c>
      <c r="P25" s="684">
        <f t="shared" si="4"/>
        <v>195.3</v>
      </c>
      <c r="Q25" t="s">
        <v>1546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A26" s="45"/>
      <c r="B26" s="36"/>
      <c r="C26" s="20">
        <v>1</v>
      </c>
      <c r="D26" s="337">
        <v>2.706</v>
      </c>
      <c r="E26" s="36"/>
      <c r="F26" s="36"/>
      <c r="G26" s="36"/>
      <c r="H26" s="36"/>
      <c r="I26" s="36"/>
      <c r="J26" s="36"/>
      <c r="K26" s="40"/>
      <c r="L26" s="14"/>
      <c r="N26" s="100" t="str">
        <f t="shared" si="3"/>
        <v>2001-2005</v>
      </c>
      <c r="O26" s="381">
        <f t="shared" si="4"/>
        <v>204.7</v>
      </c>
      <c r="P26" s="684">
        <f t="shared" si="4"/>
        <v>188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A27" s="45"/>
      <c r="B27" s="36"/>
      <c r="C27" s="20">
        <v>2</v>
      </c>
      <c r="D27" s="337">
        <v>4.6050000000000004</v>
      </c>
      <c r="E27" s="36"/>
      <c r="F27" s="36"/>
      <c r="G27" s="36"/>
      <c r="H27" s="36"/>
      <c r="I27" s="36"/>
      <c r="J27" s="36"/>
      <c r="K27" s="40"/>
      <c r="L27" s="14"/>
      <c r="N27" s="100" t="str">
        <f t="shared" si="3"/>
        <v>2006-2010</v>
      </c>
      <c r="O27" s="381">
        <f t="shared" si="4"/>
        <v>240.7</v>
      </c>
      <c r="P27" s="684">
        <f t="shared" si="4"/>
        <v>183.6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A28" s="45"/>
      <c r="B28" s="36"/>
      <c r="C28" s="20">
        <v>3</v>
      </c>
      <c r="D28" s="337">
        <v>6.2510000000000003</v>
      </c>
      <c r="E28" s="36"/>
      <c r="F28" s="36"/>
      <c r="G28" s="36"/>
      <c r="H28" s="36"/>
      <c r="I28" s="36"/>
      <c r="J28" s="36"/>
      <c r="K28" s="40"/>
      <c r="L28" s="14"/>
      <c r="N28" s="67" t="str">
        <f t="shared" si="3"/>
        <v>2011-2015</v>
      </c>
      <c r="O28" s="383">
        <f t="shared" si="4"/>
        <v>256.3</v>
      </c>
      <c r="P28" s="684">
        <f t="shared" si="4"/>
        <v>179.6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A29" s="45"/>
      <c r="B29" s="36"/>
      <c r="C29" s="20">
        <v>4</v>
      </c>
      <c r="D29" s="337">
        <v>7.7789999999999999</v>
      </c>
      <c r="E29" s="36"/>
      <c r="F29" s="36"/>
      <c r="G29" s="36"/>
      <c r="H29" s="36"/>
      <c r="I29" s="36"/>
      <c r="J29" s="36"/>
      <c r="K29" s="40"/>
      <c r="L29" s="14"/>
      <c r="N29" s="65" t="str">
        <f t="shared" si="3"/>
        <v>Total</v>
      </c>
      <c r="O29" s="685">
        <f>ROUND(O$17*D18,0)</f>
        <v>1080</v>
      </c>
      <c r="P29" s="685">
        <f>P$17*E18</f>
        <v>936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A30" s="45"/>
      <c r="B30" s="36"/>
      <c r="C30" s="20">
        <v>5</v>
      </c>
      <c r="D30" s="337">
        <v>9.2360000000000007</v>
      </c>
      <c r="E30" s="36"/>
      <c r="F30" s="36"/>
      <c r="G30" s="36"/>
      <c r="H30" s="36"/>
      <c r="I30" s="36"/>
      <c r="J30" s="36"/>
      <c r="K30" s="40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A31" s="45"/>
      <c r="B31" s="36"/>
      <c r="C31" s="22">
        <v>6</v>
      </c>
      <c r="D31" s="185">
        <v>10.645</v>
      </c>
      <c r="E31" s="36"/>
      <c r="F31" s="36"/>
      <c r="G31" s="36"/>
      <c r="H31" s="36"/>
      <c r="I31" s="36"/>
      <c r="J31" s="36"/>
      <c r="K31" s="40"/>
      <c r="L31" s="14"/>
      <c r="N31" t="s">
        <v>1547</v>
      </c>
      <c r="T31" s="13"/>
      <c r="U31" s="13"/>
      <c r="V31" s="13"/>
      <c r="W31" s="13"/>
      <c r="X31" s="13"/>
      <c r="Y31" s="13"/>
      <c r="Z31" s="14"/>
      <c r="AA31" s="13"/>
    </row>
    <row r="32" spans="1:27" ht="15" thickBot="1" x14ac:dyDescent="0.3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85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N33" t="s">
        <v>1548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N34" s="26" t="s">
        <v>1549</v>
      </c>
      <c r="O34" t="str">
        <f>"("&amp;H13&amp;" - "&amp;O24&amp;")^2 / "&amp;O24 &amp;" + ("&amp;H14&amp;" - "&amp;O25&amp;")^2 / "&amp;O25 &amp;" + ("&amp;H15&amp;" - "&amp;O26&amp;")^2 / "&amp;O26 &amp;" + ("&amp;H16&amp;" - "&amp;O27&amp;")^2 / "&amp;O27 &amp;" + ("&amp;H17&amp;" - "&amp;O28&amp;")^2 / "&amp;O28</f>
        <v>(170 - 176.1)^2 / 176.1 + (210 - 202.2)^2 / 202.2 + (210 - 204.7)^2 / 204.7 + (240 - 240.7)^2 / 240.7 + (250 - 256.3)^2 / 256.3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N35" s="27" t="s">
        <v>179</v>
      </c>
      <c r="O35" s="357">
        <f>(H13-O24)^2/O24+(H14-O25)^2/O25+(H15-O26)^2/O26+(H16-O27)^2/O27+(H17-O28)^2/O28</f>
        <v>0.80630913072402166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O36" s="686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N37" s="26" t="s">
        <v>1550</v>
      </c>
      <c r="O37" s="686" t="str">
        <f>"("&amp;I13&amp;" - "&amp;P24&amp;")^2 / "&amp;P24 &amp;" + ("&amp;I14&amp;" - "&amp;P25&amp;")^2 / "&amp;P25 &amp;" + ("&amp;I15&amp;" - "&amp;P26&amp;")^2 / "&amp;P26 &amp;" + ("&amp;I16&amp;" - "&amp;P27&amp;")^2 / "&amp;P27 &amp;" + ("&amp;I17&amp;" - "&amp;P28&amp;")^2 / "&amp;P28</f>
        <v>(170 - 189.6)^2 / 189.6 + (172 - 195.3)^2 / 195.3 + (201 - 188)^2 / 188 + (195 - 183.6)^2 / 183.6 + (198 - 179.6)^2 / 179.6</v>
      </c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N38" s="27" t="s">
        <v>179</v>
      </c>
      <c r="O38" s="357">
        <f>(I13-P24)^2/P24+(I14-P25)^2/P25+(I15-P26)^2/P26+(I16-P27)^2/P27+(I17-P28)^2/P28</f>
        <v>8.2977923016037991</v>
      </c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N40" t="s">
        <v>1551</v>
      </c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N41" t="s">
        <v>1552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N43" t="s">
        <v>1553</v>
      </c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N45" t="s">
        <v>1554</v>
      </c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N47" t="s">
        <v>1555</v>
      </c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L49" s="14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L100" s="14"/>
      <c r="Z100" s="14"/>
    </row>
    <row r="101" spans="1:26" x14ac:dyDescent="0.3">
      <c r="L101" s="14"/>
      <c r="Z101" s="14"/>
    </row>
    <row r="102" spans="1:26" x14ac:dyDescent="0.3">
      <c r="L102" s="14"/>
      <c r="Z102" s="14"/>
    </row>
    <row r="103" spans="1:26" x14ac:dyDescent="0.3">
      <c r="L103" s="14"/>
      <c r="Z103" s="14"/>
    </row>
    <row r="104" spans="1:26" x14ac:dyDescent="0.3">
      <c r="L104" s="14"/>
      <c r="Z104" s="14"/>
    </row>
    <row r="105" spans="1:26" x14ac:dyDescent="0.3">
      <c r="L105" s="14"/>
      <c r="Z105" s="14"/>
    </row>
    <row r="106" spans="1:26" x14ac:dyDescent="0.3">
      <c r="L106" s="14"/>
      <c r="Z106" s="14"/>
    </row>
    <row r="107" spans="1:26" x14ac:dyDescent="0.3">
      <c r="L107" s="14"/>
      <c r="Z107" s="14"/>
    </row>
    <row r="108" spans="1:26" x14ac:dyDescent="0.3">
      <c r="L108" s="14"/>
      <c r="Z108" s="14"/>
    </row>
    <row r="109" spans="1:26" x14ac:dyDescent="0.3">
      <c r="L109" s="14"/>
      <c r="Z109" s="14"/>
    </row>
    <row r="110" spans="1:26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3">
      <c r="L111" s="14"/>
      <c r="Z111" s="14"/>
    </row>
    <row r="112" spans="1:26" x14ac:dyDescent="0.3">
      <c r="L112" s="14"/>
      <c r="Z112" s="14"/>
    </row>
    <row r="113" spans="12:26" x14ac:dyDescent="0.3">
      <c r="L113" s="14"/>
      <c r="Z113" s="14"/>
    </row>
    <row r="114" spans="12:26" x14ac:dyDescent="0.3">
      <c r="L114" s="14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</sheetData>
  <mergeCells count="1">
    <mergeCell ref="J1:K1"/>
  </mergeCells>
  <hyperlinks>
    <hyperlink ref="J1" location="TOC!A1" display="Return to TOC" xr:uid="{EFE8B330-0A27-448A-90BD-2BFF099115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AB19-0110-4F25-AECF-13D404610E3A}">
  <sheetPr codeName="Sheet77"/>
  <dimension ref="A1:AA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0.44140625" customWidth="1"/>
    <col min="4" max="4" width="10.109375" customWidth="1"/>
    <col min="5" max="5" width="17.6640625" customWidth="1"/>
    <col min="6" max="6" width="12.33203125" customWidth="1"/>
    <col min="7" max="7" width="12.5546875" bestFit="1" customWidth="1"/>
    <col min="9" max="10" width="9.109375" customWidth="1"/>
    <col min="11" max="11" width="14.44140625" customWidth="1"/>
    <col min="12" max="12" width="2.6640625" customWidth="1"/>
    <col min="13" max="14" width="9.33203125" customWidth="1"/>
    <col min="15" max="15" width="10.109375" customWidth="1"/>
    <col min="16" max="16" width="9.33203125" customWidth="1"/>
    <col min="17" max="17" width="10.6640625" customWidth="1"/>
    <col min="18" max="18" width="8.109375" customWidth="1"/>
    <col min="19" max="19" width="9.33203125" customWidth="1"/>
    <col min="20" max="21" width="9.109375" customWidth="1"/>
    <col min="23" max="23" width="9.109375" customWidth="1"/>
    <col min="25" max="25" width="13" customWidth="1"/>
  </cols>
  <sheetData>
    <row r="1" spans="1:27" x14ac:dyDescent="0.3">
      <c r="A1" s="32" t="s">
        <v>137</v>
      </c>
      <c r="B1" s="33"/>
      <c r="C1" s="33" t="s">
        <v>29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6"/>
      <c r="K2" s="37"/>
      <c r="L2" s="10"/>
      <c r="M2" s="26" t="s">
        <v>174</v>
      </c>
      <c r="N2" t="s">
        <v>243</v>
      </c>
      <c r="Z2" s="10"/>
    </row>
    <row r="3" spans="1:27" x14ac:dyDescent="0.3">
      <c r="A3" s="35" t="s">
        <v>141</v>
      </c>
      <c r="B3" s="36"/>
      <c r="C3" s="36" t="s">
        <v>242</v>
      </c>
      <c r="D3" s="36"/>
      <c r="E3" s="36"/>
      <c r="F3" s="36"/>
      <c r="G3" s="36"/>
      <c r="H3" s="36"/>
      <c r="I3" s="36"/>
      <c r="J3" s="36"/>
      <c r="K3" s="37"/>
      <c r="L3" s="10"/>
      <c r="N3" t="s">
        <v>244</v>
      </c>
      <c r="O3" t="s">
        <v>245</v>
      </c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O4" t="s">
        <v>247</v>
      </c>
      <c r="W4" s="13"/>
      <c r="X4" s="13"/>
      <c r="Y4" s="13"/>
      <c r="Z4" s="14"/>
      <c r="AA4" s="13"/>
    </row>
    <row r="5" spans="1:27" ht="15" customHeight="1" x14ac:dyDescent="0.3">
      <c r="A5" s="41" t="s">
        <v>144</v>
      </c>
      <c r="B5" s="36"/>
      <c r="C5" s="36" t="s">
        <v>246</v>
      </c>
      <c r="D5" s="36"/>
      <c r="E5" s="36"/>
      <c r="F5" s="36"/>
      <c r="G5" s="36"/>
      <c r="H5" s="36"/>
      <c r="I5" s="36"/>
      <c r="J5" s="36"/>
      <c r="K5" s="40"/>
      <c r="L5" s="14"/>
      <c r="O5" s="86" t="s">
        <v>248</v>
      </c>
      <c r="P5" s="24" t="s">
        <v>249</v>
      </c>
      <c r="Q5" s="87" t="s">
        <v>250</v>
      </c>
      <c r="W5" s="13"/>
      <c r="X5" s="13"/>
      <c r="Y5" s="13"/>
      <c r="Z5" s="14"/>
      <c r="AA5" s="13"/>
    </row>
    <row r="6" spans="1:27" x14ac:dyDescent="0.3">
      <c r="A6" s="45"/>
      <c r="B6" s="36"/>
      <c r="C6" s="36"/>
      <c r="D6" s="36"/>
      <c r="E6" s="36"/>
      <c r="F6" s="36"/>
      <c r="G6" s="36"/>
      <c r="H6" s="36"/>
      <c r="I6" s="36"/>
      <c r="J6" s="36"/>
      <c r="K6" s="40"/>
      <c r="L6" s="14"/>
      <c r="O6" s="88">
        <v>500</v>
      </c>
      <c r="P6" s="89">
        <v>1</v>
      </c>
      <c r="Q6" s="90">
        <f>LN(P6)</f>
        <v>0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48" t="s">
        <v>248</v>
      </c>
      <c r="D7" s="96" t="s">
        <v>249</v>
      </c>
      <c r="E7" s="36"/>
      <c r="F7" s="36"/>
      <c r="G7" s="36"/>
      <c r="H7" s="36"/>
      <c r="I7" s="36"/>
      <c r="J7" s="36"/>
      <c r="K7" s="40"/>
      <c r="L7" s="14"/>
      <c r="O7" s="88">
        <v>1000</v>
      </c>
      <c r="P7" s="89">
        <v>0.9</v>
      </c>
      <c r="Q7" s="90">
        <f t="shared" ref="Q7:Q8" si="0">LN(P7)</f>
        <v>-0.10536051565782628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97">
        <v>500</v>
      </c>
      <c r="D8" s="91">
        <v>1</v>
      </c>
      <c r="E8" s="44" t="s">
        <v>251</v>
      </c>
      <c r="F8" s="36"/>
      <c r="G8" s="36"/>
      <c r="H8" s="36"/>
      <c r="I8" s="36"/>
      <c r="J8" s="36"/>
      <c r="K8" s="40"/>
      <c r="L8" s="14"/>
      <c r="O8" s="92">
        <v>1500</v>
      </c>
      <c r="P8" s="93">
        <v>0.83</v>
      </c>
      <c r="Q8" s="94">
        <f t="shared" si="0"/>
        <v>-0.18632957819149348</v>
      </c>
      <c r="W8" s="13"/>
      <c r="X8" s="13"/>
      <c r="Y8" s="13"/>
      <c r="Z8" s="14"/>
      <c r="AA8" s="13"/>
    </row>
    <row r="9" spans="1:27" x14ac:dyDescent="0.3">
      <c r="A9" s="41"/>
      <c r="B9" s="39"/>
      <c r="C9" s="97">
        <v>1000</v>
      </c>
      <c r="D9" s="91">
        <v>0.9</v>
      </c>
      <c r="E9" s="36"/>
      <c r="F9" s="36"/>
      <c r="G9" s="36"/>
      <c r="H9" s="36"/>
      <c r="I9" s="36"/>
      <c r="J9" s="36"/>
      <c r="K9" s="40"/>
      <c r="L9" s="14"/>
      <c r="W9" s="13"/>
      <c r="X9" s="13"/>
      <c r="Y9" s="13"/>
      <c r="Z9" s="14"/>
      <c r="AA9" s="13"/>
    </row>
    <row r="10" spans="1:27" x14ac:dyDescent="0.3">
      <c r="A10" s="38"/>
      <c r="B10" s="39"/>
      <c r="C10" s="98">
        <v>1500</v>
      </c>
      <c r="D10" s="95">
        <v>0.83</v>
      </c>
      <c r="E10" s="36"/>
      <c r="F10" s="36"/>
      <c r="G10" s="36"/>
      <c r="H10" s="36"/>
      <c r="I10" s="36"/>
      <c r="J10" s="36"/>
      <c r="K10" s="40"/>
      <c r="L10" s="14"/>
      <c r="N10" t="s">
        <v>252</v>
      </c>
      <c r="O10" t="s">
        <v>253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36"/>
      <c r="D11" s="36"/>
      <c r="E11" s="36"/>
      <c r="F11" s="36"/>
      <c r="G11" s="36"/>
      <c r="H11" s="36"/>
      <c r="I11" s="36"/>
      <c r="J11" s="36"/>
      <c r="K11" s="40"/>
      <c r="L11" s="14"/>
      <c r="W11" s="13"/>
      <c r="X11" s="13"/>
      <c r="Y11" s="13"/>
      <c r="Z11" s="14"/>
      <c r="AA11" s="13"/>
    </row>
    <row r="12" spans="1:27" x14ac:dyDescent="0.3">
      <c r="A12" s="38"/>
      <c r="B12" s="39"/>
      <c r="C12" s="36" t="s">
        <v>254</v>
      </c>
      <c r="D12" s="36"/>
      <c r="E12" s="36"/>
      <c r="F12" s="36"/>
      <c r="G12" s="36"/>
      <c r="H12" s="36"/>
      <c r="I12" s="36"/>
      <c r="J12" s="36"/>
      <c r="K12" s="40"/>
      <c r="L12" s="14"/>
      <c r="O12" t="s">
        <v>255</v>
      </c>
      <c r="W12" s="13"/>
      <c r="X12" s="13"/>
      <c r="Y12" s="13"/>
      <c r="Z12" s="14"/>
      <c r="AA12" s="13"/>
    </row>
    <row r="13" spans="1:27" x14ac:dyDescent="0.3">
      <c r="A13" s="38"/>
      <c r="B13" s="36"/>
      <c r="C13" s="36"/>
      <c r="D13" s="36"/>
      <c r="E13" s="36"/>
      <c r="F13" s="36"/>
      <c r="G13" s="36"/>
      <c r="H13" s="36"/>
      <c r="I13" s="36"/>
      <c r="J13" s="36"/>
      <c r="K13" s="40"/>
      <c r="L13" s="14"/>
      <c r="W13" s="13"/>
      <c r="X13" s="13"/>
      <c r="Y13" s="13"/>
      <c r="Z13" s="14"/>
      <c r="AA13" s="13"/>
    </row>
    <row r="14" spans="1:27" x14ac:dyDescent="0.3">
      <c r="A14" s="35" t="s">
        <v>173</v>
      </c>
      <c r="B14" s="39" t="s">
        <v>174</v>
      </c>
      <c r="C14" s="36" t="s">
        <v>256</v>
      </c>
      <c r="D14" s="36"/>
      <c r="E14" s="36"/>
      <c r="F14" s="36"/>
      <c r="G14" s="36"/>
      <c r="H14" s="36"/>
      <c r="I14" s="36"/>
      <c r="J14" s="36"/>
      <c r="K14" s="40"/>
      <c r="L14" s="14"/>
      <c r="O14" t="s">
        <v>257</v>
      </c>
      <c r="W14" s="13"/>
      <c r="X14" s="13"/>
      <c r="Y14" s="13"/>
      <c r="Z14" s="14"/>
      <c r="AA14" s="13"/>
    </row>
    <row r="15" spans="1:27" ht="15.6" x14ac:dyDescent="0.35">
      <c r="A15" s="45"/>
      <c r="B15" s="36"/>
      <c r="C15" s="36"/>
      <c r="D15" s="36"/>
      <c r="E15" s="36"/>
      <c r="F15" s="36"/>
      <c r="G15" s="36"/>
      <c r="H15" s="36"/>
      <c r="I15" s="36"/>
      <c r="J15" s="36"/>
      <c r="K15" s="40"/>
      <c r="L15" s="14"/>
      <c r="O15" t="s">
        <v>259</v>
      </c>
      <c r="W15" s="13"/>
      <c r="X15" s="13"/>
      <c r="Y15" s="13"/>
      <c r="Z15" s="14"/>
      <c r="AA15" s="13"/>
    </row>
    <row r="16" spans="1:27" x14ac:dyDescent="0.3">
      <c r="A16" s="45"/>
      <c r="B16" s="36" t="s">
        <v>183</v>
      </c>
      <c r="C16" s="36" t="s">
        <v>258</v>
      </c>
      <c r="D16" s="36"/>
      <c r="E16" s="36"/>
      <c r="F16" s="36"/>
      <c r="G16" s="36"/>
      <c r="H16" s="36"/>
      <c r="I16" s="36"/>
      <c r="J16" s="36"/>
      <c r="K16" s="40"/>
      <c r="L16" s="14"/>
      <c r="W16" s="13"/>
      <c r="X16" s="13"/>
      <c r="Y16" s="13"/>
      <c r="Z16" s="14"/>
      <c r="AA16" s="13"/>
    </row>
    <row r="17" spans="1:27" x14ac:dyDescent="0.3">
      <c r="A17" s="45"/>
      <c r="B17" s="36"/>
      <c r="C17" s="36" t="s">
        <v>260</v>
      </c>
      <c r="D17" s="36"/>
      <c r="E17" s="36"/>
      <c r="F17" s="36"/>
      <c r="G17" s="36"/>
      <c r="H17" s="36"/>
      <c r="I17" s="36"/>
      <c r="J17" s="36"/>
      <c r="K17" s="40"/>
      <c r="L17" s="14"/>
      <c r="M17" s="26" t="s">
        <v>183</v>
      </c>
      <c r="N17" t="s">
        <v>261</v>
      </c>
      <c r="W17" s="13"/>
      <c r="X17" s="13"/>
      <c r="Y17" s="13"/>
      <c r="Z17" s="14"/>
      <c r="AA17" s="13"/>
    </row>
    <row r="18" spans="1:27" ht="15" thickBot="1" x14ac:dyDescent="0.3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85"/>
      <c r="L18" s="14"/>
      <c r="N18" t="s">
        <v>262</v>
      </c>
      <c r="W18" s="13"/>
      <c r="X18" s="13"/>
      <c r="Y18" s="13"/>
      <c r="Z18" s="14"/>
      <c r="AA18" s="13"/>
    </row>
    <row r="19" spans="1:27" ht="15" customHeight="1" x14ac:dyDescent="0.3">
      <c r="K19" s="13"/>
      <c r="L19" s="14"/>
      <c r="N19" t="s">
        <v>263</v>
      </c>
      <c r="W19" s="13"/>
      <c r="X19" s="13"/>
      <c r="Y19" s="13"/>
      <c r="Z19" s="14"/>
      <c r="AA19" s="13"/>
    </row>
    <row r="20" spans="1:27" x14ac:dyDescent="0.3">
      <c r="K20" s="13"/>
      <c r="L20" s="14"/>
      <c r="W20" s="13"/>
      <c r="X20" s="13"/>
      <c r="Y20" s="13"/>
      <c r="Z20" s="14"/>
      <c r="AA20" s="13"/>
    </row>
    <row r="21" spans="1:27" x14ac:dyDescent="0.3">
      <c r="K21" s="13"/>
      <c r="L21" s="14"/>
      <c r="N21" t="s">
        <v>264</v>
      </c>
      <c r="T21" s="13"/>
      <c r="U21" s="13"/>
      <c r="V21" s="13"/>
      <c r="W21" s="13"/>
      <c r="X21" s="13"/>
      <c r="Y21" s="13"/>
      <c r="Z21" s="14"/>
      <c r="AA21" s="13"/>
    </row>
    <row r="22" spans="1:27" x14ac:dyDescent="0.3">
      <c r="K22" s="13"/>
      <c r="L22" s="14"/>
      <c r="N22" t="s">
        <v>265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K23" s="13"/>
      <c r="L23" s="14"/>
      <c r="N23" t="s">
        <v>266</v>
      </c>
      <c r="S23" s="29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K24" s="13"/>
      <c r="L24" s="14"/>
      <c r="Z24" s="14"/>
      <c r="AA24" s="13"/>
    </row>
    <row r="25" spans="1:27" ht="15" customHeight="1" x14ac:dyDescent="0.3">
      <c r="K25" s="13"/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K27" s="13"/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K29" s="13"/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K31" s="13"/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  <c r="Z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 t="s">
        <v>196</v>
      </c>
      <c r="B150" s="30" t="s">
        <v>196</v>
      </c>
      <c r="C150" s="30" t="s">
        <v>196</v>
      </c>
      <c r="D150" s="30" t="s">
        <v>196</v>
      </c>
      <c r="E150" s="30" t="s">
        <v>196</v>
      </c>
      <c r="F150" s="30" t="s">
        <v>196</v>
      </c>
      <c r="G150" s="30" t="s">
        <v>196</v>
      </c>
      <c r="H150" s="30" t="s">
        <v>196</v>
      </c>
      <c r="I150" s="30" t="s">
        <v>196</v>
      </c>
      <c r="J150" s="30" t="s">
        <v>196</v>
      </c>
      <c r="K150" s="30" t="s">
        <v>196</v>
      </c>
      <c r="L150" s="30"/>
      <c r="M150" s="30" t="s">
        <v>196</v>
      </c>
      <c r="N150" s="30" t="s">
        <v>196</v>
      </c>
      <c r="O150" s="30" t="s">
        <v>196</v>
      </c>
      <c r="P150" s="30" t="s">
        <v>196</v>
      </c>
      <c r="Q150" s="30" t="s">
        <v>196</v>
      </c>
      <c r="R150" s="30" t="s">
        <v>196</v>
      </c>
      <c r="S150" s="30" t="s">
        <v>196</v>
      </c>
      <c r="T150" s="30" t="s">
        <v>196</v>
      </c>
      <c r="U150" s="30" t="s">
        <v>196</v>
      </c>
      <c r="V150" s="30" t="s">
        <v>196</v>
      </c>
      <c r="W150" s="30" t="s">
        <v>196</v>
      </c>
      <c r="X150" s="30" t="s">
        <v>196</v>
      </c>
      <c r="Y150" s="30" t="s">
        <v>196</v>
      </c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mergeCells count="1">
    <mergeCell ref="J1:K1"/>
  </mergeCells>
  <hyperlinks>
    <hyperlink ref="J1" location="TOC!A1" display="Return to TOC" xr:uid="{9B3A0FA0-9EF4-4681-9AA2-DCB1DE70D22E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6E2-B06B-4846-B2E1-64A48356B4BF}">
  <sheetPr codeName="Sheet38"/>
  <dimension ref="A1:AA11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4.88671875" customWidth="1"/>
    <col min="4" max="4" width="18.88671875" customWidth="1"/>
    <col min="5" max="6" width="15.33203125" customWidth="1"/>
    <col min="7" max="7" width="12.6640625" customWidth="1"/>
    <col min="8" max="8" width="9.6640625" customWidth="1"/>
    <col min="9" max="9" width="11.109375" customWidth="1"/>
    <col min="10" max="10" width="9.109375" customWidth="1"/>
    <col min="11" max="11" width="8.5546875" customWidth="1"/>
    <col min="12" max="12" width="2.6640625" customWidth="1"/>
    <col min="13" max="13" width="4.6640625" customWidth="1"/>
    <col min="14" max="14" width="14.6640625" customWidth="1"/>
    <col min="15" max="15" width="33.88671875" customWidth="1"/>
    <col min="16" max="16" width="33.33203125" bestFit="1" customWidth="1"/>
    <col min="17" max="17" width="31" bestFit="1" customWidth="1"/>
    <col min="18" max="26" width="9" customWidth="1"/>
  </cols>
  <sheetData>
    <row r="1" spans="1:27" x14ac:dyDescent="0.3">
      <c r="A1" s="32" t="s">
        <v>137</v>
      </c>
      <c r="B1" s="33"/>
      <c r="C1" s="33" t="s">
        <v>134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1557</v>
      </c>
      <c r="D2" s="36"/>
      <c r="E2" s="36"/>
      <c r="F2" s="36"/>
      <c r="G2" s="36"/>
      <c r="H2" s="36"/>
      <c r="I2" s="36"/>
      <c r="J2" s="36"/>
      <c r="K2" s="37"/>
      <c r="L2" s="10"/>
      <c r="Z2" s="10"/>
    </row>
    <row r="3" spans="1:27" x14ac:dyDescent="0.3">
      <c r="A3" s="35" t="s">
        <v>141</v>
      </c>
      <c r="B3" s="36"/>
      <c r="C3" s="36" t="s">
        <v>1558</v>
      </c>
      <c r="D3" s="36"/>
      <c r="E3" s="36"/>
      <c r="F3" s="36"/>
      <c r="G3" s="36"/>
      <c r="H3" s="36"/>
      <c r="I3" s="36"/>
      <c r="J3" s="36"/>
      <c r="K3" s="37"/>
      <c r="L3" s="10"/>
      <c r="M3" t="s">
        <v>183</v>
      </c>
      <c r="N3" t="s">
        <v>1559</v>
      </c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N4" t="s">
        <v>1561</v>
      </c>
      <c r="Z4" s="14"/>
      <c r="AA4" s="13"/>
    </row>
    <row r="5" spans="1:27" ht="15" customHeight="1" x14ac:dyDescent="0.3">
      <c r="A5" s="41" t="s">
        <v>144</v>
      </c>
      <c r="B5" s="36"/>
      <c r="C5" s="36" t="s">
        <v>1560</v>
      </c>
      <c r="D5" s="36"/>
      <c r="E5" s="36"/>
      <c r="F5" s="36"/>
      <c r="G5" s="36"/>
      <c r="H5" s="36"/>
      <c r="I5" s="36"/>
      <c r="J5" s="36"/>
      <c r="K5" s="40"/>
      <c r="L5" s="14"/>
      <c r="N5" t="s">
        <v>1563</v>
      </c>
      <c r="W5" s="13"/>
      <c r="X5" s="13"/>
      <c r="Y5" s="13"/>
      <c r="Z5" s="14"/>
      <c r="AA5" s="13"/>
    </row>
    <row r="6" spans="1:27" x14ac:dyDescent="0.3">
      <c r="A6" s="45"/>
      <c r="B6" s="36"/>
      <c r="C6" s="36" t="s">
        <v>1562</v>
      </c>
      <c r="D6" s="36"/>
      <c r="E6" s="36"/>
      <c r="F6" s="36"/>
      <c r="G6" s="36"/>
      <c r="H6" s="36"/>
      <c r="I6" s="36"/>
      <c r="J6" s="36"/>
      <c r="K6" s="40"/>
      <c r="L6" s="14"/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N7" t="s">
        <v>1564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36" t="s">
        <v>1520</v>
      </c>
      <c r="D8" s="36"/>
      <c r="E8" s="36"/>
      <c r="F8" s="36"/>
      <c r="G8" s="36"/>
      <c r="H8" s="36"/>
      <c r="I8" s="36"/>
      <c r="J8" s="36"/>
      <c r="K8" s="40"/>
      <c r="L8" s="14"/>
      <c r="N8" t="s">
        <v>1566</v>
      </c>
      <c r="W8" s="13"/>
      <c r="X8" s="13"/>
      <c r="Y8" s="13"/>
      <c r="Z8" s="14"/>
      <c r="AA8" s="13"/>
    </row>
    <row r="9" spans="1:27" x14ac:dyDescent="0.3">
      <c r="A9" s="41"/>
      <c r="B9" s="39"/>
      <c r="C9" s="36" t="s">
        <v>1565</v>
      </c>
      <c r="D9" s="36"/>
      <c r="E9" s="36"/>
      <c r="F9" s="36"/>
      <c r="G9" s="36"/>
      <c r="H9" s="36"/>
      <c r="I9" s="36"/>
      <c r="J9" s="36"/>
      <c r="K9" s="40"/>
      <c r="L9" s="14"/>
      <c r="N9" t="s">
        <v>1567</v>
      </c>
      <c r="W9" s="13"/>
      <c r="X9" s="13"/>
      <c r="Y9" s="13"/>
      <c r="Z9" s="14"/>
      <c r="AA9" s="13"/>
    </row>
    <row r="10" spans="1:27" x14ac:dyDescent="0.3">
      <c r="A10" s="38"/>
      <c r="B10" s="39"/>
      <c r="C10" s="36"/>
      <c r="D10" s="36"/>
      <c r="E10" s="36"/>
      <c r="F10" s="36"/>
      <c r="G10" s="36"/>
      <c r="H10" s="36"/>
      <c r="I10" s="36"/>
      <c r="J10" s="36"/>
      <c r="K10" s="40"/>
      <c r="L10" s="14"/>
      <c r="N10" t="s">
        <v>1568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777" t="s">
        <v>1527</v>
      </c>
      <c r="D11" s="419" t="s">
        <v>1523</v>
      </c>
      <c r="E11" s="420"/>
      <c r="F11" s="419" t="s">
        <v>1524</v>
      </c>
      <c r="G11" s="420"/>
      <c r="H11" s="419" t="s">
        <v>1525</v>
      </c>
      <c r="I11" s="420"/>
      <c r="J11" s="36"/>
      <c r="K11" s="40"/>
      <c r="L11" s="14"/>
      <c r="N11" t="s">
        <v>1569</v>
      </c>
      <c r="W11" s="13"/>
      <c r="X11" s="13"/>
      <c r="Y11" s="13"/>
      <c r="Z11" s="14"/>
      <c r="AA11" s="13"/>
    </row>
    <row r="12" spans="1:27" x14ac:dyDescent="0.3">
      <c r="A12" s="38"/>
      <c r="B12" s="39"/>
      <c r="C12" s="778"/>
      <c r="D12" s="82" t="s">
        <v>1528</v>
      </c>
      <c r="E12" s="185" t="s">
        <v>1529</v>
      </c>
      <c r="F12" s="82" t="s">
        <v>1528</v>
      </c>
      <c r="G12" s="185" t="s">
        <v>1529</v>
      </c>
      <c r="H12" s="82" t="s">
        <v>1528</v>
      </c>
      <c r="I12" s="185" t="s">
        <v>1529</v>
      </c>
      <c r="J12" s="36"/>
      <c r="K12" s="40"/>
      <c r="L12" s="14"/>
      <c r="W12" s="13"/>
      <c r="X12" s="13"/>
      <c r="Y12" s="13"/>
      <c r="Z12" s="14"/>
      <c r="AA12" s="13"/>
    </row>
    <row r="13" spans="1:27" x14ac:dyDescent="0.3">
      <c r="A13" s="38"/>
      <c r="B13" s="39"/>
      <c r="C13" s="17" t="s">
        <v>1530</v>
      </c>
      <c r="D13" s="143">
        <v>12033000</v>
      </c>
      <c r="E13" s="213">
        <v>1766000</v>
      </c>
      <c r="F13" s="143">
        <v>2329000</v>
      </c>
      <c r="G13" s="213">
        <v>1236000</v>
      </c>
      <c r="H13" s="143">
        <v>170</v>
      </c>
      <c r="I13" s="146">
        <v>170</v>
      </c>
      <c r="J13" s="36"/>
      <c r="K13" s="40"/>
      <c r="L13" s="14"/>
      <c r="N13" t="s">
        <v>1570</v>
      </c>
      <c r="W13" s="13"/>
      <c r="X13" s="13"/>
      <c r="Y13" s="13"/>
      <c r="Z13" s="14"/>
      <c r="AA13" s="13"/>
    </row>
    <row r="14" spans="1:27" x14ac:dyDescent="0.3">
      <c r="A14" s="38"/>
      <c r="B14" s="39"/>
      <c r="C14" s="20" t="s">
        <v>1531</v>
      </c>
      <c r="D14" s="144">
        <v>13812000</v>
      </c>
      <c r="E14" s="213">
        <v>1819000</v>
      </c>
      <c r="F14" s="144">
        <v>2762000</v>
      </c>
      <c r="G14" s="213">
        <v>1273000</v>
      </c>
      <c r="H14" s="144">
        <v>210</v>
      </c>
      <c r="I14" s="146">
        <v>172</v>
      </c>
      <c r="J14" s="36"/>
      <c r="K14" s="40"/>
      <c r="L14" s="14"/>
      <c r="N14" t="s">
        <v>1571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20" t="s">
        <v>1532</v>
      </c>
      <c r="D15" s="144">
        <v>13985000</v>
      </c>
      <c r="E15" s="213">
        <v>1751000</v>
      </c>
      <c r="F15" s="144">
        <v>2797000</v>
      </c>
      <c r="G15" s="213">
        <v>1506000</v>
      </c>
      <c r="H15" s="144">
        <v>210</v>
      </c>
      <c r="I15" s="146">
        <v>201</v>
      </c>
      <c r="J15" s="36"/>
      <c r="K15" s="40"/>
      <c r="L15" s="14"/>
      <c r="N15" t="s">
        <v>1572</v>
      </c>
      <c r="W15" s="13"/>
      <c r="X15" s="13"/>
      <c r="Y15" s="13"/>
      <c r="Z15" s="14"/>
      <c r="AA15" s="13"/>
    </row>
    <row r="16" spans="1:27" x14ac:dyDescent="0.3">
      <c r="A16" s="45"/>
      <c r="B16" s="36"/>
      <c r="C16" s="20" t="s">
        <v>1533</v>
      </c>
      <c r="D16" s="144">
        <v>16444000</v>
      </c>
      <c r="E16" s="213">
        <v>1710000</v>
      </c>
      <c r="F16" s="144">
        <v>3288000</v>
      </c>
      <c r="G16" s="213">
        <v>1471000</v>
      </c>
      <c r="H16" s="144">
        <v>240</v>
      </c>
      <c r="I16" s="146">
        <v>195</v>
      </c>
      <c r="J16" s="36"/>
      <c r="K16" s="40"/>
      <c r="L16" s="14"/>
      <c r="W16" s="13"/>
      <c r="X16" s="13"/>
      <c r="Y16" s="13"/>
      <c r="Z16" s="14"/>
      <c r="AA16" s="13"/>
    </row>
    <row r="17" spans="1:27" x14ac:dyDescent="0.3">
      <c r="A17" s="45"/>
      <c r="B17" s="36"/>
      <c r="C17" s="20" t="s">
        <v>1534</v>
      </c>
      <c r="D17" s="144">
        <v>17507000</v>
      </c>
      <c r="E17" s="213">
        <v>1673000</v>
      </c>
      <c r="F17" s="144">
        <v>3350000</v>
      </c>
      <c r="G17" s="213">
        <v>1439000</v>
      </c>
      <c r="H17" s="144">
        <v>250</v>
      </c>
      <c r="I17" s="146">
        <v>198</v>
      </c>
      <c r="J17" s="36"/>
      <c r="K17" s="40"/>
      <c r="L17" s="14"/>
      <c r="N17" s="86" t="s">
        <v>1527</v>
      </c>
      <c r="O17" s="24" t="s">
        <v>1573</v>
      </c>
      <c r="P17" s="24" t="s">
        <v>1574</v>
      </c>
      <c r="Q17" s="87" t="s">
        <v>1575</v>
      </c>
      <c r="W17" s="13"/>
      <c r="X17" s="13"/>
      <c r="Y17" s="13"/>
      <c r="Z17" s="14"/>
      <c r="AA17" s="13"/>
    </row>
    <row r="18" spans="1:27" x14ac:dyDescent="0.3">
      <c r="A18" s="45"/>
      <c r="B18" s="36"/>
      <c r="C18" s="48" t="s">
        <v>308</v>
      </c>
      <c r="D18" s="504">
        <f>SUM(D13:D17)</f>
        <v>73781000</v>
      </c>
      <c r="E18" s="689">
        <f t="shared" ref="E18:I18" si="0">SUM(E13:E17)</f>
        <v>8719000</v>
      </c>
      <c r="F18" s="504">
        <f t="shared" si="0"/>
        <v>14526000</v>
      </c>
      <c r="G18" s="689">
        <f t="shared" si="0"/>
        <v>6925000</v>
      </c>
      <c r="H18" s="504">
        <f t="shared" si="0"/>
        <v>1080</v>
      </c>
      <c r="I18" s="417">
        <f t="shared" si="0"/>
        <v>936</v>
      </c>
      <c r="J18" s="36"/>
      <c r="K18" s="40"/>
      <c r="L18" s="14"/>
      <c r="N18" s="61" t="str">
        <f>C13</f>
        <v>1991-1995</v>
      </c>
      <c r="O18" s="104">
        <f>ROUND(I13/(E13/1000),4)</f>
        <v>9.6299999999999997E-2</v>
      </c>
      <c r="P18" s="104">
        <f>ROUND(I13/(E13/1000),4)</f>
        <v>9.6299999999999997E-2</v>
      </c>
      <c r="Q18" s="157" t="s">
        <v>1577</v>
      </c>
      <c r="W18" s="13"/>
      <c r="X18" s="13"/>
      <c r="Y18" s="13"/>
      <c r="Z18" s="14"/>
      <c r="AA18" s="13"/>
    </row>
    <row r="19" spans="1:27" ht="15" customHeight="1" x14ac:dyDescent="0.3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0"/>
      <c r="L19" s="14"/>
      <c r="N19" s="61" t="str">
        <f>C14</f>
        <v>1996-2000</v>
      </c>
      <c r="O19" s="104">
        <f>ROUND(I14/(E14/1000),4)</f>
        <v>9.4600000000000004E-2</v>
      </c>
      <c r="P19" s="104">
        <f>ROUND(SUM($I$13:I14)/(SUM($E$13:E14)/1000),4)</f>
        <v>9.5399999999999999E-2</v>
      </c>
      <c r="Q19" s="157" t="s">
        <v>1579</v>
      </c>
      <c r="W19" s="13"/>
      <c r="X19" s="13"/>
      <c r="Y19" s="13"/>
      <c r="Z19" s="14"/>
      <c r="AA19" s="13"/>
    </row>
    <row r="20" spans="1:27" x14ac:dyDescent="0.3">
      <c r="A20" s="45"/>
      <c r="B20" s="36"/>
      <c r="C20" s="84" t="s">
        <v>1576</v>
      </c>
      <c r="D20" s="36"/>
      <c r="E20" s="36"/>
      <c r="F20" s="36"/>
      <c r="G20" s="36"/>
      <c r="H20" s="36"/>
      <c r="I20" s="36"/>
      <c r="J20" s="36"/>
      <c r="K20" s="40"/>
      <c r="L20" s="14"/>
      <c r="N20" s="61" t="str">
        <f>C15</f>
        <v>2001-2005</v>
      </c>
      <c r="O20" s="104">
        <f>ROUND(I15/(E15/1000),4)</f>
        <v>0.1148</v>
      </c>
      <c r="P20" s="104">
        <f>ROUND(SUM($I$13:I15)/(SUM($E$13:E15)/1000),4)</f>
        <v>0.1018</v>
      </c>
      <c r="Q20" s="105">
        <f>ROUND((0.1/2)*O19+(0.1/2)*O18+(1-0.1)*P19,4)</f>
        <v>9.5399999999999999E-2</v>
      </c>
      <c r="W20" s="13"/>
      <c r="X20" s="13"/>
      <c r="Y20" s="13"/>
      <c r="Z20" s="14"/>
      <c r="AA20" s="13"/>
    </row>
    <row r="21" spans="1:27" x14ac:dyDescent="0.3">
      <c r="A21" s="45"/>
      <c r="B21" s="36"/>
      <c r="C21" s="36" t="s">
        <v>1578</v>
      </c>
      <c r="D21" s="36"/>
      <c r="E21" s="36"/>
      <c r="F21" s="36"/>
      <c r="G21" s="36"/>
      <c r="H21" s="36"/>
      <c r="I21" s="36"/>
      <c r="J21" s="36"/>
      <c r="K21" s="40"/>
      <c r="L21" s="14"/>
      <c r="N21" s="61" t="str">
        <f>C16</f>
        <v>2006-2010</v>
      </c>
      <c r="O21" s="104">
        <f>ROUND(I16/(E16/1000),4)</f>
        <v>0.114</v>
      </c>
      <c r="P21" s="104">
        <f>ROUND(SUM($I$13:I16)/(SUM($E$13:E16)/1000),4)</f>
        <v>0.1047</v>
      </c>
      <c r="Q21" s="105">
        <f t="shared" ref="Q21:Q22" si="1">ROUND((0.1/2)*O20+(0.1/2)*O19+(1-0.1)*P20,4)</f>
        <v>0.1021</v>
      </c>
      <c r="T21" s="13"/>
      <c r="W21" s="13"/>
      <c r="X21" s="13"/>
      <c r="Y21" s="13"/>
      <c r="Z21" s="14"/>
      <c r="AA21" s="13"/>
    </row>
    <row r="22" spans="1:27" x14ac:dyDescent="0.3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40"/>
      <c r="L22" s="14"/>
      <c r="N22" s="65" t="str">
        <f>C17</f>
        <v>2011-2015</v>
      </c>
      <c r="O22" s="106">
        <f>ROUND(I17/(E17/1000),4)</f>
        <v>0.11840000000000001</v>
      </c>
      <c r="P22" s="106">
        <f>ROUND(SUM($I$13:I17)/(SUM($E$13:E17)/1000),4)</f>
        <v>0.1074</v>
      </c>
      <c r="Q22" s="107">
        <f t="shared" si="1"/>
        <v>0.1057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A23" s="35" t="s">
        <v>173</v>
      </c>
      <c r="B23" s="36" t="s">
        <v>183</v>
      </c>
      <c r="C23" s="36" t="s">
        <v>1580</v>
      </c>
      <c r="D23" s="36"/>
      <c r="E23" s="36"/>
      <c r="F23" s="36"/>
      <c r="G23" s="36"/>
      <c r="H23" s="36"/>
      <c r="I23" s="36"/>
      <c r="J23" s="36"/>
      <c r="K23" s="40"/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A24" s="45"/>
      <c r="B24" s="36"/>
      <c r="C24" s="36" t="s">
        <v>1581</v>
      </c>
      <c r="D24" s="36"/>
      <c r="E24" s="36"/>
      <c r="F24" s="36"/>
      <c r="G24" s="36"/>
      <c r="H24" s="36"/>
      <c r="I24" s="36"/>
      <c r="J24" s="36"/>
      <c r="K24" s="40"/>
      <c r="L24" s="14"/>
      <c r="N24" t="s">
        <v>1584</v>
      </c>
      <c r="P24" s="690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A25" s="45"/>
      <c r="B25" s="36"/>
      <c r="C25" s="36"/>
      <c r="D25" s="36"/>
      <c r="E25" s="36"/>
      <c r="F25" s="36"/>
      <c r="G25" s="36"/>
      <c r="H25" s="36"/>
      <c r="I25" s="36"/>
      <c r="J25" s="36"/>
      <c r="K25" s="40"/>
      <c r="L25" s="14"/>
      <c r="N25" t="s">
        <v>1586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A26" s="45"/>
      <c r="B26" s="36"/>
      <c r="C26" s="48" t="s">
        <v>1582</v>
      </c>
      <c r="D26" s="96" t="s">
        <v>1583</v>
      </c>
      <c r="E26" s="36"/>
      <c r="F26" s="36"/>
      <c r="G26" s="36"/>
      <c r="H26" s="36"/>
      <c r="I26" s="36"/>
      <c r="J26" s="36"/>
      <c r="K26" s="40"/>
      <c r="L26" s="14"/>
      <c r="N26" t="s">
        <v>1587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A27" s="45"/>
      <c r="B27" s="36"/>
      <c r="C27" s="20">
        <v>0.1</v>
      </c>
      <c r="D27" s="337" t="s">
        <v>1585</v>
      </c>
      <c r="E27" s="36"/>
      <c r="F27" s="36"/>
      <c r="G27" s="36"/>
      <c r="H27" s="36"/>
      <c r="I27" s="36"/>
      <c r="J27" s="36"/>
      <c r="K27" s="40"/>
      <c r="L27" s="14"/>
      <c r="N27" t="s">
        <v>1588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A28" s="45"/>
      <c r="B28" s="36"/>
      <c r="C28" s="20">
        <v>0.5</v>
      </c>
      <c r="D28" s="691">
        <v>1.9000000000000001E-4</v>
      </c>
      <c r="E28" s="36"/>
      <c r="F28" s="36"/>
      <c r="G28" s="36"/>
      <c r="H28" s="36"/>
      <c r="I28" s="36"/>
      <c r="J28" s="36"/>
      <c r="K28" s="40"/>
      <c r="L28" s="14"/>
      <c r="N28" t="s">
        <v>1589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A29" s="45"/>
      <c r="B29" s="36"/>
      <c r="C29" s="22">
        <v>0.9</v>
      </c>
      <c r="D29" s="692">
        <v>1.64E-4</v>
      </c>
      <c r="E29" s="36"/>
      <c r="F29" s="36"/>
      <c r="G29" s="36"/>
      <c r="H29" s="36"/>
      <c r="I29" s="36"/>
      <c r="J29" s="36"/>
      <c r="K29" s="40"/>
      <c r="L29" s="14"/>
      <c r="T29" s="13"/>
      <c r="U29" s="13"/>
      <c r="V29" s="13"/>
      <c r="W29" s="13"/>
      <c r="X29" s="13"/>
      <c r="Y29" s="13"/>
      <c r="Z29" s="14"/>
      <c r="AA29" s="13"/>
    </row>
    <row r="30" spans="1:27" ht="15" thickBot="1" x14ac:dyDescent="0.3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85"/>
      <c r="L30" s="14"/>
      <c r="N30" t="s">
        <v>1590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K31" s="13"/>
      <c r="L31" s="14"/>
      <c r="N31" t="s">
        <v>1591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N32" t="s">
        <v>1592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N33" s="26" t="s">
        <v>1593</v>
      </c>
      <c r="O33" t="str">
        <f>"(("&amp;O20&amp;" - "&amp; Q20&amp;")^2 + (" &amp; O21&amp;" - "&amp;Q21&amp;")^2 + ("&amp;O22&amp;" - "&amp;Q22&amp;")^2 ) / 3"</f>
        <v>((0.1148 - 0.0954)^2 + (0.114 - 0.1021)^2 + (0.1184 - 0.1057)^2 ) / 3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N34" s="27" t="s">
        <v>179</v>
      </c>
      <c r="O34" s="11">
        <f>((O20-Q20)^2+(O21-Q21)^2+(O22-Q22)^2)/3</f>
        <v>2.264200000000001E-4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N35" s="27" t="s">
        <v>179</v>
      </c>
      <c r="O35" s="693">
        <f>O34</f>
        <v>2.264200000000001E-4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N37" t="s">
        <v>1594</v>
      </c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N39" t="s">
        <v>1595</v>
      </c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N40" t="s">
        <v>1596</v>
      </c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N41" s="26" t="s">
        <v>1597</v>
      </c>
      <c r="O41" t="str">
        <f>"( 0.9 / 2 ) * "&amp; O22 &amp;" + ( 0.9 / 2 ) * "&amp; O21&amp; " + ( 1 - 0.9 ) * "&amp;P22</f>
        <v>( 0.9 / 2 ) * 0.1184 + ( 0.9 / 2 ) * 0.114 + ( 1 - 0.9 ) * 0.1074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N42" s="27" t="s">
        <v>179</v>
      </c>
      <c r="O42" s="357">
        <f>(0.9/2)*O22+(0.9/2)*O21+(1-0.9)*P22</f>
        <v>0.11532000000000001</v>
      </c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N44" t="s">
        <v>1598</v>
      </c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3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7" x14ac:dyDescent="0.3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3">
      <c r="C52" s="13"/>
      <c r="D52" s="13"/>
      <c r="E52" s="13"/>
      <c r="F52" s="13"/>
      <c r="G52" s="13"/>
      <c r="H52" s="13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3"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3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3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3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3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3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3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3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3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3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3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3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3">
      <c r="L65" s="14"/>
      <c r="Z65" s="14"/>
    </row>
    <row r="66" spans="12:26" x14ac:dyDescent="0.3">
      <c r="L66" s="14"/>
      <c r="Z66" s="14"/>
    </row>
    <row r="67" spans="12:26" x14ac:dyDescent="0.3">
      <c r="L67" s="14"/>
      <c r="Z67" s="14"/>
    </row>
    <row r="68" spans="12:26" x14ac:dyDescent="0.3">
      <c r="L68" s="14"/>
      <c r="Z68" s="14"/>
    </row>
    <row r="69" spans="12:26" x14ac:dyDescent="0.3">
      <c r="L69" s="14"/>
      <c r="Z69" s="14"/>
    </row>
    <row r="70" spans="12:26" x14ac:dyDescent="0.3">
      <c r="L70" s="14"/>
      <c r="Z70" s="14"/>
    </row>
    <row r="71" spans="12:26" x14ac:dyDescent="0.3">
      <c r="L71" s="14"/>
      <c r="Z71" s="14"/>
    </row>
    <row r="72" spans="12:26" x14ac:dyDescent="0.3">
      <c r="L72" s="14"/>
      <c r="Z72" s="14"/>
    </row>
    <row r="73" spans="12:26" x14ac:dyDescent="0.3">
      <c r="L73" s="14"/>
      <c r="Z73" s="14"/>
    </row>
    <row r="74" spans="12:26" x14ac:dyDescent="0.3">
      <c r="L74" s="14"/>
      <c r="Z74" s="14"/>
    </row>
    <row r="75" spans="12:26" x14ac:dyDescent="0.3">
      <c r="L75" s="14"/>
      <c r="Z75" s="14"/>
    </row>
    <row r="76" spans="12:26" x14ac:dyDescent="0.3">
      <c r="L76" s="14"/>
      <c r="Z76" s="14"/>
    </row>
    <row r="77" spans="12:26" x14ac:dyDescent="0.3">
      <c r="L77" s="14"/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Z99" s="14"/>
    </row>
    <row r="100" spans="1:26" x14ac:dyDescent="0.3">
      <c r="L100" s="14"/>
      <c r="Z100" s="14"/>
    </row>
    <row r="101" spans="1:26" x14ac:dyDescent="0.3">
      <c r="L101" s="14"/>
      <c r="Z101" s="14"/>
    </row>
    <row r="102" spans="1:26" x14ac:dyDescent="0.3">
      <c r="L102" s="14"/>
      <c r="Z102" s="14"/>
    </row>
    <row r="103" spans="1:26" x14ac:dyDescent="0.3">
      <c r="L103" s="14"/>
      <c r="Z103" s="14"/>
    </row>
    <row r="104" spans="1:26" x14ac:dyDescent="0.3">
      <c r="L104" s="14"/>
      <c r="Z104" s="14"/>
    </row>
    <row r="105" spans="1:26" x14ac:dyDescent="0.3">
      <c r="L105" s="14"/>
      <c r="Z105" s="14"/>
    </row>
    <row r="106" spans="1:26" x14ac:dyDescent="0.3">
      <c r="L106" s="14"/>
      <c r="Z106" s="14"/>
    </row>
    <row r="107" spans="1:26" x14ac:dyDescent="0.3">
      <c r="L107" s="14"/>
      <c r="Z107" s="14"/>
    </row>
    <row r="108" spans="1:26" x14ac:dyDescent="0.3">
      <c r="L108" s="14"/>
      <c r="Z108" s="14"/>
    </row>
    <row r="109" spans="1:26" x14ac:dyDescent="0.3">
      <c r="L109" s="14"/>
      <c r="Z109" s="14"/>
    </row>
    <row r="110" spans="1:26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x14ac:dyDescent="0.3">
      <c r="L111" s="14"/>
      <c r="Z111" s="14"/>
    </row>
    <row r="112" spans="1:26" x14ac:dyDescent="0.3">
      <c r="L112" s="14"/>
      <c r="Z112" s="14"/>
    </row>
    <row r="113" spans="12:26" x14ac:dyDescent="0.3">
      <c r="L113" s="14"/>
      <c r="Z113" s="14"/>
    </row>
    <row r="114" spans="12:26" x14ac:dyDescent="0.3">
      <c r="L114" s="14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</sheetData>
  <mergeCells count="2">
    <mergeCell ref="C11:C12"/>
    <mergeCell ref="J1:K1"/>
  </mergeCells>
  <hyperlinks>
    <hyperlink ref="J1" location="TOC!A1" display="Return to TOC" xr:uid="{1656C9B5-F23C-4EC5-A9D0-264F8E48B210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2DF0-51D1-4640-939D-09D1CA5FB6FD}">
  <sheetPr codeName="Sheet39"/>
  <dimension ref="A1:Z11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3.6640625" customWidth="1"/>
    <col min="3" max="3" width="18.33203125" customWidth="1"/>
    <col min="4" max="4" width="24.33203125" bestFit="1" customWidth="1"/>
    <col min="5" max="5" width="17.6640625" customWidth="1"/>
    <col min="6" max="6" width="17.33203125" customWidth="1"/>
    <col min="7" max="7" width="12.5546875" bestFit="1" customWidth="1"/>
    <col min="9" max="9" width="9.109375" customWidth="1"/>
    <col min="10" max="10" width="4.44140625" customWidth="1"/>
    <col min="11" max="11" width="2.6640625" customWidth="1"/>
    <col min="12" max="12" width="7.109375" customWidth="1"/>
    <col min="13" max="15" width="15.6640625" customWidth="1"/>
    <col min="16" max="16" width="9.109375" customWidth="1"/>
    <col min="17" max="17" width="15.6640625" customWidth="1"/>
    <col min="18" max="19" width="9.109375" customWidth="1"/>
    <col min="20" max="26" width="9" customWidth="1"/>
  </cols>
  <sheetData>
    <row r="1" spans="1:26" x14ac:dyDescent="0.3">
      <c r="A1" s="32" t="s">
        <v>137</v>
      </c>
      <c r="B1" s="33"/>
      <c r="C1" s="33" t="s">
        <v>134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Y1" s="10"/>
    </row>
    <row r="2" spans="1:26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7"/>
      <c r="K2" s="10"/>
      <c r="L2" t="s">
        <v>1600</v>
      </c>
      <c r="Y2" s="10"/>
    </row>
    <row r="3" spans="1:26" x14ac:dyDescent="0.3">
      <c r="A3" s="35" t="s">
        <v>141</v>
      </c>
      <c r="B3" s="36"/>
      <c r="C3" s="36" t="s">
        <v>1599</v>
      </c>
      <c r="D3" s="36"/>
      <c r="E3" s="36"/>
      <c r="F3" s="36"/>
      <c r="G3" s="36"/>
      <c r="H3" s="36"/>
      <c r="I3" s="36"/>
      <c r="J3" s="37"/>
      <c r="K3" s="10"/>
      <c r="L3" t="s">
        <v>1601</v>
      </c>
      <c r="Y3" s="10"/>
    </row>
    <row r="4" spans="1:26" x14ac:dyDescent="0.3">
      <c r="A4" s="38"/>
      <c r="B4" s="39"/>
      <c r="C4" s="39"/>
      <c r="D4" s="39"/>
      <c r="E4" s="39"/>
      <c r="F4" s="39"/>
      <c r="G4" s="39"/>
      <c r="H4" s="39"/>
      <c r="I4" s="39"/>
      <c r="J4" s="40"/>
      <c r="K4" s="14"/>
      <c r="Y4" s="14"/>
      <c r="Z4" s="13"/>
    </row>
    <row r="5" spans="1:26" ht="15" customHeight="1" x14ac:dyDescent="0.3">
      <c r="A5" s="41" t="s">
        <v>144</v>
      </c>
      <c r="B5" s="36"/>
      <c r="C5" s="36" t="s">
        <v>1602</v>
      </c>
      <c r="D5" s="36"/>
      <c r="E5" s="36"/>
      <c r="F5" s="36"/>
      <c r="G5" s="36"/>
      <c r="H5" s="36"/>
      <c r="I5" s="36"/>
      <c r="J5" s="37"/>
      <c r="K5" s="14"/>
      <c r="V5" s="13"/>
      <c r="W5" s="13"/>
      <c r="X5" s="13"/>
      <c r="Y5" s="14"/>
      <c r="Z5" s="13"/>
    </row>
    <row r="6" spans="1:26" x14ac:dyDescent="0.3">
      <c r="A6" s="45"/>
      <c r="B6" s="36"/>
      <c r="C6" s="36" t="s">
        <v>1603</v>
      </c>
      <c r="D6" s="36"/>
      <c r="E6" s="36"/>
      <c r="F6" s="36"/>
      <c r="G6" s="36"/>
      <c r="H6" s="36"/>
      <c r="I6" s="36"/>
      <c r="J6" s="37"/>
      <c r="K6" s="14"/>
      <c r="V6" s="13"/>
      <c r="W6" s="13"/>
      <c r="X6" s="13"/>
      <c r="Y6" s="14"/>
      <c r="Z6" s="13"/>
    </row>
    <row r="7" spans="1:26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7"/>
      <c r="K7" s="14"/>
      <c r="L7" t="s">
        <v>1605</v>
      </c>
      <c r="V7" s="13"/>
      <c r="W7" s="13"/>
      <c r="X7" s="13"/>
      <c r="Y7" s="14"/>
      <c r="Z7" s="13"/>
    </row>
    <row r="8" spans="1:26" ht="15" customHeight="1" x14ac:dyDescent="0.3">
      <c r="A8" s="41"/>
      <c r="B8" s="39"/>
      <c r="C8" s="36" t="s">
        <v>1604</v>
      </c>
      <c r="D8" s="36"/>
      <c r="E8" s="36"/>
      <c r="F8" s="36"/>
      <c r="G8" s="36"/>
      <c r="H8" s="36"/>
      <c r="I8" s="36"/>
      <c r="J8" s="37"/>
      <c r="K8" s="14"/>
      <c r="V8" s="13"/>
      <c r="W8" s="13"/>
      <c r="X8" s="13"/>
      <c r="Y8" s="14"/>
      <c r="Z8" s="13"/>
    </row>
    <row r="9" spans="1:26" x14ac:dyDescent="0.3">
      <c r="A9" s="41"/>
      <c r="B9" s="39"/>
      <c r="C9" s="48" t="s">
        <v>1606</v>
      </c>
      <c r="D9" s="96" t="s">
        <v>1607</v>
      </c>
      <c r="E9" s="36"/>
      <c r="F9" s="36"/>
      <c r="G9" s="36"/>
      <c r="H9" s="36"/>
      <c r="I9" s="36"/>
      <c r="J9" s="37"/>
      <c r="K9" s="14"/>
      <c r="L9" t="s">
        <v>1608</v>
      </c>
      <c r="V9" s="13"/>
      <c r="W9" s="13"/>
      <c r="X9" s="13"/>
      <c r="Y9" s="14"/>
      <c r="Z9" s="13"/>
    </row>
    <row r="10" spans="1:26" x14ac:dyDescent="0.3">
      <c r="A10" s="38"/>
      <c r="B10" s="39"/>
      <c r="C10" s="20">
        <v>0</v>
      </c>
      <c r="D10" s="694">
        <f>130*0.00001</f>
        <v>1.3000000000000002E-3</v>
      </c>
      <c r="E10" s="36"/>
      <c r="F10" s="36"/>
      <c r="G10" s="36"/>
      <c r="H10" s="36"/>
      <c r="I10" s="36"/>
      <c r="J10" s="37"/>
      <c r="K10" s="14"/>
      <c r="L10" t="s">
        <v>1609</v>
      </c>
      <c r="V10" s="13"/>
      <c r="W10" s="13"/>
      <c r="X10" s="13"/>
      <c r="Y10" s="14"/>
      <c r="Z10" s="13"/>
    </row>
    <row r="11" spans="1:26" x14ac:dyDescent="0.3">
      <c r="A11" s="38"/>
      <c r="B11" s="39"/>
      <c r="C11" s="20">
        <v>1</v>
      </c>
      <c r="D11" s="694">
        <f>60*0.00001</f>
        <v>6.0000000000000006E-4</v>
      </c>
      <c r="E11" s="36"/>
      <c r="F11" s="36"/>
      <c r="G11" s="36"/>
      <c r="H11" s="36"/>
      <c r="I11" s="36"/>
      <c r="J11" s="37"/>
      <c r="K11" s="14"/>
      <c r="V11" s="13"/>
      <c r="W11" s="13"/>
      <c r="X11" s="13"/>
      <c r="Y11" s="14"/>
      <c r="Z11" s="13"/>
    </row>
    <row r="12" spans="1:26" x14ac:dyDescent="0.3">
      <c r="A12" s="38"/>
      <c r="B12" s="39"/>
      <c r="C12" s="20">
        <v>2</v>
      </c>
      <c r="D12" s="694">
        <f>55*0.00001</f>
        <v>5.5000000000000003E-4</v>
      </c>
      <c r="E12" s="36"/>
      <c r="F12" s="36"/>
      <c r="G12" s="36"/>
      <c r="H12" s="36"/>
      <c r="I12" s="36"/>
      <c r="J12" s="37"/>
      <c r="K12" s="14"/>
      <c r="V12" s="13"/>
      <c r="W12" s="13"/>
      <c r="X12" s="13"/>
      <c r="Y12" s="14"/>
      <c r="Z12" s="13"/>
    </row>
    <row r="13" spans="1:26" x14ac:dyDescent="0.3">
      <c r="A13" s="38"/>
      <c r="B13" s="39"/>
      <c r="C13" s="20">
        <v>3</v>
      </c>
      <c r="D13" s="694">
        <f>50*0.00001</f>
        <v>5.0000000000000001E-4</v>
      </c>
      <c r="E13" s="36"/>
      <c r="F13" s="36"/>
      <c r="G13" s="36"/>
      <c r="H13" s="36"/>
      <c r="I13" s="36"/>
      <c r="J13" s="37"/>
      <c r="K13" s="14"/>
      <c r="V13" s="13"/>
      <c r="W13" s="13"/>
      <c r="X13" s="13"/>
      <c r="Y13" s="14"/>
      <c r="Z13" s="13"/>
    </row>
    <row r="14" spans="1:26" x14ac:dyDescent="0.3">
      <c r="A14" s="38"/>
      <c r="B14" s="39"/>
      <c r="C14" s="22">
        <v>4</v>
      </c>
      <c r="D14" s="695">
        <f>45*0.00001</f>
        <v>4.5000000000000004E-4</v>
      </c>
      <c r="E14" s="36"/>
      <c r="F14" s="36"/>
      <c r="G14" s="36"/>
      <c r="H14" s="36"/>
      <c r="I14" s="36"/>
      <c r="J14" s="37"/>
      <c r="K14" s="14"/>
      <c r="V14" s="13"/>
      <c r="W14" s="13"/>
      <c r="X14" s="13"/>
      <c r="Y14" s="14"/>
      <c r="Z14" s="13"/>
    </row>
    <row r="15" spans="1:26" x14ac:dyDescent="0.3">
      <c r="A15" s="45"/>
      <c r="B15" s="36"/>
      <c r="C15" s="36"/>
      <c r="D15" s="36"/>
      <c r="E15" s="36"/>
      <c r="F15" s="36"/>
      <c r="G15" s="36"/>
      <c r="H15" s="36"/>
      <c r="I15" s="36"/>
      <c r="J15" s="37"/>
      <c r="K15" s="14"/>
      <c r="L15" t="s">
        <v>1611</v>
      </c>
      <c r="V15" s="13"/>
      <c r="W15" s="13"/>
      <c r="X15" s="13"/>
      <c r="Y15" s="14"/>
      <c r="Z15" s="13"/>
    </row>
    <row r="16" spans="1:26" x14ac:dyDescent="0.3">
      <c r="A16" s="35" t="s">
        <v>173</v>
      </c>
      <c r="B16" s="36"/>
      <c r="C16" s="36" t="s">
        <v>1610</v>
      </c>
      <c r="D16" s="36"/>
      <c r="E16" s="36"/>
      <c r="F16" s="36"/>
      <c r="G16" s="36"/>
      <c r="H16" s="36"/>
      <c r="I16" s="36"/>
      <c r="J16" s="37"/>
      <c r="K16" s="14"/>
      <c r="V16" s="13"/>
      <c r="W16" s="13"/>
      <c r="X16" s="13"/>
      <c r="Y16" s="14"/>
      <c r="Z16" s="13"/>
    </row>
    <row r="17" spans="1:26" ht="15" thickBot="1" x14ac:dyDescent="0.35">
      <c r="A17" s="53"/>
      <c r="B17" s="54"/>
      <c r="C17" s="54"/>
      <c r="D17" s="54"/>
      <c r="E17" s="54"/>
      <c r="F17" s="54"/>
      <c r="G17" s="54"/>
      <c r="H17" s="54"/>
      <c r="I17" s="54"/>
      <c r="J17" s="55"/>
      <c r="K17" s="14"/>
      <c r="L17" t="s">
        <v>1612</v>
      </c>
      <c r="N17" t="s">
        <v>1613</v>
      </c>
      <c r="V17" s="13"/>
      <c r="W17" s="13"/>
      <c r="X17" s="13"/>
      <c r="Y17" s="14"/>
      <c r="Z17" s="13"/>
    </row>
    <row r="18" spans="1:26" x14ac:dyDescent="0.3">
      <c r="K18" s="14"/>
      <c r="L18" s="410" t="s">
        <v>1614</v>
      </c>
      <c r="M18" s="186">
        <f>D11+D10-D14-D13</f>
        <v>9.5000000000000011E-4</v>
      </c>
      <c r="V18" s="13"/>
      <c r="W18" s="13"/>
      <c r="X18" s="13"/>
      <c r="Y18" s="14"/>
      <c r="Z18" s="13"/>
    </row>
    <row r="19" spans="1:26" ht="15" customHeight="1" x14ac:dyDescent="0.3">
      <c r="K19" s="14"/>
      <c r="V19" s="13"/>
      <c r="W19" s="13"/>
      <c r="X19" s="13"/>
      <c r="Y19" s="14"/>
      <c r="Z19" s="13"/>
    </row>
    <row r="20" spans="1:26" x14ac:dyDescent="0.3">
      <c r="K20" s="14"/>
      <c r="L20" t="s">
        <v>1615</v>
      </c>
      <c r="P20" t="s">
        <v>1616</v>
      </c>
      <c r="V20" s="13"/>
      <c r="W20" s="13"/>
      <c r="X20" s="13"/>
      <c r="Y20" s="14"/>
      <c r="Z20" s="13"/>
    </row>
    <row r="21" spans="1:26" x14ac:dyDescent="0.3">
      <c r="K21" s="14"/>
      <c r="M21" s="696">
        <f>(D14-D11+M18/2)/(D10-D11)</f>
        <v>0.4642857142857143</v>
      </c>
      <c r="V21" s="13"/>
      <c r="W21" s="13"/>
      <c r="X21" s="13"/>
      <c r="Y21" s="14"/>
      <c r="Z21" s="13"/>
    </row>
    <row r="22" spans="1:26" x14ac:dyDescent="0.3">
      <c r="K22" s="14"/>
      <c r="S22" s="13"/>
      <c r="T22" s="13"/>
      <c r="U22" s="13"/>
      <c r="V22" s="13"/>
      <c r="W22" s="13"/>
      <c r="X22" s="13"/>
      <c r="Y22" s="14"/>
      <c r="Z22" s="13"/>
    </row>
    <row r="23" spans="1:26" ht="15" customHeight="1" x14ac:dyDescent="0.3">
      <c r="K23" s="14"/>
      <c r="L23" t="s">
        <v>1617</v>
      </c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3">
      <c r="K24" s="14"/>
      <c r="M24" s="697">
        <f>1-M21</f>
        <v>0.5357142857142857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x14ac:dyDescent="0.3">
      <c r="K25" s="14"/>
      <c r="S25" s="13"/>
      <c r="T25" s="13"/>
      <c r="U25" s="13"/>
      <c r="V25" s="13"/>
      <c r="W25" s="13"/>
      <c r="X25" s="13"/>
      <c r="Y25" s="14"/>
      <c r="Z25" s="13"/>
    </row>
    <row r="26" spans="1:26" ht="15" customHeight="1" x14ac:dyDescent="0.3">
      <c r="K26" s="14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3">
      <c r="K27" s="14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3">
      <c r="K28" s="14"/>
      <c r="S28" s="13"/>
      <c r="T28" s="13"/>
      <c r="U28" s="13"/>
      <c r="V28" s="13"/>
      <c r="W28" s="13"/>
      <c r="X28" s="13"/>
      <c r="Y28" s="14"/>
      <c r="Z28" s="13"/>
    </row>
    <row r="29" spans="1:26" x14ac:dyDescent="0.3">
      <c r="K29" s="14"/>
      <c r="S29" s="13"/>
      <c r="T29" s="13"/>
      <c r="U29" s="13"/>
      <c r="V29" s="13"/>
      <c r="W29" s="13"/>
      <c r="X29" s="13"/>
      <c r="Y29" s="14"/>
      <c r="Z29" s="13"/>
    </row>
    <row r="30" spans="1:26" x14ac:dyDescent="0.3">
      <c r="K30" s="14"/>
      <c r="S30" s="13"/>
      <c r="T30" s="13"/>
      <c r="U30" s="13"/>
      <c r="V30" s="13"/>
      <c r="W30" s="13"/>
      <c r="X30" s="13"/>
      <c r="Y30" s="14"/>
      <c r="Z30" s="13"/>
    </row>
    <row r="31" spans="1:26" x14ac:dyDescent="0.3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3">
      <c r="K32" s="14"/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A39" s="13"/>
      <c r="B39" s="13"/>
      <c r="K39" s="14"/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K40" s="14"/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S43" s="13"/>
      <c r="T43" s="13"/>
      <c r="U43" s="13"/>
      <c r="V43" s="13"/>
      <c r="W43" s="13"/>
      <c r="X43" s="13"/>
      <c r="Y43" s="14"/>
      <c r="Z43" s="13"/>
    </row>
    <row r="44" spans="1:26" x14ac:dyDescent="0.3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:26" x14ac:dyDescent="0.3">
      <c r="K49" s="14"/>
      <c r="S49" s="13"/>
      <c r="T49" s="13"/>
      <c r="U49" s="13"/>
      <c r="V49" s="13"/>
      <c r="W49" s="13"/>
      <c r="X49" s="13"/>
      <c r="Y49" s="14"/>
      <c r="Z49" s="13"/>
    </row>
    <row r="50" spans="1:26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6" x14ac:dyDescent="0.3">
      <c r="C51" s="13"/>
      <c r="D51" s="13"/>
      <c r="E51" s="13"/>
      <c r="F51" s="13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</row>
    <row r="52" spans="1:26" x14ac:dyDescent="0.3"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</row>
    <row r="53" spans="1:26" x14ac:dyDescent="0.3">
      <c r="C53" s="13"/>
      <c r="D53" s="13"/>
      <c r="E53" s="13"/>
      <c r="F53" s="13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</row>
    <row r="54" spans="1:26" x14ac:dyDescent="0.3">
      <c r="K54" s="14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</row>
    <row r="55" spans="1:26" x14ac:dyDescent="0.3">
      <c r="K55" s="14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</row>
    <row r="56" spans="1:26" x14ac:dyDescent="0.3">
      <c r="K56" s="1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</row>
    <row r="57" spans="1:26" x14ac:dyDescent="0.3"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</row>
    <row r="58" spans="1:26" x14ac:dyDescent="0.3">
      <c r="K58" s="14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</row>
    <row r="59" spans="1:26" x14ac:dyDescent="0.3">
      <c r="K59" s="14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6" x14ac:dyDescent="0.3">
      <c r="K60" s="1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</row>
    <row r="61" spans="1:26" x14ac:dyDescent="0.3">
      <c r="K61" s="14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</row>
    <row r="62" spans="1:26" x14ac:dyDescent="0.3"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</row>
    <row r="63" spans="1:26" x14ac:dyDescent="0.3"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</row>
    <row r="64" spans="1:26" x14ac:dyDescent="0.3"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</row>
    <row r="65" spans="11:25" x14ac:dyDescent="0.3">
      <c r="K65" s="14"/>
      <c r="Y65" s="14"/>
    </row>
    <row r="66" spans="11:25" x14ac:dyDescent="0.3">
      <c r="K66" s="14"/>
      <c r="Y66" s="14"/>
    </row>
    <row r="67" spans="11:25" x14ac:dyDescent="0.3">
      <c r="K67" s="14"/>
      <c r="Y67" s="14"/>
    </row>
    <row r="68" spans="11:25" x14ac:dyDescent="0.3">
      <c r="K68" s="14"/>
      <c r="Y68" s="14"/>
    </row>
    <row r="69" spans="11:25" x14ac:dyDescent="0.3">
      <c r="K69" s="14"/>
      <c r="Y69" s="14"/>
    </row>
    <row r="70" spans="11:25" x14ac:dyDescent="0.3">
      <c r="K70" s="14"/>
      <c r="Y70" s="14"/>
    </row>
    <row r="71" spans="11:25" x14ac:dyDescent="0.3">
      <c r="K71" s="14"/>
      <c r="Y71" s="14"/>
    </row>
    <row r="72" spans="11:25" x14ac:dyDescent="0.3">
      <c r="K72" s="14"/>
      <c r="Y72" s="14"/>
    </row>
    <row r="73" spans="11:25" x14ac:dyDescent="0.3">
      <c r="K73" s="14"/>
      <c r="Y73" s="14"/>
    </row>
    <row r="74" spans="11:25" x14ac:dyDescent="0.3">
      <c r="K74" s="14"/>
      <c r="Y74" s="14"/>
    </row>
    <row r="75" spans="11:25" x14ac:dyDescent="0.3">
      <c r="K75" s="14"/>
      <c r="Y75" s="14"/>
    </row>
    <row r="76" spans="11:25" x14ac:dyDescent="0.3">
      <c r="K76" s="14"/>
      <c r="Y76" s="14"/>
    </row>
    <row r="77" spans="11:25" x14ac:dyDescent="0.3">
      <c r="K77" s="14"/>
      <c r="Y77" s="14"/>
    </row>
    <row r="78" spans="11:25" x14ac:dyDescent="0.3">
      <c r="K78" s="14"/>
      <c r="Y78" s="14"/>
    </row>
    <row r="79" spans="11:25" x14ac:dyDescent="0.3">
      <c r="K79" s="14"/>
      <c r="Y79" s="14"/>
    </row>
    <row r="80" spans="11:25" x14ac:dyDescent="0.3">
      <c r="K80" s="14"/>
      <c r="Y80" s="14"/>
    </row>
    <row r="81" spans="11:25" x14ac:dyDescent="0.3">
      <c r="K81" s="14"/>
      <c r="Y81" s="14"/>
    </row>
    <row r="82" spans="11:25" x14ac:dyDescent="0.3">
      <c r="K82" s="14"/>
      <c r="Y82" s="14"/>
    </row>
    <row r="83" spans="11:25" x14ac:dyDescent="0.3">
      <c r="K83" s="14"/>
      <c r="Y83" s="14"/>
    </row>
    <row r="84" spans="11:25" x14ac:dyDescent="0.3">
      <c r="K84" s="14"/>
      <c r="Y84" s="14"/>
    </row>
    <row r="85" spans="11:25" x14ac:dyDescent="0.3">
      <c r="K85" s="14"/>
      <c r="Y85" s="14"/>
    </row>
    <row r="86" spans="11:25" x14ac:dyDescent="0.3">
      <c r="K86" s="14"/>
      <c r="Y86" s="14"/>
    </row>
    <row r="87" spans="11:25" x14ac:dyDescent="0.3">
      <c r="K87" s="14"/>
      <c r="Y87" s="14"/>
    </row>
    <row r="88" spans="11:25" x14ac:dyDescent="0.3">
      <c r="K88" s="14"/>
      <c r="Y88" s="14"/>
    </row>
    <row r="89" spans="11:25" x14ac:dyDescent="0.3">
      <c r="K89" s="14"/>
      <c r="Y89" s="14"/>
    </row>
    <row r="90" spans="11:25" x14ac:dyDescent="0.3">
      <c r="K90" s="14"/>
      <c r="Y90" s="14"/>
    </row>
    <row r="91" spans="11:25" x14ac:dyDescent="0.3">
      <c r="K91" s="14"/>
      <c r="Y91" s="14"/>
    </row>
    <row r="92" spans="11:25" x14ac:dyDescent="0.3">
      <c r="K92" s="14"/>
      <c r="Y92" s="14"/>
    </row>
    <row r="93" spans="11:25" x14ac:dyDescent="0.3">
      <c r="K93" s="14"/>
      <c r="Y93" s="14"/>
    </row>
    <row r="94" spans="11:25" x14ac:dyDescent="0.3">
      <c r="K94" s="14"/>
      <c r="Y94" s="14"/>
    </row>
    <row r="95" spans="11:25" x14ac:dyDescent="0.3">
      <c r="K95" s="14"/>
      <c r="Y95" s="14"/>
    </row>
    <row r="96" spans="11:25" x14ac:dyDescent="0.3">
      <c r="K96" s="14"/>
      <c r="Y96" s="14"/>
    </row>
    <row r="97" spans="1:25" x14ac:dyDescent="0.3">
      <c r="K97" s="14"/>
      <c r="Y97" s="14"/>
    </row>
    <row r="98" spans="1:25" x14ac:dyDescent="0.3">
      <c r="K98" s="14"/>
      <c r="Y98" s="14"/>
    </row>
    <row r="99" spans="1:25" x14ac:dyDescent="0.3">
      <c r="K99" s="14"/>
      <c r="Y99" s="14"/>
    </row>
    <row r="100" spans="1:25" x14ac:dyDescent="0.3">
      <c r="K100" s="14"/>
      <c r="Y100" s="14"/>
    </row>
    <row r="101" spans="1:25" x14ac:dyDescent="0.3">
      <c r="K101" s="14"/>
      <c r="Y101" s="14"/>
    </row>
    <row r="102" spans="1:25" x14ac:dyDescent="0.3">
      <c r="K102" s="14"/>
      <c r="Y102" s="14"/>
    </row>
    <row r="103" spans="1:25" x14ac:dyDescent="0.3">
      <c r="K103" s="14"/>
      <c r="Y103" s="14"/>
    </row>
    <row r="104" spans="1:25" x14ac:dyDescent="0.3">
      <c r="K104" s="14"/>
      <c r="Y104" s="14"/>
    </row>
    <row r="105" spans="1:25" x14ac:dyDescent="0.3">
      <c r="K105" s="14"/>
      <c r="Y105" s="14"/>
    </row>
    <row r="106" spans="1:25" x14ac:dyDescent="0.3">
      <c r="K106" s="14"/>
      <c r="Y106" s="14"/>
    </row>
    <row r="107" spans="1:25" x14ac:dyDescent="0.3">
      <c r="K107" s="14"/>
      <c r="Y107" s="14"/>
    </row>
    <row r="108" spans="1:25" x14ac:dyDescent="0.3">
      <c r="K108" s="14"/>
      <c r="Y108" s="14"/>
    </row>
    <row r="109" spans="1:25" x14ac:dyDescent="0.3">
      <c r="K109" s="14"/>
      <c r="Y109" s="14"/>
    </row>
    <row r="110" spans="1:25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x14ac:dyDescent="0.3">
      <c r="K111" s="14"/>
      <c r="Y111" s="14"/>
    </row>
    <row r="112" spans="1:25" x14ac:dyDescent="0.3">
      <c r="K112" s="14"/>
      <c r="Y112" s="14"/>
    </row>
    <row r="113" spans="11:25" x14ac:dyDescent="0.3">
      <c r="K113" s="14"/>
      <c r="Y113" s="14"/>
    </row>
    <row r="114" spans="11:25" x14ac:dyDescent="0.3">
      <c r="K114" s="14"/>
      <c r="Y114" s="14"/>
    </row>
    <row r="115" spans="11:25" x14ac:dyDescent="0.3">
      <c r="K115" s="14"/>
      <c r="Y115" s="14"/>
    </row>
    <row r="116" spans="11:25" x14ac:dyDescent="0.3">
      <c r="K116" s="14"/>
      <c r="Y116" s="14"/>
    </row>
    <row r="117" spans="11:25" x14ac:dyDescent="0.3">
      <c r="K117" s="14"/>
      <c r="Y117" s="14"/>
    </row>
    <row r="118" spans="11:25" x14ac:dyDescent="0.3">
      <c r="K118" s="14"/>
      <c r="Y118" s="14"/>
    </row>
  </sheetData>
  <mergeCells count="1">
    <mergeCell ref="I1:J1"/>
  </mergeCells>
  <hyperlinks>
    <hyperlink ref="I1" location="TOC!A1" display="Return to TOC" xr:uid="{AAFEB427-60E8-4E30-9488-D45BDD9F16D5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8D39-1C9E-495F-8F06-CA360FD23602}">
  <sheetPr codeName="Sheet90"/>
  <dimension ref="A1:W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35" customWidth="1"/>
    <col min="4" max="4" width="12.88671875" customWidth="1"/>
    <col min="5" max="5" width="12.33203125" customWidth="1"/>
    <col min="6" max="6" width="8.44140625" customWidth="1"/>
    <col min="7" max="7" width="2.33203125" customWidth="1"/>
    <col min="8" max="8" width="2.6640625" customWidth="1"/>
    <col min="9" max="9" width="6.33203125" customWidth="1"/>
    <col min="10" max="10" width="13.5546875" customWidth="1"/>
    <col min="11" max="11" width="14.6640625" customWidth="1"/>
    <col min="12" max="12" width="13" customWidth="1"/>
    <col min="13" max="13" width="15.44140625" customWidth="1"/>
    <col min="14" max="14" width="17.6640625" bestFit="1" customWidth="1"/>
    <col min="15" max="15" width="13.109375" customWidth="1"/>
    <col min="16" max="16" width="16.5546875" customWidth="1"/>
    <col min="17" max="19" width="6.6640625" customWidth="1"/>
    <col min="20" max="20" width="7.33203125" customWidth="1"/>
    <col min="21" max="21" width="9" customWidth="1"/>
  </cols>
  <sheetData>
    <row r="1" spans="1:23" x14ac:dyDescent="0.3">
      <c r="A1" s="32" t="s">
        <v>137</v>
      </c>
      <c r="B1" s="33"/>
      <c r="C1" s="33" t="s">
        <v>135</v>
      </c>
      <c r="D1" s="34"/>
      <c r="E1" s="772" t="s">
        <v>199</v>
      </c>
      <c r="F1" s="772"/>
      <c r="G1" s="773"/>
      <c r="H1" s="10"/>
      <c r="I1" s="12" t="s">
        <v>140</v>
      </c>
      <c r="V1" s="10"/>
    </row>
    <row r="2" spans="1:23" x14ac:dyDescent="0.3">
      <c r="A2" s="35" t="s">
        <v>138</v>
      </c>
      <c r="B2" s="36"/>
      <c r="C2" s="36" t="s">
        <v>267</v>
      </c>
      <c r="D2" s="36"/>
      <c r="E2" s="36"/>
      <c r="F2" s="36"/>
      <c r="G2" s="37"/>
      <c r="H2" s="10"/>
      <c r="I2" s="3" t="s">
        <v>1618</v>
      </c>
      <c r="V2" s="10"/>
    </row>
    <row r="3" spans="1:23" x14ac:dyDescent="0.3">
      <c r="A3" s="35" t="s">
        <v>141</v>
      </c>
      <c r="B3" s="36"/>
      <c r="C3" s="36" t="s">
        <v>88</v>
      </c>
      <c r="D3" s="36"/>
      <c r="E3" s="36"/>
      <c r="F3" s="36"/>
      <c r="G3" s="37"/>
      <c r="H3" s="10"/>
      <c r="I3" s="3" t="s">
        <v>1619</v>
      </c>
      <c r="V3" s="10"/>
    </row>
    <row r="4" spans="1:23" x14ac:dyDescent="0.3">
      <c r="A4" s="38"/>
      <c r="B4" s="39"/>
      <c r="C4" s="39"/>
      <c r="D4" s="39"/>
      <c r="E4" s="39"/>
      <c r="F4" s="39"/>
      <c r="G4" s="40"/>
      <c r="H4" s="14"/>
      <c r="V4" s="14"/>
      <c r="W4" s="13"/>
    </row>
    <row r="5" spans="1:23" ht="15" customHeight="1" x14ac:dyDescent="0.3">
      <c r="A5" s="41" t="s">
        <v>144</v>
      </c>
      <c r="B5" s="36"/>
      <c r="C5" s="469" t="s">
        <v>1620</v>
      </c>
      <c r="D5" s="36"/>
      <c r="E5" s="36"/>
      <c r="F5" s="36"/>
      <c r="G5" s="37"/>
      <c r="H5" s="14"/>
      <c r="I5" s="698" t="s">
        <v>1621</v>
      </c>
      <c r="J5" s="6" t="s">
        <v>1622</v>
      </c>
      <c r="K5" s="699" t="s">
        <v>12</v>
      </c>
      <c r="L5" s="699"/>
      <c r="M5" s="699"/>
      <c r="N5" s="206"/>
      <c r="O5" s="206"/>
      <c r="P5" s="699" t="s">
        <v>1623</v>
      </c>
      <c r="Q5" s="206"/>
      <c r="R5" s="206"/>
      <c r="V5" s="14"/>
      <c r="W5" s="13"/>
    </row>
    <row r="6" spans="1:23" x14ac:dyDescent="0.3">
      <c r="A6" s="45"/>
      <c r="B6" s="740" t="s">
        <v>962</v>
      </c>
      <c r="C6" s="741" t="s">
        <v>1624</v>
      </c>
      <c r="D6" s="700">
        <v>500000</v>
      </c>
      <c r="E6" s="44"/>
      <c r="F6" s="36"/>
      <c r="G6" s="37"/>
      <c r="H6" s="14"/>
      <c r="I6" s="197" t="s">
        <v>1625</v>
      </c>
      <c r="J6" s="475">
        <f>D6</f>
        <v>500000</v>
      </c>
      <c r="K6" t="s">
        <v>1624</v>
      </c>
      <c r="S6" s="13"/>
      <c r="T6" s="13"/>
      <c r="U6" s="13"/>
      <c r="V6" s="14"/>
      <c r="W6" s="13"/>
    </row>
    <row r="7" spans="1:23" ht="15" customHeight="1" x14ac:dyDescent="0.3">
      <c r="A7" s="45"/>
      <c r="B7" s="742" t="s">
        <v>963</v>
      </c>
      <c r="C7" s="743" t="s">
        <v>1626</v>
      </c>
      <c r="D7" s="701">
        <v>1.3</v>
      </c>
      <c r="E7" s="44"/>
      <c r="F7" s="36"/>
      <c r="G7" s="37"/>
      <c r="H7" s="14"/>
      <c r="I7" s="197" t="s">
        <v>1627</v>
      </c>
      <c r="J7" s="544">
        <f>ROUND(J8*J6,0)</f>
        <v>306500</v>
      </c>
      <c r="K7" t="s">
        <v>1628</v>
      </c>
      <c r="P7" t="s">
        <v>1629</v>
      </c>
      <c r="S7" s="13"/>
      <c r="T7" s="13"/>
      <c r="U7" s="13"/>
      <c r="V7" s="14"/>
      <c r="W7" s="13"/>
    </row>
    <row r="8" spans="1:23" ht="15" customHeight="1" x14ac:dyDescent="0.3">
      <c r="A8" s="41"/>
      <c r="B8" s="744" t="s">
        <v>964</v>
      </c>
      <c r="C8" s="743" t="s">
        <v>1630</v>
      </c>
      <c r="D8" s="701">
        <v>0.6</v>
      </c>
      <c r="E8" s="44"/>
      <c r="F8" s="36"/>
      <c r="G8" s="37"/>
      <c r="H8" s="14"/>
      <c r="I8" s="197" t="s">
        <v>1631</v>
      </c>
      <c r="J8" s="303">
        <f>D13</f>
        <v>0.61299999999999999</v>
      </c>
      <c r="K8" t="s">
        <v>1632</v>
      </c>
      <c r="S8" s="13"/>
      <c r="T8" s="13"/>
      <c r="U8" s="13"/>
      <c r="V8" s="14"/>
      <c r="W8" s="13"/>
    </row>
    <row r="9" spans="1:23" x14ac:dyDescent="0.3">
      <c r="A9" s="41"/>
      <c r="B9" s="744" t="s">
        <v>965</v>
      </c>
      <c r="C9" s="743" t="s">
        <v>440</v>
      </c>
      <c r="D9" s="702">
        <v>1.1200000000000001</v>
      </c>
      <c r="E9" s="44" t="s">
        <v>1633</v>
      </c>
      <c r="F9" s="36"/>
      <c r="G9" s="37"/>
      <c r="H9" s="14"/>
      <c r="I9" s="197" t="s">
        <v>1634</v>
      </c>
      <c r="J9" s="703">
        <f>N38</f>
        <v>0.58199999999999996</v>
      </c>
      <c r="K9" t="s">
        <v>1635</v>
      </c>
      <c r="P9" t="s">
        <v>1636</v>
      </c>
      <c r="S9" s="13"/>
      <c r="T9" s="13"/>
      <c r="U9" s="13"/>
      <c r="V9" s="14"/>
      <c r="W9" s="13"/>
    </row>
    <row r="10" spans="1:23" x14ac:dyDescent="0.3">
      <c r="A10" s="38"/>
      <c r="B10" s="744" t="s">
        <v>966</v>
      </c>
      <c r="C10" s="743" t="s">
        <v>456</v>
      </c>
      <c r="D10" s="702">
        <v>1.07</v>
      </c>
      <c r="E10" s="44" t="s">
        <v>1637</v>
      </c>
      <c r="F10" s="36"/>
      <c r="G10" s="37"/>
      <c r="H10" s="14"/>
      <c r="I10" s="197" t="s">
        <v>1638</v>
      </c>
      <c r="J10" s="596">
        <f>ROUND(J8*J9,3)</f>
        <v>0.35699999999999998</v>
      </c>
      <c r="K10" t="s">
        <v>1639</v>
      </c>
      <c r="P10" t="s">
        <v>1640</v>
      </c>
      <c r="S10" s="13"/>
      <c r="T10" s="13"/>
      <c r="U10" s="13"/>
      <c r="V10" s="14"/>
      <c r="W10" s="13"/>
    </row>
    <row r="11" spans="1:23" x14ac:dyDescent="0.3">
      <c r="A11" s="38"/>
      <c r="B11" s="744" t="s">
        <v>1641</v>
      </c>
      <c r="C11" s="743" t="s">
        <v>1642</v>
      </c>
      <c r="D11" s="704">
        <v>50000</v>
      </c>
      <c r="E11" s="44"/>
      <c r="F11" s="36"/>
      <c r="G11" s="37"/>
      <c r="H11" s="14"/>
      <c r="I11" s="197" t="s">
        <v>1643</v>
      </c>
      <c r="J11" s="705">
        <f>ROUND(J8-J10,3)</f>
        <v>0.25600000000000001</v>
      </c>
      <c r="K11" t="s">
        <v>1644</v>
      </c>
      <c r="P11" t="s">
        <v>1645</v>
      </c>
      <c r="S11" s="13"/>
      <c r="T11" s="13"/>
      <c r="U11" s="13"/>
      <c r="V11" s="14"/>
      <c r="W11" s="13"/>
    </row>
    <row r="12" spans="1:23" x14ac:dyDescent="0.3">
      <c r="A12" s="38"/>
      <c r="B12" s="744" t="s">
        <v>1646</v>
      </c>
      <c r="C12" s="743" t="s">
        <v>444</v>
      </c>
      <c r="D12" s="702">
        <v>0.20100000000000001</v>
      </c>
      <c r="E12" s="44"/>
      <c r="F12" s="36"/>
      <c r="G12" s="37"/>
      <c r="H12" s="14"/>
      <c r="I12" s="197" t="s">
        <v>1647</v>
      </c>
      <c r="J12" s="706">
        <f>P49</f>
        <v>20.95</v>
      </c>
      <c r="K12" t="s">
        <v>112</v>
      </c>
      <c r="P12" t="s">
        <v>1648</v>
      </c>
      <c r="S12" s="13"/>
      <c r="T12" s="13"/>
      <c r="U12" s="13"/>
      <c r="V12" s="14"/>
      <c r="W12" s="13"/>
    </row>
    <row r="13" spans="1:23" x14ac:dyDescent="0.3">
      <c r="A13" s="38"/>
      <c r="B13" s="745" t="s">
        <v>1649</v>
      </c>
      <c r="C13" s="746" t="s">
        <v>1650</v>
      </c>
      <c r="D13" s="707">
        <v>0.61299999999999999</v>
      </c>
      <c r="E13" s="44"/>
      <c r="F13" s="36"/>
      <c r="G13" s="37"/>
      <c r="H13" s="14"/>
      <c r="I13" s="197" t="s">
        <v>1651</v>
      </c>
      <c r="J13" s="544">
        <f>ROUND(J6*D12,0)</f>
        <v>100500</v>
      </c>
      <c r="K13" t="s">
        <v>1652</v>
      </c>
      <c r="P13" t="s">
        <v>1653</v>
      </c>
      <c r="S13" s="13"/>
      <c r="T13" s="13"/>
      <c r="U13" s="13"/>
      <c r="V13" s="14"/>
      <c r="W13" s="13"/>
    </row>
    <row r="14" spans="1:23" x14ac:dyDescent="0.3">
      <c r="A14" s="38"/>
      <c r="B14" s="39"/>
      <c r="C14" s="36"/>
      <c r="D14" s="36"/>
      <c r="E14" s="36"/>
      <c r="F14" s="36"/>
      <c r="G14" s="37"/>
      <c r="H14" s="14"/>
      <c r="I14" s="197" t="s">
        <v>1654</v>
      </c>
      <c r="J14" s="606">
        <f>ROUND((J7+J13)/J6,3)</f>
        <v>0.81399999999999995</v>
      </c>
      <c r="K14" t="s">
        <v>1655</v>
      </c>
      <c r="P14" t="s">
        <v>1656</v>
      </c>
      <c r="S14" s="13"/>
      <c r="T14" s="13"/>
      <c r="U14" s="13"/>
      <c r="V14" s="14"/>
      <c r="W14" s="13"/>
    </row>
    <row r="15" spans="1:23" x14ac:dyDescent="0.3">
      <c r="A15" s="45"/>
      <c r="B15" s="36"/>
      <c r="C15" s="36"/>
      <c r="D15" s="36"/>
      <c r="E15" s="36"/>
      <c r="F15" s="36"/>
      <c r="G15" s="37"/>
      <c r="H15" s="14"/>
      <c r="I15" s="197" t="s">
        <v>1657</v>
      </c>
      <c r="J15" s="596">
        <f>ROUND(J8*D9,3)</f>
        <v>0.68700000000000006</v>
      </c>
      <c r="K15" t="s">
        <v>1658</v>
      </c>
      <c r="P15" t="s">
        <v>1659</v>
      </c>
      <c r="S15" s="13"/>
      <c r="T15" s="13"/>
      <c r="U15" s="13"/>
      <c r="V15" s="14"/>
      <c r="W15" s="13"/>
    </row>
    <row r="16" spans="1:23" x14ac:dyDescent="0.3">
      <c r="A16" s="35" t="s">
        <v>173</v>
      </c>
      <c r="B16" s="36"/>
      <c r="C16" s="84" t="s">
        <v>1660</v>
      </c>
      <c r="D16" s="36"/>
      <c r="E16" s="36"/>
      <c r="F16" s="36"/>
      <c r="G16" s="37"/>
      <c r="H16" s="14"/>
      <c r="I16" s="197" t="s">
        <v>1661</v>
      </c>
      <c r="J16" s="596">
        <f>ROUND(J14-J15,3)</f>
        <v>0.127</v>
      </c>
      <c r="K16" t="s">
        <v>1662</v>
      </c>
      <c r="P16" t="s">
        <v>1663</v>
      </c>
      <c r="S16" s="13"/>
      <c r="T16" s="13"/>
      <c r="U16" s="13"/>
      <c r="V16" s="14"/>
      <c r="W16" s="13"/>
    </row>
    <row r="17" spans="1:23" x14ac:dyDescent="0.3">
      <c r="A17" s="45"/>
      <c r="B17" s="36"/>
      <c r="C17" s="36"/>
      <c r="D17" s="36"/>
      <c r="E17" s="36"/>
      <c r="F17" s="36"/>
      <c r="G17" s="37"/>
      <c r="H17" s="14"/>
      <c r="I17" s="197" t="s">
        <v>1664</v>
      </c>
      <c r="J17" s="596">
        <f>ROUND(D8/D10,3)</f>
        <v>0.56100000000000005</v>
      </c>
      <c r="K17" t="s">
        <v>1665</v>
      </c>
      <c r="P17" t="s">
        <v>1666</v>
      </c>
      <c r="S17" s="13"/>
      <c r="T17" s="13"/>
      <c r="U17" s="13"/>
      <c r="V17" s="14"/>
      <c r="W17" s="13"/>
    </row>
    <row r="18" spans="1:23" x14ac:dyDescent="0.3">
      <c r="A18" s="45"/>
      <c r="B18" s="36"/>
      <c r="C18" s="36" t="s">
        <v>1667</v>
      </c>
      <c r="D18" s="36"/>
      <c r="E18" s="36"/>
      <c r="F18" s="36"/>
      <c r="G18" s="37"/>
      <c r="H18" s="14"/>
      <c r="I18" s="197" t="s">
        <v>1668</v>
      </c>
      <c r="J18" s="596">
        <f>ROUND(D7/D10,3)</f>
        <v>1.2150000000000001</v>
      </c>
      <c r="K18" t="s">
        <v>1669</v>
      </c>
      <c r="P18" t="s">
        <v>1670</v>
      </c>
      <c r="S18" s="13"/>
      <c r="T18" s="13"/>
      <c r="U18" s="13"/>
      <c r="V18" s="14"/>
      <c r="W18" s="13"/>
    </row>
    <row r="19" spans="1:23" ht="15" customHeight="1" x14ac:dyDescent="0.3">
      <c r="A19" s="45"/>
      <c r="B19" s="36"/>
      <c r="C19" s="740" t="s">
        <v>1635</v>
      </c>
      <c r="D19" s="708">
        <v>0.58199999999999996</v>
      </c>
      <c r="E19" s="36"/>
      <c r="F19" s="36"/>
      <c r="G19" s="37"/>
      <c r="H19" s="14"/>
      <c r="I19" s="197" t="s">
        <v>1671</v>
      </c>
      <c r="J19" s="709">
        <f>ROUND((J14-J17)/(D9*J11),4)</f>
        <v>0.88239999999999996</v>
      </c>
      <c r="K19" t="s">
        <v>1672</v>
      </c>
      <c r="P19" t="s">
        <v>1673</v>
      </c>
      <c r="S19" s="13"/>
      <c r="T19" s="13"/>
      <c r="U19" s="13"/>
      <c r="V19" s="14"/>
      <c r="W19" s="13"/>
    </row>
    <row r="20" spans="1:23" x14ac:dyDescent="0.3">
      <c r="A20" s="45"/>
      <c r="B20" s="36"/>
      <c r="C20" s="747" t="s">
        <v>112</v>
      </c>
      <c r="D20" s="710">
        <v>20.95</v>
      </c>
      <c r="E20" s="36"/>
      <c r="F20" s="36"/>
      <c r="G20" s="37"/>
      <c r="H20" s="14"/>
      <c r="I20" s="197" t="s">
        <v>1674</v>
      </c>
      <c r="J20" s="546">
        <f>ROUND((J18-J17)/(D9*J11),2)</f>
        <v>2.2799999999999998</v>
      </c>
      <c r="K20" t="s">
        <v>1675</v>
      </c>
      <c r="P20" t="s">
        <v>1676</v>
      </c>
      <c r="S20" s="13"/>
      <c r="T20" s="13"/>
      <c r="U20" s="13"/>
      <c r="V20" s="14"/>
      <c r="W20" s="13"/>
    </row>
    <row r="21" spans="1:23" x14ac:dyDescent="0.3">
      <c r="A21" s="45"/>
      <c r="B21" s="36"/>
      <c r="C21" s="36"/>
      <c r="D21" s="36"/>
      <c r="E21" s="36"/>
      <c r="F21" s="36"/>
      <c r="G21" s="37"/>
      <c r="H21" s="14"/>
      <c r="I21" s="197" t="s">
        <v>1677</v>
      </c>
      <c r="J21" s="711">
        <f>C39</f>
        <v>0.05</v>
      </c>
      <c r="K21" t="s">
        <v>1678</v>
      </c>
      <c r="P21" t="s">
        <v>1679</v>
      </c>
      <c r="S21" s="13"/>
      <c r="T21" s="13"/>
      <c r="U21" s="13"/>
      <c r="V21" s="14"/>
      <c r="W21" s="13"/>
    </row>
    <row r="22" spans="1:23" x14ac:dyDescent="0.3">
      <c r="A22" s="45"/>
      <c r="B22" s="36"/>
      <c r="C22" s="469" t="s">
        <v>1680</v>
      </c>
      <c r="D22" s="36"/>
      <c r="E22" s="36"/>
      <c r="F22" s="36"/>
      <c r="G22" s="37"/>
      <c r="H22" s="14"/>
      <c r="I22" s="197" t="s">
        <v>1681</v>
      </c>
      <c r="J22" s="711">
        <f>C43</f>
        <v>2.33</v>
      </c>
      <c r="K22" t="s">
        <v>1682</v>
      </c>
      <c r="P22" t="s">
        <v>1679</v>
      </c>
      <c r="Q22" s="13"/>
      <c r="R22" s="13"/>
      <c r="S22" s="13"/>
      <c r="T22" s="13"/>
      <c r="U22" s="13"/>
      <c r="V22" s="14"/>
      <c r="W22" s="13"/>
    </row>
    <row r="23" spans="1:23" ht="15" customHeight="1" x14ac:dyDescent="0.3">
      <c r="A23" s="45"/>
      <c r="B23" s="36"/>
      <c r="C23" s="48" t="s">
        <v>1683</v>
      </c>
      <c r="D23" s="748" t="s">
        <v>112</v>
      </c>
      <c r="E23" s="748"/>
      <c r="F23" s="36"/>
      <c r="G23" s="37"/>
      <c r="H23" s="14"/>
      <c r="I23" s="197" t="s">
        <v>1684</v>
      </c>
      <c r="J23" s="711">
        <f>E43</f>
        <v>7.2300000000000003E-2</v>
      </c>
      <c r="K23" t="s">
        <v>1685</v>
      </c>
      <c r="P23" t="s">
        <v>1686</v>
      </c>
      <c r="Q23" s="13"/>
      <c r="R23" s="13"/>
      <c r="S23" s="13"/>
      <c r="T23" s="13"/>
      <c r="U23" s="13"/>
      <c r="V23" s="14"/>
      <c r="W23" s="13"/>
    </row>
    <row r="24" spans="1:23" ht="15" customHeight="1" x14ac:dyDescent="0.3">
      <c r="A24" s="45"/>
      <c r="B24" s="36"/>
      <c r="C24" s="749">
        <v>50</v>
      </c>
      <c r="D24" s="712" t="s">
        <v>1687</v>
      </c>
      <c r="E24" s="713"/>
      <c r="F24" s="36"/>
      <c r="G24" s="37"/>
      <c r="H24" s="14"/>
      <c r="I24" s="197" t="s">
        <v>1688</v>
      </c>
      <c r="J24" s="711">
        <f>E39+J21-1</f>
        <v>2.6999999999999247E-3</v>
      </c>
      <c r="K24" t="s">
        <v>1689</v>
      </c>
      <c r="Q24" s="13"/>
      <c r="R24" s="13"/>
      <c r="S24" s="13"/>
      <c r="T24" s="13"/>
      <c r="U24" s="13"/>
      <c r="V24" s="14"/>
      <c r="W24" s="13"/>
    </row>
    <row r="25" spans="1:23" ht="15" customHeight="1" x14ac:dyDescent="0.3">
      <c r="A25" s="45"/>
      <c r="B25" s="36"/>
      <c r="C25" s="749">
        <v>49</v>
      </c>
      <c r="D25" s="712" t="s">
        <v>1690</v>
      </c>
      <c r="E25" s="713"/>
      <c r="F25" s="36"/>
      <c r="G25" s="37"/>
      <c r="H25" s="14"/>
      <c r="I25" s="197" t="s">
        <v>1691</v>
      </c>
      <c r="J25" s="596">
        <f>ROUND((J23-J24)*D9*J11,3)</f>
        <v>0.02</v>
      </c>
      <c r="K25" t="s">
        <v>1692</v>
      </c>
      <c r="P25" t="s">
        <v>1693</v>
      </c>
      <c r="Q25" s="13"/>
      <c r="R25" s="13"/>
      <c r="S25" s="13"/>
      <c r="T25" s="13"/>
      <c r="U25" s="13"/>
      <c r="V25" s="14"/>
      <c r="W25" s="13"/>
    </row>
    <row r="26" spans="1:23" ht="15" customHeight="1" x14ac:dyDescent="0.3">
      <c r="A26" s="45"/>
      <c r="B26" s="36"/>
      <c r="C26" s="749">
        <v>48</v>
      </c>
      <c r="D26" s="712" t="s">
        <v>1694</v>
      </c>
      <c r="E26" s="713"/>
      <c r="F26" s="36"/>
      <c r="G26" s="37"/>
      <c r="H26" s="14"/>
      <c r="I26" s="197" t="s">
        <v>1695</v>
      </c>
      <c r="J26" s="457">
        <f>ROUND(J25+J16,3)</f>
        <v>0.14699999999999999</v>
      </c>
      <c r="K26" t="s">
        <v>111</v>
      </c>
      <c r="P26" t="s">
        <v>1696</v>
      </c>
      <c r="Q26" s="13"/>
      <c r="R26" s="13"/>
      <c r="S26" s="13"/>
      <c r="T26" s="13"/>
      <c r="U26" s="13"/>
      <c r="V26" s="14"/>
      <c r="W26" s="13"/>
    </row>
    <row r="27" spans="1:23" ht="15" customHeight="1" x14ac:dyDescent="0.3">
      <c r="A27" s="45"/>
      <c r="B27" s="36"/>
      <c r="C27" s="750">
        <v>47</v>
      </c>
      <c r="D27" s="714" t="s">
        <v>1697</v>
      </c>
      <c r="E27" s="715"/>
      <c r="F27" s="36"/>
      <c r="G27" s="37"/>
      <c r="H27" s="14"/>
      <c r="P27" s="13"/>
      <c r="Q27" s="13"/>
      <c r="R27" s="13"/>
      <c r="S27" s="13"/>
      <c r="T27" s="13"/>
      <c r="U27" s="13"/>
      <c r="V27" s="14"/>
      <c r="W27" s="13"/>
    </row>
    <row r="28" spans="1:23" ht="15" customHeight="1" x14ac:dyDescent="0.3">
      <c r="A28" s="45"/>
      <c r="B28" s="36"/>
      <c r="C28" s="36"/>
      <c r="D28" s="36"/>
      <c r="E28" s="36"/>
      <c r="F28" s="36"/>
      <c r="G28" s="37"/>
      <c r="H28" s="14"/>
      <c r="I28" s="26" t="s">
        <v>1698</v>
      </c>
      <c r="J28" t="s">
        <v>1699</v>
      </c>
      <c r="P28" s="13"/>
      <c r="Q28" s="13"/>
      <c r="R28" s="13"/>
      <c r="S28" s="13"/>
      <c r="T28" s="13"/>
      <c r="U28" s="13"/>
      <c r="V28" s="14"/>
      <c r="W28" s="13"/>
    </row>
    <row r="29" spans="1:23" x14ac:dyDescent="0.3">
      <c r="A29" s="45"/>
      <c r="B29" s="36"/>
      <c r="C29" s="469" t="s">
        <v>1700</v>
      </c>
      <c r="D29" s="36"/>
      <c r="E29" s="36"/>
      <c r="F29" s="36"/>
      <c r="G29" s="37"/>
      <c r="H29" s="14"/>
      <c r="I29" s="26" t="s">
        <v>1701</v>
      </c>
      <c r="J29" t="s">
        <v>1702</v>
      </c>
      <c r="P29" s="13"/>
      <c r="Q29" s="13"/>
      <c r="R29" s="13"/>
      <c r="S29" s="13"/>
      <c r="T29" s="13"/>
      <c r="U29" s="13"/>
      <c r="V29" s="14"/>
      <c r="W29" s="13"/>
    </row>
    <row r="30" spans="1:23" x14ac:dyDescent="0.3">
      <c r="A30" s="45"/>
      <c r="B30" s="36"/>
      <c r="C30" s="48" t="s">
        <v>1703</v>
      </c>
      <c r="D30" s="748" t="s">
        <v>1704</v>
      </c>
      <c r="E30" s="748"/>
      <c r="F30" s="36"/>
      <c r="G30" s="37"/>
      <c r="H30" s="14"/>
      <c r="P30" s="13"/>
      <c r="Q30" s="13"/>
      <c r="R30" s="13"/>
      <c r="S30" s="13"/>
      <c r="T30" s="13"/>
      <c r="U30" s="13"/>
      <c r="V30" s="14"/>
      <c r="W30" s="13"/>
    </row>
    <row r="31" spans="1:23" x14ac:dyDescent="0.3">
      <c r="A31" s="45"/>
      <c r="B31" s="36"/>
      <c r="C31" s="751">
        <v>14</v>
      </c>
      <c r="D31" s="716" t="s">
        <v>1705</v>
      </c>
      <c r="E31" s="717"/>
      <c r="F31" s="36"/>
      <c r="G31" s="37"/>
      <c r="H31" s="14"/>
      <c r="I31" s="198" t="s">
        <v>1706</v>
      </c>
      <c r="P31" s="13"/>
      <c r="Q31" s="13"/>
      <c r="R31" s="13"/>
      <c r="S31" s="13"/>
      <c r="T31" s="13"/>
      <c r="U31" s="13"/>
      <c r="V31" s="14"/>
      <c r="W31" s="13"/>
    </row>
    <row r="32" spans="1:23" x14ac:dyDescent="0.3">
      <c r="A32" s="45"/>
      <c r="B32" s="36"/>
      <c r="C32" s="749">
        <v>15</v>
      </c>
      <c r="D32" s="712" t="s">
        <v>1707</v>
      </c>
      <c r="E32" s="713"/>
      <c r="F32" s="36"/>
      <c r="G32" s="37"/>
      <c r="H32" s="14"/>
      <c r="I32" t="s">
        <v>1787</v>
      </c>
      <c r="P32" s="13"/>
      <c r="Q32" s="13"/>
      <c r="R32" s="13"/>
      <c r="S32" s="13"/>
      <c r="T32" s="13"/>
      <c r="U32" s="13"/>
      <c r="V32" s="14"/>
      <c r="W32" s="13"/>
    </row>
    <row r="33" spans="1:23" x14ac:dyDescent="0.3">
      <c r="A33" s="45"/>
      <c r="B33" s="36"/>
      <c r="C33" s="750">
        <v>16</v>
      </c>
      <c r="D33" s="714" t="s">
        <v>1708</v>
      </c>
      <c r="E33" s="715"/>
      <c r="F33" s="36"/>
      <c r="G33" s="37"/>
      <c r="H33" s="14"/>
      <c r="I33" t="s">
        <v>1709</v>
      </c>
      <c r="P33" s="13"/>
      <c r="Q33" s="13"/>
      <c r="R33" s="13"/>
      <c r="S33" s="13"/>
      <c r="T33" s="13"/>
      <c r="U33" s="13"/>
      <c r="V33" s="14"/>
      <c r="W33" s="13"/>
    </row>
    <row r="34" spans="1:23" ht="28.8" x14ac:dyDescent="0.3">
      <c r="A34" s="45"/>
      <c r="B34" s="36"/>
      <c r="C34" s="469" t="s">
        <v>1710</v>
      </c>
      <c r="D34" s="36"/>
      <c r="E34" s="36"/>
      <c r="F34" s="36"/>
      <c r="G34" s="37"/>
      <c r="H34" s="14"/>
      <c r="I34" s="6" t="s">
        <v>1461</v>
      </c>
      <c r="J34" s="6" t="s">
        <v>1711</v>
      </c>
      <c r="K34" s="718" t="s">
        <v>410</v>
      </c>
      <c r="L34" s="718" t="s">
        <v>1712</v>
      </c>
      <c r="M34" s="718" t="s">
        <v>1713</v>
      </c>
      <c r="N34" s="6" t="s">
        <v>1635</v>
      </c>
      <c r="O34" s="719" t="s">
        <v>1714</v>
      </c>
      <c r="P34" s="13" t="s">
        <v>1715</v>
      </c>
      <c r="Q34" s="13"/>
      <c r="R34" s="13"/>
      <c r="S34" s="13"/>
      <c r="T34" s="13"/>
      <c r="U34" s="13"/>
      <c r="V34" s="14"/>
      <c r="W34" s="13"/>
    </row>
    <row r="35" spans="1:23" x14ac:dyDescent="0.3">
      <c r="A35" s="45"/>
      <c r="B35" s="36"/>
      <c r="C35" s="469" t="s">
        <v>1716</v>
      </c>
      <c r="D35" s="36"/>
      <c r="E35" s="36"/>
      <c r="F35" s="36"/>
      <c r="G35" s="37"/>
      <c r="H35" s="14"/>
      <c r="I35" s="10" t="s">
        <v>1717</v>
      </c>
      <c r="J35" s="10" t="s">
        <v>1091</v>
      </c>
      <c r="K35" s="213">
        <v>106500</v>
      </c>
      <c r="L35" s="181">
        <v>0.5</v>
      </c>
      <c r="M35" s="598">
        <f>K35*L35</f>
        <v>53250</v>
      </c>
      <c r="P35" s="13" t="s">
        <v>1718</v>
      </c>
      <c r="Q35" s="13"/>
      <c r="R35" s="13"/>
      <c r="S35" s="13"/>
      <c r="T35" s="13"/>
      <c r="U35" s="13"/>
      <c r="V35" s="14"/>
      <c r="W35" s="13"/>
    </row>
    <row r="36" spans="1:23" x14ac:dyDescent="0.3">
      <c r="A36" s="45"/>
      <c r="B36" s="36"/>
      <c r="C36" s="36"/>
      <c r="D36" s="636" t="s">
        <v>1683</v>
      </c>
      <c r="E36" s="752"/>
      <c r="F36" s="753"/>
      <c r="G36" s="37"/>
      <c r="H36" s="14"/>
      <c r="I36" s="10" t="s">
        <v>1717</v>
      </c>
      <c r="J36" s="10" t="s">
        <v>1498</v>
      </c>
      <c r="K36" s="213">
        <v>150000</v>
      </c>
      <c r="L36" s="181">
        <v>0.7</v>
      </c>
      <c r="M36" s="598">
        <f t="shared" ref="M36:M37" si="0">K36*L36</f>
        <v>105000</v>
      </c>
      <c r="P36" s="13" t="s">
        <v>1719</v>
      </c>
      <c r="Q36" s="13"/>
      <c r="R36" s="13"/>
      <c r="S36" s="13"/>
      <c r="T36" s="13"/>
      <c r="U36" s="13"/>
      <c r="V36" s="14"/>
      <c r="W36" s="13"/>
    </row>
    <row r="37" spans="1:23" x14ac:dyDescent="0.3">
      <c r="A37" s="45"/>
      <c r="B37" s="36"/>
      <c r="C37" s="48" t="s">
        <v>657</v>
      </c>
      <c r="D37" s="212">
        <v>49</v>
      </c>
      <c r="E37" s="48">
        <v>48</v>
      </c>
      <c r="F37" s="96">
        <v>47</v>
      </c>
      <c r="G37" s="37"/>
      <c r="H37" s="14"/>
      <c r="I37" s="10" t="s">
        <v>348</v>
      </c>
      <c r="J37" s="10" t="s">
        <v>654</v>
      </c>
      <c r="K37" s="213">
        <v>50000</v>
      </c>
      <c r="L37" s="181">
        <v>0.4</v>
      </c>
      <c r="M37" s="598">
        <f t="shared" si="0"/>
        <v>20000</v>
      </c>
      <c r="O37" s="719" t="s">
        <v>1714</v>
      </c>
      <c r="P37" s="13" t="s">
        <v>1720</v>
      </c>
      <c r="Q37" s="13"/>
      <c r="R37" s="13"/>
      <c r="S37" s="13"/>
      <c r="T37" s="13"/>
      <c r="U37" s="13"/>
      <c r="V37" s="14"/>
      <c r="W37" s="13"/>
    </row>
    <row r="38" spans="1:23" ht="15" thickBot="1" x14ac:dyDescent="0.35">
      <c r="A38" s="45"/>
      <c r="B38" s="36"/>
      <c r="C38" s="721">
        <v>0.04</v>
      </c>
      <c r="D38" s="720">
        <f>E38+0.0003</f>
        <v>0.96219999999999994</v>
      </c>
      <c r="E38" s="721">
        <v>0.96189999999999998</v>
      </c>
      <c r="F38" s="722">
        <f>E38-0.0003</f>
        <v>0.96160000000000001</v>
      </c>
      <c r="G38" s="37"/>
      <c r="H38" s="14"/>
      <c r="I38" s="243" t="s">
        <v>308</v>
      </c>
      <c r="J38" s="723"/>
      <c r="K38" s="607">
        <f>SUM(K35:K37)</f>
        <v>306500</v>
      </c>
      <c r="L38" s="723"/>
      <c r="M38" s="607">
        <f>SUM(M35:M37)</f>
        <v>178250</v>
      </c>
      <c r="N38" s="724">
        <f>ROUND(M38/K38,3)</f>
        <v>0.58199999999999996</v>
      </c>
      <c r="P38" s="13" t="s">
        <v>1721</v>
      </c>
      <c r="Q38" s="13"/>
      <c r="R38" s="13"/>
      <c r="S38" s="13"/>
      <c r="T38" s="13"/>
      <c r="U38" s="13"/>
      <c r="V38" s="14"/>
      <c r="W38" s="13"/>
    </row>
    <row r="39" spans="1:23" x14ac:dyDescent="0.3">
      <c r="A39" s="38"/>
      <c r="B39" s="39"/>
      <c r="C39" s="726">
        <v>0.05</v>
      </c>
      <c r="D39" s="725">
        <f t="shared" ref="D39:D44" si="1">E39+0.0003</f>
        <v>0.95299999999999996</v>
      </c>
      <c r="E39" s="726">
        <v>0.95269999999999999</v>
      </c>
      <c r="F39" s="727">
        <f t="shared" ref="F39:F44" si="2">E39-0.0003</f>
        <v>0.95240000000000002</v>
      </c>
      <c r="G39" s="37"/>
      <c r="H39" s="14"/>
      <c r="P39" s="13"/>
      <c r="Q39" s="13"/>
      <c r="R39" s="13"/>
      <c r="S39" s="13"/>
      <c r="T39" s="13"/>
      <c r="U39" s="13"/>
      <c r="V39" s="14"/>
      <c r="W39" s="13"/>
    </row>
    <row r="40" spans="1:23" x14ac:dyDescent="0.3">
      <c r="A40" s="45"/>
      <c r="B40" s="36"/>
      <c r="C40" s="726">
        <v>0.06</v>
      </c>
      <c r="D40" s="725">
        <f t="shared" si="1"/>
        <v>0.94399999999999995</v>
      </c>
      <c r="E40" s="726">
        <v>0.94369999999999998</v>
      </c>
      <c r="F40" s="727">
        <f t="shared" si="2"/>
        <v>0.94340000000000002</v>
      </c>
      <c r="G40" s="37"/>
      <c r="H40" s="14"/>
      <c r="I40" s="11" t="s">
        <v>1722</v>
      </c>
      <c r="P40" s="13"/>
      <c r="Q40" s="13"/>
      <c r="R40" s="13"/>
      <c r="S40" s="13"/>
      <c r="T40" s="13"/>
      <c r="U40" s="13"/>
      <c r="V40" s="14"/>
      <c r="W40" s="13"/>
    </row>
    <row r="41" spans="1:23" x14ac:dyDescent="0.3">
      <c r="A41" s="45"/>
      <c r="B41" s="36"/>
      <c r="C41" s="729" t="s">
        <v>1723</v>
      </c>
      <c r="D41" s="728" t="s">
        <v>1723</v>
      </c>
      <c r="E41" s="729" t="s">
        <v>1723</v>
      </c>
      <c r="F41" s="730" t="s">
        <v>1723</v>
      </c>
      <c r="G41" s="37"/>
      <c r="H41" s="14"/>
      <c r="I41" s="11" t="s">
        <v>1724</v>
      </c>
      <c r="P41" s="13"/>
      <c r="Q41" s="13"/>
      <c r="R41" s="13"/>
      <c r="S41" s="13"/>
      <c r="T41" s="13"/>
      <c r="U41" s="13"/>
      <c r="V41" s="14"/>
      <c r="W41" s="13"/>
    </row>
    <row r="42" spans="1:23" x14ac:dyDescent="0.3">
      <c r="A42" s="45"/>
      <c r="B42" s="36"/>
      <c r="C42" s="726">
        <v>2.3199999999999998</v>
      </c>
      <c r="D42" s="725">
        <f t="shared" si="1"/>
        <v>7.3499999999999996E-2</v>
      </c>
      <c r="E42" s="726">
        <v>7.3200000000000001E-2</v>
      </c>
      <c r="F42" s="727">
        <f t="shared" si="2"/>
        <v>7.2900000000000006E-2</v>
      </c>
      <c r="G42" s="37"/>
      <c r="H42" s="14"/>
      <c r="P42" s="13"/>
      <c r="Q42" s="13"/>
      <c r="R42" s="13"/>
      <c r="S42" s="13"/>
      <c r="T42" s="13"/>
      <c r="U42" s="13"/>
      <c r="V42" s="14"/>
      <c r="W42" s="13"/>
    </row>
    <row r="43" spans="1:23" x14ac:dyDescent="0.3">
      <c r="A43" s="45"/>
      <c r="B43" s="36"/>
      <c r="C43" s="726">
        <v>2.33</v>
      </c>
      <c r="D43" s="725">
        <f t="shared" si="1"/>
        <v>7.2599999999999998E-2</v>
      </c>
      <c r="E43" s="726">
        <v>7.2300000000000003E-2</v>
      </c>
      <c r="F43" s="727">
        <f t="shared" si="2"/>
        <v>7.2000000000000008E-2</v>
      </c>
      <c r="G43" s="37"/>
      <c r="H43" s="14"/>
      <c r="I43" s="198" t="s">
        <v>1725</v>
      </c>
      <c r="P43" s="13"/>
      <c r="Q43" s="13"/>
      <c r="R43" s="13"/>
      <c r="S43" s="13"/>
      <c r="T43" s="13"/>
      <c r="U43" s="13"/>
      <c r="V43" s="14"/>
      <c r="W43" s="13"/>
    </row>
    <row r="44" spans="1:23" x14ac:dyDescent="0.3">
      <c r="A44" s="45"/>
      <c r="B44" s="36"/>
      <c r="C44" s="732">
        <v>2.34</v>
      </c>
      <c r="D44" s="731">
        <f t="shared" si="1"/>
        <v>7.17E-2</v>
      </c>
      <c r="E44" s="732">
        <v>7.1400000000000005E-2</v>
      </c>
      <c r="F44" s="733">
        <f t="shared" si="2"/>
        <v>7.110000000000001E-2</v>
      </c>
      <c r="G44" s="37"/>
      <c r="H44" s="14"/>
      <c r="K44" s="739" t="s">
        <v>1728</v>
      </c>
      <c r="L44" s="739" t="s">
        <v>1730</v>
      </c>
      <c r="M44" s="739" t="s">
        <v>1732</v>
      </c>
      <c r="N44" s="739" t="s">
        <v>1733</v>
      </c>
      <c r="O44" s="739" t="s">
        <v>1735</v>
      </c>
      <c r="P44" s="739" t="s">
        <v>1737</v>
      </c>
      <c r="Q44" s="13"/>
      <c r="R44" s="13"/>
      <c r="S44" s="13"/>
      <c r="T44" s="13"/>
      <c r="U44" s="13"/>
      <c r="V44" s="14"/>
      <c r="W44" s="13"/>
    </row>
    <row r="45" spans="1:23" ht="15" thickBot="1" x14ac:dyDescent="0.35">
      <c r="A45" s="53"/>
      <c r="B45" s="54"/>
      <c r="C45" s="54"/>
      <c r="D45" s="54"/>
      <c r="E45" s="54"/>
      <c r="F45" s="54"/>
      <c r="G45" s="55"/>
      <c r="H45" s="14"/>
      <c r="I45" s="718" t="s">
        <v>1461</v>
      </c>
      <c r="J45" s="718" t="s">
        <v>1711</v>
      </c>
      <c r="K45" s="718" t="s">
        <v>335</v>
      </c>
      <c r="L45" s="718" t="s">
        <v>1729</v>
      </c>
      <c r="M45" s="718" t="s">
        <v>1731</v>
      </c>
      <c r="N45" s="718" t="s">
        <v>384</v>
      </c>
      <c r="O45" s="718" t="s">
        <v>1734</v>
      </c>
      <c r="P45" s="734" t="s">
        <v>1736</v>
      </c>
      <c r="Q45" s="13"/>
      <c r="R45" s="13"/>
      <c r="S45" s="13"/>
      <c r="T45" s="13"/>
      <c r="U45" s="13"/>
      <c r="V45" s="14"/>
      <c r="W45" s="13"/>
    </row>
    <row r="46" spans="1:23" x14ac:dyDescent="0.3">
      <c r="H46" s="14"/>
      <c r="I46" s="10" t="s">
        <v>1717</v>
      </c>
      <c r="J46" s="10" t="s">
        <v>1091</v>
      </c>
      <c r="K46" s="213">
        <v>217170</v>
      </c>
      <c r="L46" s="10"/>
      <c r="M46" s="10"/>
      <c r="N46" s="598">
        <f>K46*$L$49*$M$49</f>
        <v>106500.16800000001</v>
      </c>
      <c r="O46" s="213">
        <v>12000</v>
      </c>
      <c r="P46" s="735">
        <f>N46/O46</f>
        <v>8.8750140000000002</v>
      </c>
      <c r="Q46" s="13"/>
      <c r="R46" s="13"/>
      <c r="S46" s="13"/>
      <c r="T46" s="13"/>
      <c r="U46" s="13"/>
      <c r="V46" s="14"/>
      <c r="W46" s="13"/>
    </row>
    <row r="47" spans="1:23" x14ac:dyDescent="0.3">
      <c r="H47" s="14"/>
      <c r="I47" s="10" t="s">
        <v>1717</v>
      </c>
      <c r="J47" s="10" t="s">
        <v>1498</v>
      </c>
      <c r="K47" s="213">
        <v>305873</v>
      </c>
      <c r="L47" s="10"/>
      <c r="M47" s="10"/>
      <c r="N47" s="598">
        <f>K47*$L$49*$M$49</f>
        <v>150000.11920000002</v>
      </c>
      <c r="O47" s="213">
        <v>23000</v>
      </c>
      <c r="P47" s="735">
        <f t="shared" ref="P47:P48" si="3">N47/O47</f>
        <v>6.5217443130434791</v>
      </c>
      <c r="Q47" s="13"/>
      <c r="R47" s="13"/>
      <c r="S47" s="13"/>
      <c r="T47" s="13"/>
      <c r="U47" s="13"/>
      <c r="V47" s="14"/>
      <c r="W47" s="13"/>
    </row>
    <row r="48" spans="1:23" x14ac:dyDescent="0.3">
      <c r="H48" s="14"/>
      <c r="I48" s="10" t="s">
        <v>348</v>
      </c>
      <c r="J48" s="10" t="s">
        <v>654</v>
      </c>
      <c r="K48" s="213">
        <v>101958</v>
      </c>
      <c r="L48" s="10"/>
      <c r="M48" s="10"/>
      <c r="N48" s="598">
        <f>K48*$L$49*$M$49</f>
        <v>50000.203200000004</v>
      </c>
      <c r="O48" s="213">
        <v>9000</v>
      </c>
      <c r="P48" s="735">
        <f t="shared" si="3"/>
        <v>5.5555781333333334</v>
      </c>
      <c r="Q48" s="13"/>
      <c r="R48" s="13"/>
      <c r="S48" s="13"/>
      <c r="T48" s="13"/>
      <c r="U48" s="13"/>
      <c r="V48" s="14"/>
      <c r="W48" s="13"/>
    </row>
    <row r="49" spans="1:23" ht="15" thickBot="1" x14ac:dyDescent="0.35">
      <c r="H49" s="14"/>
      <c r="I49" s="243" t="s">
        <v>308</v>
      </c>
      <c r="J49" s="243"/>
      <c r="K49" s="243"/>
      <c r="L49" s="736">
        <v>0.8</v>
      </c>
      <c r="M49" s="737">
        <f>J8</f>
        <v>0.61299999999999999</v>
      </c>
      <c r="N49" s="243"/>
      <c r="O49" s="243"/>
      <c r="P49" s="738">
        <f>ROUND(SUM(P46:P48),2)</f>
        <v>20.95</v>
      </c>
      <c r="Q49" s="13"/>
      <c r="R49" s="13"/>
      <c r="S49" s="13"/>
      <c r="T49" s="13"/>
      <c r="U49" s="13"/>
      <c r="V49" s="14"/>
      <c r="W49" s="13"/>
    </row>
    <row r="50" spans="1:23" x14ac:dyDescent="0.3">
      <c r="A50" s="30"/>
      <c r="B50" s="30"/>
      <c r="C50" s="30"/>
      <c r="D50" s="30"/>
      <c r="E50" s="30"/>
      <c r="F50" s="30"/>
      <c r="G50" s="30"/>
      <c r="H50" s="30"/>
      <c r="I50" s="3" t="s">
        <v>1727</v>
      </c>
      <c r="P50" s="13"/>
      <c r="Q50" s="30"/>
      <c r="R50" s="30"/>
      <c r="S50" s="30"/>
      <c r="T50" s="30"/>
      <c r="U50" s="30"/>
      <c r="V50" s="30"/>
    </row>
    <row r="51" spans="1:23" x14ac:dyDescent="0.3">
      <c r="C51" s="13"/>
      <c r="D51" s="13"/>
      <c r="E51" s="13"/>
      <c r="F51" s="13"/>
      <c r="G51" s="13"/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</row>
    <row r="52" spans="1:23" x14ac:dyDescent="0.3">
      <c r="C52" s="13"/>
      <c r="D52" s="13"/>
      <c r="E52" s="13"/>
      <c r="F52" s="13"/>
      <c r="G52" s="13"/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</row>
    <row r="53" spans="1:23" x14ac:dyDescent="0.3">
      <c r="C53" s="13"/>
      <c r="D53" s="13"/>
      <c r="E53" s="13"/>
      <c r="F53" s="13"/>
      <c r="G53" s="13"/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</row>
    <row r="54" spans="1:23" x14ac:dyDescent="0.3"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</row>
    <row r="55" spans="1:23" x14ac:dyDescent="0.3"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</row>
    <row r="56" spans="1:23" x14ac:dyDescent="0.3"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</row>
    <row r="57" spans="1:23" x14ac:dyDescent="0.3"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</row>
    <row r="58" spans="1:23" x14ac:dyDescent="0.3">
      <c r="H58" s="14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</row>
    <row r="59" spans="1:23" x14ac:dyDescent="0.3">
      <c r="H59" s="14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</row>
    <row r="60" spans="1:23" x14ac:dyDescent="0.3">
      <c r="H60" s="14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</row>
    <row r="61" spans="1:23" x14ac:dyDescent="0.3">
      <c r="H61" s="14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</row>
    <row r="62" spans="1:23" x14ac:dyDescent="0.3">
      <c r="H62" s="14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</row>
    <row r="63" spans="1:23" x14ac:dyDescent="0.3">
      <c r="H63" s="1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</row>
    <row r="64" spans="1:23" x14ac:dyDescent="0.3">
      <c r="H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</row>
    <row r="65" spans="8:22" x14ac:dyDescent="0.3">
      <c r="H65" s="14"/>
      <c r="V65" s="14"/>
    </row>
    <row r="66" spans="8:22" x14ac:dyDescent="0.3">
      <c r="H66" s="14"/>
      <c r="V66" s="14"/>
    </row>
    <row r="67" spans="8:22" x14ac:dyDescent="0.3">
      <c r="H67" s="14"/>
      <c r="V67" s="14"/>
    </row>
    <row r="68" spans="8:22" x14ac:dyDescent="0.3">
      <c r="H68" s="14"/>
      <c r="V68" s="14"/>
    </row>
    <row r="69" spans="8:22" x14ac:dyDescent="0.3">
      <c r="H69" s="14"/>
      <c r="V69" s="14"/>
    </row>
    <row r="70" spans="8:22" x14ac:dyDescent="0.3">
      <c r="H70" s="14"/>
      <c r="V70" s="14"/>
    </row>
    <row r="71" spans="8:22" x14ac:dyDescent="0.3">
      <c r="H71" s="14"/>
      <c r="V71" s="14"/>
    </row>
    <row r="72" spans="8:22" x14ac:dyDescent="0.3">
      <c r="H72" s="14"/>
      <c r="V72" s="14"/>
    </row>
    <row r="73" spans="8:22" x14ac:dyDescent="0.3">
      <c r="H73" s="14"/>
      <c r="V73" s="14"/>
    </row>
    <row r="74" spans="8:22" x14ac:dyDescent="0.3">
      <c r="H74" s="14"/>
      <c r="V74" s="14"/>
    </row>
    <row r="75" spans="8:22" x14ac:dyDescent="0.3">
      <c r="H75" s="14"/>
      <c r="V75" s="14"/>
    </row>
    <row r="76" spans="8:22" x14ac:dyDescent="0.3">
      <c r="H76" s="14"/>
      <c r="V76" s="14"/>
    </row>
    <row r="77" spans="8:22" x14ac:dyDescent="0.3">
      <c r="H77" s="14"/>
      <c r="V77" s="14"/>
    </row>
    <row r="78" spans="8:22" x14ac:dyDescent="0.3">
      <c r="H78" s="14"/>
      <c r="V78" s="14"/>
    </row>
    <row r="79" spans="8:22" x14ac:dyDescent="0.3">
      <c r="H79" s="14"/>
      <c r="V79" s="14"/>
    </row>
    <row r="80" spans="8:22" x14ac:dyDescent="0.3">
      <c r="H80" s="14"/>
      <c r="V80" s="14"/>
    </row>
    <row r="81" spans="8:22" x14ac:dyDescent="0.3">
      <c r="H81" s="14"/>
      <c r="V81" s="14"/>
    </row>
    <row r="82" spans="8:22" x14ac:dyDescent="0.3">
      <c r="H82" s="14"/>
      <c r="V82" s="14"/>
    </row>
    <row r="83" spans="8:22" x14ac:dyDescent="0.3">
      <c r="H83" s="14"/>
      <c r="V83" s="14"/>
    </row>
    <row r="84" spans="8:22" x14ac:dyDescent="0.3">
      <c r="H84" s="14"/>
      <c r="V84" s="14"/>
    </row>
    <row r="85" spans="8:22" x14ac:dyDescent="0.3">
      <c r="H85" s="14"/>
      <c r="V85" s="14"/>
    </row>
    <row r="86" spans="8:22" x14ac:dyDescent="0.3">
      <c r="H86" s="14"/>
      <c r="V86" s="14"/>
    </row>
    <row r="87" spans="8:22" x14ac:dyDescent="0.3">
      <c r="H87" s="14"/>
      <c r="V87" s="14"/>
    </row>
    <row r="88" spans="8:22" x14ac:dyDescent="0.3">
      <c r="H88" s="14"/>
      <c r="V88" s="14"/>
    </row>
    <row r="89" spans="8:22" x14ac:dyDescent="0.3">
      <c r="H89" s="14"/>
      <c r="V89" s="14"/>
    </row>
    <row r="90" spans="8:22" x14ac:dyDescent="0.3">
      <c r="H90" s="14"/>
      <c r="V90" s="14"/>
    </row>
    <row r="91" spans="8:22" x14ac:dyDescent="0.3">
      <c r="H91" s="14"/>
      <c r="V91" s="14"/>
    </row>
    <row r="92" spans="8:22" x14ac:dyDescent="0.3">
      <c r="H92" s="14"/>
      <c r="V92" s="14"/>
    </row>
    <row r="93" spans="8:22" x14ac:dyDescent="0.3">
      <c r="H93" s="14"/>
      <c r="V93" s="14"/>
    </row>
    <row r="94" spans="8:22" x14ac:dyDescent="0.3">
      <c r="H94" s="14"/>
      <c r="V94" s="14"/>
    </row>
    <row r="95" spans="8:22" x14ac:dyDescent="0.3">
      <c r="H95" s="14"/>
      <c r="V95" s="14"/>
    </row>
    <row r="96" spans="8:22" x14ac:dyDescent="0.3">
      <c r="H96" s="14"/>
      <c r="V96" s="14"/>
    </row>
    <row r="97" spans="1:22" x14ac:dyDescent="0.3">
      <c r="H97" s="14"/>
      <c r="V97" s="14"/>
    </row>
    <row r="98" spans="1:22" x14ac:dyDescent="0.3">
      <c r="H98" s="14"/>
      <c r="V98" s="14"/>
    </row>
    <row r="99" spans="1:22" x14ac:dyDescent="0.3">
      <c r="H99" s="14"/>
      <c r="V99" s="14"/>
    </row>
    <row r="100" spans="1:22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2" x14ac:dyDescent="0.3">
      <c r="C101" s="13"/>
      <c r="D101" s="13"/>
      <c r="E101" s="13"/>
      <c r="F101" s="13"/>
      <c r="G101" s="13"/>
      <c r="H101" s="1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4"/>
    </row>
    <row r="102" spans="1:22" x14ac:dyDescent="0.3">
      <c r="C102" s="13"/>
      <c r="D102" s="13"/>
      <c r="E102" s="13"/>
      <c r="F102" s="13"/>
      <c r="G102" s="13"/>
      <c r="H102" s="1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4"/>
    </row>
    <row r="103" spans="1:22" x14ac:dyDescent="0.3">
      <c r="C103" s="13"/>
      <c r="D103" s="13"/>
      <c r="E103" s="13"/>
      <c r="F103" s="13"/>
      <c r="G103" s="13"/>
      <c r="H103" s="1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4"/>
    </row>
    <row r="104" spans="1:22" x14ac:dyDescent="0.3">
      <c r="H104" s="1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4"/>
    </row>
    <row r="105" spans="1:22" x14ac:dyDescent="0.3">
      <c r="H105" s="1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4"/>
    </row>
    <row r="106" spans="1:22" x14ac:dyDescent="0.3">
      <c r="H106" s="1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4"/>
    </row>
    <row r="107" spans="1:22" x14ac:dyDescent="0.3">
      <c r="H107" s="1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4"/>
    </row>
    <row r="108" spans="1:22" x14ac:dyDescent="0.3">
      <c r="H108" s="1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4"/>
    </row>
    <row r="109" spans="1:22" x14ac:dyDescent="0.3">
      <c r="H109" s="1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4"/>
    </row>
    <row r="110" spans="1:22" x14ac:dyDescent="0.3">
      <c r="H110" s="1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4"/>
    </row>
    <row r="111" spans="1:22" x14ac:dyDescent="0.3">
      <c r="H111" s="1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4"/>
    </row>
    <row r="112" spans="1:22" x14ac:dyDescent="0.3">
      <c r="H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4"/>
    </row>
    <row r="113" spans="8:22" x14ac:dyDescent="0.3">
      <c r="H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4"/>
    </row>
    <row r="114" spans="8:22" x14ac:dyDescent="0.3">
      <c r="H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4"/>
    </row>
    <row r="115" spans="8:22" x14ac:dyDescent="0.3">
      <c r="H115" s="14"/>
      <c r="V115" s="14"/>
    </row>
    <row r="116" spans="8:22" x14ac:dyDescent="0.3">
      <c r="H116" s="14"/>
      <c r="V116" s="14"/>
    </row>
    <row r="117" spans="8:22" x14ac:dyDescent="0.3">
      <c r="H117" s="14"/>
      <c r="V117" s="14"/>
    </row>
    <row r="118" spans="8:22" x14ac:dyDescent="0.3">
      <c r="H118" s="14"/>
      <c r="V118" s="14"/>
    </row>
    <row r="119" spans="8:22" x14ac:dyDescent="0.3">
      <c r="H119" s="14"/>
      <c r="V119" s="14"/>
    </row>
    <row r="120" spans="8:22" x14ac:dyDescent="0.3">
      <c r="H120" s="14"/>
      <c r="V120" s="14"/>
    </row>
    <row r="121" spans="8:22" x14ac:dyDescent="0.3">
      <c r="H121" s="14"/>
      <c r="V121" s="14"/>
    </row>
    <row r="122" spans="8:22" x14ac:dyDescent="0.3">
      <c r="H122" s="14"/>
      <c r="V122" s="14"/>
    </row>
    <row r="123" spans="8:22" x14ac:dyDescent="0.3">
      <c r="H123" s="14"/>
      <c r="V123" s="14"/>
    </row>
    <row r="124" spans="8:22" x14ac:dyDescent="0.3">
      <c r="H124" s="14"/>
      <c r="V124" s="14"/>
    </row>
    <row r="125" spans="8:22" x14ac:dyDescent="0.3">
      <c r="H125" s="14"/>
      <c r="V125" s="14"/>
    </row>
    <row r="126" spans="8:22" x14ac:dyDescent="0.3">
      <c r="H126" s="14"/>
      <c r="V126" s="14"/>
    </row>
    <row r="127" spans="8:22" x14ac:dyDescent="0.3">
      <c r="H127" s="14"/>
      <c r="V127" s="14"/>
    </row>
    <row r="128" spans="8:22" x14ac:dyDescent="0.3">
      <c r="H128" s="14"/>
      <c r="V128" s="14"/>
    </row>
    <row r="129" spans="8:22" x14ac:dyDescent="0.3">
      <c r="H129" s="14"/>
      <c r="V129" s="14"/>
    </row>
    <row r="130" spans="8:22" x14ac:dyDescent="0.3">
      <c r="H130" s="14"/>
      <c r="V130" s="14"/>
    </row>
    <row r="131" spans="8:22" x14ac:dyDescent="0.3">
      <c r="H131" s="14"/>
      <c r="V131" s="14"/>
    </row>
    <row r="132" spans="8:22" x14ac:dyDescent="0.3">
      <c r="H132" s="14"/>
      <c r="V132" s="14"/>
    </row>
    <row r="133" spans="8:22" x14ac:dyDescent="0.3">
      <c r="H133" s="14"/>
      <c r="V133" s="14"/>
    </row>
    <row r="134" spans="8:22" x14ac:dyDescent="0.3">
      <c r="H134" s="14"/>
      <c r="V134" s="14"/>
    </row>
    <row r="135" spans="8:22" x14ac:dyDescent="0.3">
      <c r="H135" s="14"/>
      <c r="V135" s="14"/>
    </row>
    <row r="136" spans="8:22" x14ac:dyDescent="0.3">
      <c r="H136" s="14"/>
      <c r="V136" s="14"/>
    </row>
    <row r="137" spans="8:22" x14ac:dyDescent="0.3">
      <c r="H137" s="14"/>
      <c r="V137" s="14"/>
    </row>
    <row r="138" spans="8:22" x14ac:dyDescent="0.3">
      <c r="H138" s="14"/>
      <c r="V138" s="14"/>
    </row>
    <row r="139" spans="8:22" x14ac:dyDescent="0.3">
      <c r="H139" s="14"/>
      <c r="V139" s="14"/>
    </row>
    <row r="140" spans="8:22" x14ac:dyDescent="0.3">
      <c r="H140" s="14"/>
      <c r="V140" s="14"/>
    </row>
    <row r="141" spans="8:22" x14ac:dyDescent="0.3">
      <c r="H141" s="14"/>
      <c r="V141" s="14"/>
    </row>
    <row r="142" spans="8:22" x14ac:dyDescent="0.3">
      <c r="H142" s="14"/>
      <c r="V142" s="14"/>
    </row>
    <row r="143" spans="8:22" x14ac:dyDescent="0.3">
      <c r="H143" s="14"/>
      <c r="V143" s="14"/>
    </row>
    <row r="144" spans="8:22" x14ac:dyDescent="0.3">
      <c r="H144" s="14"/>
      <c r="V144" s="14"/>
    </row>
    <row r="145" spans="1:22" x14ac:dyDescent="0.3">
      <c r="H145" s="14"/>
      <c r="V145" s="14"/>
    </row>
    <row r="146" spans="1:22" x14ac:dyDescent="0.3">
      <c r="H146" s="14"/>
      <c r="V146" s="14"/>
    </row>
    <row r="147" spans="1:22" x14ac:dyDescent="0.3">
      <c r="H147" s="14"/>
      <c r="V147" s="14"/>
    </row>
    <row r="148" spans="1:22" x14ac:dyDescent="0.3">
      <c r="H148" s="14"/>
      <c r="V148" s="14"/>
    </row>
    <row r="149" spans="1:22" x14ac:dyDescent="0.3">
      <c r="H149" s="14"/>
      <c r="V149" s="14"/>
    </row>
    <row r="150" spans="1:22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2" x14ac:dyDescent="0.3">
      <c r="H151" s="14"/>
      <c r="V151" s="14"/>
    </row>
    <row r="152" spans="1:22" x14ac:dyDescent="0.3">
      <c r="H152" s="14"/>
      <c r="V152" s="14"/>
    </row>
    <row r="153" spans="1:22" x14ac:dyDescent="0.3">
      <c r="H153" s="14"/>
      <c r="V153" s="14"/>
    </row>
    <row r="154" spans="1:22" x14ac:dyDescent="0.3">
      <c r="H154" s="14"/>
      <c r="V154" s="14"/>
    </row>
    <row r="155" spans="1:22" x14ac:dyDescent="0.3">
      <c r="H155" s="14"/>
      <c r="V155" s="14"/>
    </row>
    <row r="156" spans="1:22" x14ac:dyDescent="0.3">
      <c r="H156" s="14"/>
      <c r="V156" s="14"/>
    </row>
    <row r="157" spans="1:22" x14ac:dyDescent="0.3">
      <c r="H157" s="14"/>
      <c r="V157" s="14"/>
    </row>
    <row r="158" spans="1:22" x14ac:dyDescent="0.3">
      <c r="H158" s="14"/>
      <c r="V158" s="14"/>
    </row>
  </sheetData>
  <mergeCells count="1">
    <mergeCell ref="E1:G1"/>
  </mergeCells>
  <hyperlinks>
    <hyperlink ref="E1" location="TOC!A1" display="Return to TOC" xr:uid="{FE133D3C-684A-44EC-9F5C-D29AE923DC5F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98D5-C59B-45F5-882C-EBAF1A24BCC7}">
  <sheetPr codeName="Sheet91"/>
  <dimension ref="A1:Y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35" customWidth="1"/>
    <col min="4" max="4" width="12.88671875" customWidth="1"/>
    <col min="5" max="5" width="15" customWidth="1"/>
    <col min="6" max="6" width="14" customWidth="1"/>
    <col min="7" max="7" width="12.5546875" bestFit="1" customWidth="1"/>
    <col min="8" max="8" width="13.109375" customWidth="1"/>
    <col min="9" max="9" width="3" customWidth="1"/>
    <col min="10" max="10" width="2.6640625" customWidth="1"/>
    <col min="11" max="11" width="5.5546875" customWidth="1"/>
    <col min="12" max="12" width="13" customWidth="1"/>
    <col min="13" max="13" width="14.6640625" customWidth="1"/>
    <col min="14" max="14" width="12.33203125" customWidth="1"/>
    <col min="15" max="15" width="15.44140625" customWidth="1"/>
    <col min="16" max="16" width="17.6640625" bestFit="1" customWidth="1"/>
    <col min="17" max="17" width="13.109375" customWidth="1"/>
    <col min="18" max="18" width="16.5546875" customWidth="1"/>
    <col min="19" max="20" width="6.6640625" customWidth="1"/>
    <col min="21" max="25" width="9" customWidth="1"/>
  </cols>
  <sheetData>
    <row r="1" spans="1:25" x14ac:dyDescent="0.3">
      <c r="A1" s="32" t="s">
        <v>137</v>
      </c>
      <c r="B1" s="33"/>
      <c r="C1" s="33" t="s">
        <v>135</v>
      </c>
      <c r="D1" s="34"/>
      <c r="E1" s="33"/>
      <c r="F1" s="33"/>
      <c r="G1" s="33"/>
      <c r="H1" s="772" t="s">
        <v>199</v>
      </c>
      <c r="I1" s="773"/>
      <c r="J1" s="10"/>
      <c r="K1" s="12" t="s">
        <v>140</v>
      </c>
      <c r="X1" s="10"/>
    </row>
    <row r="2" spans="1:25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7"/>
      <c r="J2" s="10"/>
      <c r="K2" s="3" t="s">
        <v>1618</v>
      </c>
      <c r="X2" s="10"/>
    </row>
    <row r="3" spans="1:25" x14ac:dyDescent="0.3">
      <c r="A3" s="35" t="s">
        <v>141</v>
      </c>
      <c r="B3" s="36"/>
      <c r="C3" s="36" t="s">
        <v>88</v>
      </c>
      <c r="D3" s="36"/>
      <c r="E3" s="36"/>
      <c r="F3" s="36"/>
      <c r="G3" s="36"/>
      <c r="H3" s="36"/>
      <c r="I3" s="37"/>
      <c r="J3" s="10"/>
      <c r="K3" s="3" t="s">
        <v>1619</v>
      </c>
      <c r="X3" s="10"/>
    </row>
    <row r="4" spans="1:25" x14ac:dyDescent="0.3">
      <c r="A4" s="38"/>
      <c r="B4" s="39"/>
      <c r="C4" s="39"/>
      <c r="D4" s="39"/>
      <c r="E4" s="39"/>
      <c r="F4" s="39"/>
      <c r="G4" s="39"/>
      <c r="H4" s="39"/>
      <c r="I4" s="40"/>
      <c r="J4" s="14"/>
      <c r="X4" s="14"/>
      <c r="Y4" s="13"/>
    </row>
    <row r="5" spans="1:25" ht="15" customHeight="1" x14ac:dyDescent="0.3">
      <c r="A5" s="41" t="s">
        <v>144</v>
      </c>
      <c r="B5" s="36"/>
      <c r="C5" s="469" t="s">
        <v>1620</v>
      </c>
      <c r="D5" s="36"/>
      <c r="E5" s="36"/>
      <c r="F5" s="36"/>
      <c r="G5" s="36"/>
      <c r="H5" s="36"/>
      <c r="I5" s="37"/>
      <c r="J5" s="14"/>
      <c r="K5" s="698" t="s">
        <v>1621</v>
      </c>
      <c r="L5" s="6" t="s">
        <v>1622</v>
      </c>
      <c r="M5" s="699" t="s">
        <v>12</v>
      </c>
      <c r="N5" s="699"/>
      <c r="O5" s="699"/>
      <c r="P5" s="206"/>
      <c r="Q5" s="206"/>
      <c r="R5" s="699" t="s">
        <v>1623</v>
      </c>
      <c r="S5" s="206"/>
      <c r="T5" s="206"/>
      <c r="X5" s="14"/>
      <c r="Y5" s="13"/>
    </row>
    <row r="6" spans="1:25" x14ac:dyDescent="0.3">
      <c r="A6" s="45"/>
      <c r="B6" s="740" t="s">
        <v>962</v>
      </c>
      <c r="C6" s="741" t="s">
        <v>1624</v>
      </c>
      <c r="D6" s="700">
        <v>750000</v>
      </c>
      <c r="E6" s="44"/>
      <c r="F6" s="36"/>
      <c r="G6" s="36"/>
      <c r="H6" s="36"/>
      <c r="I6" s="37"/>
      <c r="J6" s="14"/>
      <c r="K6" s="197" t="s">
        <v>1625</v>
      </c>
      <c r="L6" s="475">
        <f>D6</f>
        <v>750000</v>
      </c>
      <c r="M6" t="s">
        <v>1624</v>
      </c>
      <c r="U6" s="13"/>
      <c r="V6" s="13"/>
      <c r="W6" s="13"/>
      <c r="X6" s="14"/>
      <c r="Y6" s="13"/>
    </row>
    <row r="7" spans="1:25" ht="15" customHeight="1" x14ac:dyDescent="0.3">
      <c r="A7" s="45"/>
      <c r="B7" s="742" t="s">
        <v>963</v>
      </c>
      <c r="C7" s="743" t="s">
        <v>1626</v>
      </c>
      <c r="D7" s="701">
        <v>1.25</v>
      </c>
      <c r="E7" s="44"/>
      <c r="F7" s="36"/>
      <c r="G7" s="36"/>
      <c r="H7" s="36"/>
      <c r="I7" s="37"/>
      <c r="J7" s="14"/>
      <c r="K7" s="197" t="s">
        <v>1627</v>
      </c>
      <c r="L7" s="475">
        <f>D13</f>
        <v>153750</v>
      </c>
      <c r="M7" t="s">
        <v>1628</v>
      </c>
      <c r="U7" s="13"/>
      <c r="V7" s="13"/>
      <c r="W7" s="13"/>
      <c r="X7" s="14"/>
      <c r="Y7" s="13"/>
    </row>
    <row r="8" spans="1:25" ht="15" customHeight="1" x14ac:dyDescent="0.3">
      <c r="A8" s="41"/>
      <c r="B8" s="744" t="s">
        <v>964</v>
      </c>
      <c r="C8" s="743" t="s">
        <v>1630</v>
      </c>
      <c r="D8" s="701">
        <v>0.25</v>
      </c>
      <c r="E8" s="44"/>
      <c r="F8" s="36"/>
      <c r="G8" s="36"/>
      <c r="H8" s="36"/>
      <c r="I8" s="37"/>
      <c r="J8" s="14"/>
      <c r="K8" s="197" t="s">
        <v>1631</v>
      </c>
      <c r="L8" s="705">
        <f>ROUND(L7/L6,3)</f>
        <v>0.20499999999999999</v>
      </c>
      <c r="M8" t="s">
        <v>1632</v>
      </c>
      <c r="R8" t="s">
        <v>397</v>
      </c>
      <c r="U8" s="13"/>
      <c r="V8" s="13"/>
      <c r="W8" s="13"/>
      <c r="X8" s="14"/>
      <c r="Y8" s="13"/>
    </row>
    <row r="9" spans="1:25" x14ac:dyDescent="0.3">
      <c r="A9" s="41"/>
      <c r="B9" s="744" t="s">
        <v>965</v>
      </c>
      <c r="C9" s="743" t="s">
        <v>440</v>
      </c>
      <c r="D9" s="702">
        <v>1.23</v>
      </c>
      <c r="E9" s="44" t="s">
        <v>1633</v>
      </c>
      <c r="F9" s="36"/>
      <c r="G9" s="36"/>
      <c r="H9" s="36"/>
      <c r="I9" s="37"/>
      <c r="J9" s="14"/>
      <c r="K9" s="197" t="s">
        <v>1634</v>
      </c>
      <c r="L9" s="703">
        <f>P37</f>
        <v>0.13300000000000001</v>
      </c>
      <c r="M9" t="s">
        <v>1635</v>
      </c>
      <c r="R9" t="s">
        <v>1738</v>
      </c>
      <c r="U9" s="13"/>
      <c r="V9" s="13"/>
      <c r="W9" s="13"/>
      <c r="X9" s="14"/>
      <c r="Y9" s="13"/>
    </row>
    <row r="10" spans="1:25" x14ac:dyDescent="0.3">
      <c r="A10" s="38"/>
      <c r="B10" s="744" t="s">
        <v>966</v>
      </c>
      <c r="C10" s="743" t="s">
        <v>456</v>
      </c>
      <c r="D10" s="702">
        <v>1.1399999999999999</v>
      </c>
      <c r="E10" s="44" t="s">
        <v>1637</v>
      </c>
      <c r="F10" s="36"/>
      <c r="G10" s="36"/>
      <c r="H10" s="36"/>
      <c r="I10" s="37"/>
      <c r="J10" s="14"/>
      <c r="K10" s="197" t="s">
        <v>1638</v>
      </c>
      <c r="L10" s="596">
        <f>ROUND(L8*L9,3)</f>
        <v>2.7E-2</v>
      </c>
      <c r="M10" t="s">
        <v>1639</v>
      </c>
      <c r="R10" t="s">
        <v>1640</v>
      </c>
      <c r="U10" s="13"/>
      <c r="V10" s="13"/>
      <c r="W10" s="13"/>
      <c r="X10" s="14"/>
      <c r="Y10" s="13"/>
    </row>
    <row r="11" spans="1:25" x14ac:dyDescent="0.3">
      <c r="A11" s="38"/>
      <c r="B11" s="744" t="s">
        <v>1641</v>
      </c>
      <c r="C11" s="743" t="s">
        <v>1642</v>
      </c>
      <c r="D11" s="704">
        <v>100000</v>
      </c>
      <c r="E11" s="44"/>
      <c r="F11" s="36"/>
      <c r="G11" s="36"/>
      <c r="H11" s="36"/>
      <c r="I11" s="37"/>
      <c r="J11" s="14"/>
      <c r="K11" s="197" t="s">
        <v>1643</v>
      </c>
      <c r="L11" s="705">
        <f>ROUND(L8-L10,3)</f>
        <v>0.17799999999999999</v>
      </c>
      <c r="M11" t="s">
        <v>1644</v>
      </c>
      <c r="R11" t="s">
        <v>1645</v>
      </c>
      <c r="U11" s="13"/>
      <c r="V11" s="13"/>
      <c r="W11" s="13"/>
      <c r="X11" s="14"/>
      <c r="Y11" s="13"/>
    </row>
    <row r="12" spans="1:25" x14ac:dyDescent="0.3">
      <c r="A12" s="38"/>
      <c r="B12" s="744" t="s">
        <v>1646</v>
      </c>
      <c r="C12" s="743" t="s">
        <v>444</v>
      </c>
      <c r="D12" s="702">
        <v>0.189</v>
      </c>
      <c r="E12" s="44"/>
      <c r="F12" s="36"/>
      <c r="G12" s="332"/>
      <c r="H12" s="36"/>
      <c r="I12" s="37"/>
      <c r="J12" s="14"/>
      <c r="K12" s="197" t="s">
        <v>1647</v>
      </c>
      <c r="L12" s="706">
        <f>R47</f>
        <v>16.010000000000002</v>
      </c>
      <c r="M12" t="s">
        <v>112</v>
      </c>
      <c r="R12" t="s">
        <v>1739</v>
      </c>
      <c r="U12" s="13"/>
      <c r="V12" s="13"/>
      <c r="W12" s="13"/>
      <c r="X12" s="14"/>
      <c r="Y12" s="13"/>
    </row>
    <row r="13" spans="1:25" x14ac:dyDescent="0.3">
      <c r="A13" s="38"/>
      <c r="B13" s="745" t="s">
        <v>1649</v>
      </c>
      <c r="C13" s="746" t="s">
        <v>1740</v>
      </c>
      <c r="D13" s="754">
        <v>153750</v>
      </c>
      <c r="E13" s="44"/>
      <c r="F13" s="332"/>
      <c r="G13" s="36"/>
      <c r="H13" s="36"/>
      <c r="I13" s="37"/>
      <c r="J13" s="14"/>
      <c r="K13" s="197" t="s">
        <v>1651</v>
      </c>
      <c r="L13" s="544">
        <f>ROUND(L6*D12,0)</f>
        <v>141750</v>
      </c>
      <c r="M13" t="s">
        <v>1652</v>
      </c>
      <c r="R13" t="s">
        <v>1653</v>
      </c>
      <c r="U13" s="13"/>
      <c r="V13" s="13"/>
      <c r="W13" s="13"/>
      <c r="X13" s="14"/>
      <c r="Y13" s="13"/>
    </row>
    <row r="14" spans="1:25" x14ac:dyDescent="0.3">
      <c r="A14" s="38"/>
      <c r="B14" s="39"/>
      <c r="C14" s="36"/>
      <c r="D14" s="36"/>
      <c r="E14" s="36"/>
      <c r="F14" s="36"/>
      <c r="G14" s="36"/>
      <c r="H14" s="36"/>
      <c r="I14" s="37"/>
      <c r="J14" s="14"/>
      <c r="K14" s="197" t="s">
        <v>1654</v>
      </c>
      <c r="L14" s="596">
        <f>ROUND((L7+L13)/L6,3)</f>
        <v>0.39400000000000002</v>
      </c>
      <c r="M14" t="s">
        <v>1655</v>
      </c>
      <c r="R14" t="s">
        <v>1656</v>
      </c>
      <c r="U14" s="13"/>
      <c r="V14" s="13"/>
      <c r="W14" s="13"/>
      <c r="X14" s="14"/>
      <c r="Y14" s="13"/>
    </row>
    <row r="15" spans="1:25" x14ac:dyDescent="0.3">
      <c r="A15" s="45"/>
      <c r="B15" s="36"/>
      <c r="C15" s="36"/>
      <c r="D15" s="36"/>
      <c r="E15" s="36"/>
      <c r="F15" s="36"/>
      <c r="G15" s="36"/>
      <c r="H15" s="36"/>
      <c r="I15" s="37"/>
      <c r="J15" s="14"/>
      <c r="K15" s="197" t="s">
        <v>1657</v>
      </c>
      <c r="L15" s="596">
        <f>ROUND(L8*D9,3)</f>
        <v>0.252</v>
      </c>
      <c r="M15" t="s">
        <v>1658</v>
      </c>
      <c r="R15" t="s">
        <v>1659</v>
      </c>
      <c r="U15" s="13"/>
      <c r="V15" s="13"/>
      <c r="W15" s="13"/>
      <c r="X15" s="14"/>
      <c r="Y15" s="13"/>
    </row>
    <row r="16" spans="1:25" x14ac:dyDescent="0.3">
      <c r="A16" s="35" t="s">
        <v>173</v>
      </c>
      <c r="B16" s="36"/>
      <c r="C16" s="84" t="s">
        <v>1660</v>
      </c>
      <c r="D16" s="36"/>
      <c r="E16" s="36"/>
      <c r="F16" s="36"/>
      <c r="G16" s="36"/>
      <c r="H16" s="36"/>
      <c r="I16" s="37"/>
      <c r="J16" s="14"/>
      <c r="K16" s="197" t="s">
        <v>1661</v>
      </c>
      <c r="L16" s="596">
        <f>ROUND(L14-L15,3)</f>
        <v>0.14199999999999999</v>
      </c>
      <c r="M16" t="s">
        <v>1662</v>
      </c>
      <c r="R16" t="s">
        <v>1663</v>
      </c>
      <c r="U16" s="13"/>
      <c r="V16" s="13"/>
      <c r="W16" s="13"/>
      <c r="X16" s="14"/>
      <c r="Y16" s="13"/>
    </row>
    <row r="17" spans="1:25" x14ac:dyDescent="0.3">
      <c r="A17" s="45"/>
      <c r="B17" s="36"/>
      <c r="C17" s="36" t="s">
        <v>1667</v>
      </c>
      <c r="D17" s="36"/>
      <c r="E17" s="36"/>
      <c r="F17" s="36"/>
      <c r="G17" s="36"/>
      <c r="H17" s="36"/>
      <c r="I17" s="37"/>
      <c r="J17" s="14"/>
      <c r="K17" s="197" t="s">
        <v>1664</v>
      </c>
      <c r="L17" s="596">
        <f>ROUND(D8/D10,3)</f>
        <v>0.219</v>
      </c>
      <c r="M17" t="s">
        <v>1665</v>
      </c>
      <c r="R17" t="s">
        <v>1666</v>
      </c>
      <c r="U17" s="13"/>
      <c r="V17" s="13"/>
      <c r="W17" s="13"/>
      <c r="X17" s="14"/>
      <c r="Y17" s="13"/>
    </row>
    <row r="18" spans="1:25" x14ac:dyDescent="0.3">
      <c r="A18" s="45"/>
      <c r="B18" s="36"/>
      <c r="C18" s="36"/>
      <c r="D18" s="36"/>
      <c r="E18" s="36"/>
      <c r="F18" s="36"/>
      <c r="G18" s="36"/>
      <c r="H18" s="36"/>
      <c r="I18" s="37"/>
      <c r="J18" s="14"/>
      <c r="K18" s="197" t="s">
        <v>1668</v>
      </c>
      <c r="L18" s="596">
        <f>ROUND(D7/D10,3)</f>
        <v>1.0960000000000001</v>
      </c>
      <c r="M18" t="s">
        <v>1669</v>
      </c>
      <c r="R18" t="s">
        <v>1670</v>
      </c>
      <c r="U18" s="13"/>
      <c r="V18" s="13"/>
      <c r="W18" s="13"/>
      <c r="X18" s="14"/>
      <c r="Y18" s="13"/>
    </row>
    <row r="19" spans="1:25" ht="15" customHeight="1" x14ac:dyDescent="0.3">
      <c r="A19" s="45"/>
      <c r="B19" s="36"/>
      <c r="C19" s="36" t="s">
        <v>1741</v>
      </c>
      <c r="D19" s="36"/>
      <c r="E19" s="36"/>
      <c r="F19" s="84">
        <v>0.75</v>
      </c>
      <c r="G19" s="36"/>
      <c r="H19" s="36"/>
      <c r="I19" s="37"/>
      <c r="J19" s="14"/>
      <c r="K19" s="197" t="s">
        <v>1671</v>
      </c>
      <c r="L19" s="709">
        <f>ROUND((L14-L17)/(D9*L11),4)</f>
        <v>0.79930000000000001</v>
      </c>
      <c r="M19" t="s">
        <v>1672</v>
      </c>
      <c r="R19" t="s">
        <v>1673</v>
      </c>
      <c r="U19" s="13"/>
      <c r="V19" s="13"/>
      <c r="W19" s="13"/>
      <c r="X19" s="14"/>
      <c r="Y19" s="13"/>
    </row>
    <row r="20" spans="1:25" ht="28.8" x14ac:dyDescent="0.3">
      <c r="A20" s="45"/>
      <c r="B20" s="36"/>
      <c r="C20" s="137" t="s">
        <v>1461</v>
      </c>
      <c r="D20" s="755" t="s">
        <v>1711</v>
      </c>
      <c r="E20" s="755" t="s">
        <v>410</v>
      </c>
      <c r="F20" s="755" t="s">
        <v>1712</v>
      </c>
      <c r="G20" s="756" t="s">
        <v>383</v>
      </c>
      <c r="H20" s="757" t="s">
        <v>1726</v>
      </c>
      <c r="I20" s="37"/>
      <c r="J20" s="14"/>
      <c r="K20" s="197" t="s">
        <v>1674</v>
      </c>
      <c r="L20" s="546">
        <f>ROUND((L18-L17)/(D9*L11),2)</f>
        <v>4.01</v>
      </c>
      <c r="M20" t="s">
        <v>1675</v>
      </c>
      <c r="R20" t="s">
        <v>1676</v>
      </c>
      <c r="U20" s="13"/>
      <c r="V20" s="13"/>
      <c r="W20" s="13"/>
      <c r="X20" s="14"/>
      <c r="Y20" s="13"/>
    </row>
    <row r="21" spans="1:25" x14ac:dyDescent="0.3">
      <c r="A21" s="45"/>
      <c r="B21" s="36"/>
      <c r="C21" s="77" t="s">
        <v>1717</v>
      </c>
      <c r="D21" s="181" t="s">
        <v>1091</v>
      </c>
      <c r="E21" s="213">
        <v>32074.248749999999</v>
      </c>
      <c r="F21" s="181">
        <v>0.09</v>
      </c>
      <c r="G21" s="213">
        <v>208613</v>
      </c>
      <c r="H21" s="144">
        <v>10000</v>
      </c>
      <c r="I21" s="37"/>
      <c r="J21" s="14"/>
      <c r="K21" s="197" t="s">
        <v>1677</v>
      </c>
      <c r="L21" s="711">
        <f>C43</f>
        <v>0.17</v>
      </c>
      <c r="M21" t="s">
        <v>1678</v>
      </c>
      <c r="R21" t="s">
        <v>1679</v>
      </c>
      <c r="U21" s="13"/>
      <c r="V21" s="13"/>
      <c r="W21" s="13"/>
      <c r="X21" s="14"/>
      <c r="Y21" s="13"/>
    </row>
    <row r="22" spans="1:25" x14ac:dyDescent="0.3">
      <c r="A22" s="45"/>
      <c r="B22" s="36"/>
      <c r="C22" s="77" t="s">
        <v>1717</v>
      </c>
      <c r="D22" s="181" t="s">
        <v>1498</v>
      </c>
      <c r="E22" s="213">
        <v>106179.13499999999</v>
      </c>
      <c r="F22" s="181">
        <v>0.11</v>
      </c>
      <c r="G22" s="213">
        <v>690596</v>
      </c>
      <c r="H22" s="144">
        <v>21000</v>
      </c>
      <c r="I22" s="37"/>
      <c r="J22" s="14"/>
      <c r="K22" s="197" t="s">
        <v>1681</v>
      </c>
      <c r="L22" s="711">
        <f>C47</f>
        <v>4.18</v>
      </c>
      <c r="M22" t="s">
        <v>1682</v>
      </c>
      <c r="R22" t="s">
        <v>1679</v>
      </c>
      <c r="S22" s="13"/>
      <c r="T22" s="13"/>
      <c r="U22" s="13"/>
      <c r="V22" s="13"/>
      <c r="W22" s="13"/>
      <c r="X22" s="14"/>
      <c r="Y22" s="13"/>
    </row>
    <row r="23" spans="1:25" ht="15" customHeight="1" x14ac:dyDescent="0.3">
      <c r="A23" s="45"/>
      <c r="B23" s="36"/>
      <c r="C23" s="82" t="s">
        <v>348</v>
      </c>
      <c r="D23" s="319" t="s">
        <v>654</v>
      </c>
      <c r="E23" s="214">
        <v>15496.4625</v>
      </c>
      <c r="F23" s="319">
        <v>0.38</v>
      </c>
      <c r="G23" s="214">
        <v>100790</v>
      </c>
      <c r="H23" s="147">
        <v>2000</v>
      </c>
      <c r="I23" s="37"/>
      <c r="J23" s="14"/>
      <c r="K23" s="197" t="s">
        <v>1684</v>
      </c>
      <c r="L23" s="711">
        <f>E47</f>
        <v>6.4899999999999999E-2</v>
      </c>
      <c r="M23" t="s">
        <v>1685</v>
      </c>
      <c r="R23" t="s">
        <v>1686</v>
      </c>
      <c r="S23" s="13"/>
      <c r="T23" s="13"/>
      <c r="U23" s="13"/>
      <c r="V23" s="13"/>
      <c r="W23" s="13"/>
      <c r="X23" s="14"/>
      <c r="Y23" s="13"/>
    </row>
    <row r="24" spans="1:25" ht="15" customHeight="1" x14ac:dyDescent="0.3">
      <c r="A24" s="45"/>
      <c r="B24" s="36"/>
      <c r="C24" s="36"/>
      <c r="D24" s="36"/>
      <c r="E24" s="36"/>
      <c r="F24" s="36"/>
      <c r="G24" s="36"/>
      <c r="H24" s="36"/>
      <c r="I24" s="37"/>
      <c r="J24" s="14"/>
      <c r="K24" s="197" t="s">
        <v>1688</v>
      </c>
      <c r="L24" s="711">
        <f>E43+L21-1</f>
        <v>3.2699999999999951E-2</v>
      </c>
      <c r="M24" t="s">
        <v>1689</v>
      </c>
      <c r="S24" s="13"/>
      <c r="T24" s="13"/>
      <c r="U24" s="13"/>
      <c r="V24" s="13"/>
      <c r="W24" s="13"/>
      <c r="X24" s="14"/>
      <c r="Y24" s="13"/>
    </row>
    <row r="25" spans="1:25" ht="15" customHeight="1" x14ac:dyDescent="0.3">
      <c r="A25" s="45"/>
      <c r="B25" s="36"/>
      <c r="C25" s="469" t="s">
        <v>1680</v>
      </c>
      <c r="D25" s="36"/>
      <c r="E25" s="36"/>
      <c r="F25" s="36"/>
      <c r="G25" s="36"/>
      <c r="H25" s="36"/>
      <c r="I25" s="37"/>
      <c r="J25" s="14"/>
      <c r="K25" s="197" t="s">
        <v>1691</v>
      </c>
      <c r="L25" s="596">
        <f>ROUND((L23-L24)*D9*L11,3)</f>
        <v>7.0000000000000001E-3</v>
      </c>
      <c r="M25" t="s">
        <v>1692</v>
      </c>
      <c r="R25" t="s">
        <v>1693</v>
      </c>
      <c r="S25" s="13"/>
      <c r="T25" s="13"/>
      <c r="U25" s="13"/>
      <c r="V25" s="13"/>
      <c r="W25" s="13"/>
      <c r="X25" s="14"/>
      <c r="Y25" s="13"/>
    </row>
    <row r="26" spans="1:25" ht="15" customHeight="1" x14ac:dyDescent="0.3">
      <c r="A26" s="45"/>
      <c r="B26" s="36"/>
      <c r="C26" s="48" t="s">
        <v>1683</v>
      </c>
      <c r="D26" s="748" t="s">
        <v>112</v>
      </c>
      <c r="E26" s="748"/>
      <c r="F26" s="36"/>
      <c r="G26" s="36"/>
      <c r="H26" s="36"/>
      <c r="I26" s="37"/>
      <c r="J26" s="14"/>
      <c r="K26" s="197" t="s">
        <v>1695</v>
      </c>
      <c r="L26" s="457">
        <f>ROUND(L25+L16,3)</f>
        <v>0.14899999999999999</v>
      </c>
      <c r="M26" t="s">
        <v>111</v>
      </c>
      <c r="R26" t="s">
        <v>1696</v>
      </c>
      <c r="S26" s="13"/>
      <c r="T26" s="13"/>
      <c r="U26" s="13"/>
      <c r="V26" s="13"/>
      <c r="W26" s="13"/>
      <c r="X26" s="14"/>
      <c r="Y26" s="13"/>
    </row>
    <row r="27" spans="1:25" ht="15" customHeight="1" x14ac:dyDescent="0.3">
      <c r="A27" s="45"/>
      <c r="B27" s="36"/>
      <c r="C27" s="749">
        <v>51</v>
      </c>
      <c r="D27" s="712" t="s">
        <v>1742</v>
      </c>
      <c r="E27" s="713"/>
      <c r="F27" s="36"/>
      <c r="G27" s="36"/>
      <c r="H27" s="36"/>
      <c r="I27" s="37"/>
      <c r="J27" s="14"/>
      <c r="R27" s="13"/>
      <c r="S27" s="13"/>
      <c r="T27" s="13"/>
      <c r="U27" s="13"/>
      <c r="V27" s="13"/>
      <c r="W27" s="13"/>
      <c r="X27" s="14"/>
      <c r="Y27" s="13"/>
    </row>
    <row r="28" spans="1:25" ht="15" customHeight="1" x14ac:dyDescent="0.3">
      <c r="A28" s="45"/>
      <c r="B28" s="36"/>
      <c r="C28" s="749">
        <v>50</v>
      </c>
      <c r="D28" s="712" t="s">
        <v>1687</v>
      </c>
      <c r="E28" s="713"/>
      <c r="F28" s="36"/>
      <c r="G28" s="36"/>
      <c r="H28" s="36"/>
      <c r="I28" s="37"/>
      <c r="J28" s="14"/>
      <c r="K28" s="26" t="s">
        <v>1698</v>
      </c>
      <c r="L28" t="s">
        <v>1699</v>
      </c>
      <c r="R28" s="13"/>
      <c r="S28" s="13"/>
      <c r="T28" s="13"/>
      <c r="U28" s="13"/>
      <c r="V28" s="13"/>
      <c r="W28" s="13"/>
      <c r="X28" s="14"/>
      <c r="Y28" s="13"/>
    </row>
    <row r="29" spans="1:25" x14ac:dyDescent="0.3">
      <c r="A29" s="45"/>
      <c r="B29" s="36"/>
      <c r="C29" s="749">
        <v>49</v>
      </c>
      <c r="D29" s="712" t="s">
        <v>1690</v>
      </c>
      <c r="E29" s="713"/>
      <c r="F29" s="36"/>
      <c r="G29" s="36"/>
      <c r="H29" s="36"/>
      <c r="I29" s="37"/>
      <c r="J29" s="14"/>
      <c r="K29" s="26" t="s">
        <v>1701</v>
      </c>
      <c r="L29" t="s">
        <v>1702</v>
      </c>
      <c r="R29" s="13"/>
      <c r="S29" s="13"/>
      <c r="T29" s="13"/>
      <c r="U29" s="13"/>
      <c r="V29" s="13"/>
      <c r="W29" s="13"/>
      <c r="X29" s="14"/>
      <c r="Y29" s="13"/>
    </row>
    <row r="30" spans="1:25" x14ac:dyDescent="0.3">
      <c r="A30" s="45"/>
      <c r="B30" s="36"/>
      <c r="C30" s="750">
        <v>48</v>
      </c>
      <c r="D30" s="714" t="s">
        <v>1694</v>
      </c>
      <c r="E30" s="715"/>
      <c r="F30" s="36"/>
      <c r="G30" s="36"/>
      <c r="H30" s="36"/>
      <c r="I30" s="37"/>
      <c r="J30" s="14"/>
      <c r="R30" s="13"/>
      <c r="S30" s="13"/>
      <c r="T30" s="13"/>
      <c r="U30" s="13"/>
      <c r="V30" s="13"/>
      <c r="W30" s="13"/>
      <c r="X30" s="14"/>
      <c r="Y30" s="13"/>
    </row>
    <row r="31" spans="1:25" x14ac:dyDescent="0.3">
      <c r="A31" s="45"/>
      <c r="B31" s="36"/>
      <c r="C31" s="36"/>
      <c r="D31" s="36"/>
      <c r="E31" s="36"/>
      <c r="F31" s="36"/>
      <c r="G31" s="36"/>
      <c r="H31" s="36"/>
      <c r="I31" s="37"/>
      <c r="J31" s="14"/>
      <c r="K31" s="198" t="s">
        <v>1706</v>
      </c>
      <c r="R31" s="13"/>
      <c r="S31" s="13"/>
      <c r="T31" s="13"/>
      <c r="U31" s="13"/>
      <c r="V31" s="13"/>
      <c r="W31" s="13"/>
      <c r="X31" s="14"/>
      <c r="Y31" s="13"/>
    </row>
    <row r="32" spans="1:25" x14ac:dyDescent="0.3">
      <c r="A32" s="45"/>
      <c r="B32" s="36"/>
      <c r="C32" s="469" t="s">
        <v>1700</v>
      </c>
      <c r="D32" s="36"/>
      <c r="E32" s="36"/>
      <c r="F32" s="36"/>
      <c r="G32" s="36"/>
      <c r="H32" s="36"/>
      <c r="I32" s="37"/>
      <c r="J32" s="14"/>
      <c r="K32" t="s">
        <v>1788</v>
      </c>
      <c r="R32" s="13"/>
      <c r="S32" s="13"/>
      <c r="T32" s="13"/>
      <c r="U32" s="13"/>
      <c r="V32" s="13"/>
      <c r="W32" s="13"/>
      <c r="X32" s="14"/>
      <c r="Y32" s="13"/>
    </row>
    <row r="33" spans="1:25" ht="28.8" x14ac:dyDescent="0.3">
      <c r="A33" s="45"/>
      <c r="B33" s="36"/>
      <c r="C33" s="48" t="s">
        <v>1703</v>
      </c>
      <c r="D33" s="748" t="s">
        <v>1704</v>
      </c>
      <c r="E33" s="748"/>
      <c r="F33" s="36"/>
      <c r="G33" s="36"/>
      <c r="H33" s="36"/>
      <c r="I33" s="37"/>
      <c r="J33" s="14"/>
      <c r="K33" s="6" t="s">
        <v>1461</v>
      </c>
      <c r="L33" s="6" t="s">
        <v>1711</v>
      </c>
      <c r="M33" s="718" t="s">
        <v>410</v>
      </c>
      <c r="N33" s="718" t="s">
        <v>1712</v>
      </c>
      <c r="O33" s="718" t="s">
        <v>1713</v>
      </c>
      <c r="P33" s="6" t="s">
        <v>1635</v>
      </c>
      <c r="Q33" s="719" t="s">
        <v>1714</v>
      </c>
      <c r="R33" s="13" t="s">
        <v>1715</v>
      </c>
      <c r="S33" s="13"/>
      <c r="T33" s="13"/>
      <c r="U33" s="13"/>
      <c r="V33" s="13"/>
      <c r="W33" s="13"/>
      <c r="X33" s="14"/>
      <c r="Y33" s="13"/>
    </row>
    <row r="34" spans="1:25" x14ac:dyDescent="0.3">
      <c r="A34" s="45"/>
      <c r="B34" s="36"/>
      <c r="C34" s="751">
        <v>5</v>
      </c>
      <c r="D34" s="716" t="s">
        <v>1743</v>
      </c>
      <c r="E34" s="717"/>
      <c r="F34" s="36"/>
      <c r="G34" s="36"/>
      <c r="H34" s="36"/>
      <c r="I34" s="37"/>
      <c r="J34" s="14"/>
      <c r="K34" s="10" t="s">
        <v>1717</v>
      </c>
      <c r="L34" s="10" t="s">
        <v>1091</v>
      </c>
      <c r="M34" s="213">
        <f t="shared" ref="M34:N36" si="0">E21</f>
        <v>32074.248749999999</v>
      </c>
      <c r="N34" s="181">
        <f t="shared" si="0"/>
        <v>0.09</v>
      </c>
      <c r="O34" s="598">
        <f>M34*N34</f>
        <v>2886.6823875</v>
      </c>
      <c r="R34" s="13" t="s">
        <v>1718</v>
      </c>
      <c r="S34" s="13"/>
      <c r="T34" s="13"/>
      <c r="U34" s="13"/>
      <c r="V34" s="13"/>
      <c r="W34" s="13"/>
      <c r="X34" s="14"/>
      <c r="Y34" s="13"/>
    </row>
    <row r="35" spans="1:25" x14ac:dyDescent="0.3">
      <c r="A35" s="45"/>
      <c r="B35" s="36"/>
      <c r="C35" s="749">
        <v>6</v>
      </c>
      <c r="D35" s="712" t="s">
        <v>1744</v>
      </c>
      <c r="E35" s="713"/>
      <c r="F35" s="36"/>
      <c r="G35" s="36"/>
      <c r="H35" s="36"/>
      <c r="I35" s="37"/>
      <c r="J35" s="14"/>
      <c r="K35" s="10" t="s">
        <v>1717</v>
      </c>
      <c r="L35" s="10" t="s">
        <v>1498</v>
      </c>
      <c r="M35" s="213">
        <f t="shared" si="0"/>
        <v>106179.13499999999</v>
      </c>
      <c r="N35" s="181">
        <f t="shared" si="0"/>
        <v>0.11</v>
      </c>
      <c r="O35" s="598">
        <f t="shared" ref="O35:O36" si="1">M35*N35</f>
        <v>11679.70485</v>
      </c>
      <c r="R35" s="13" t="s">
        <v>1719</v>
      </c>
      <c r="S35" s="13"/>
      <c r="T35" s="13"/>
      <c r="U35" s="13"/>
      <c r="V35" s="13"/>
      <c r="W35" s="13"/>
      <c r="X35" s="14"/>
      <c r="Y35" s="13"/>
    </row>
    <row r="36" spans="1:25" x14ac:dyDescent="0.3">
      <c r="A36" s="45"/>
      <c r="B36" s="36"/>
      <c r="C36" s="750">
        <v>7</v>
      </c>
      <c r="D36" s="714" t="s">
        <v>1745</v>
      </c>
      <c r="E36" s="715"/>
      <c r="F36" s="36"/>
      <c r="G36" s="36"/>
      <c r="H36" s="36"/>
      <c r="I36" s="37"/>
      <c r="J36" s="14"/>
      <c r="K36" s="10" t="s">
        <v>348</v>
      </c>
      <c r="L36" s="10" t="s">
        <v>654</v>
      </c>
      <c r="M36" s="213">
        <f t="shared" si="0"/>
        <v>15496.4625</v>
      </c>
      <c r="N36" s="181">
        <f t="shared" si="0"/>
        <v>0.38</v>
      </c>
      <c r="O36" s="598">
        <f t="shared" si="1"/>
        <v>5888.6557499999999</v>
      </c>
      <c r="Q36" s="719" t="s">
        <v>1714</v>
      </c>
      <c r="R36" s="13" t="s">
        <v>1720</v>
      </c>
      <c r="S36" s="13"/>
      <c r="T36" s="13"/>
      <c r="U36" s="13"/>
      <c r="V36" s="13"/>
      <c r="W36" s="13"/>
      <c r="X36" s="14"/>
      <c r="Y36" s="13"/>
    </row>
    <row r="37" spans="1:25" ht="15" thickBot="1" x14ac:dyDescent="0.35">
      <c r="A37" s="45"/>
      <c r="B37" s="36"/>
      <c r="C37" s="36"/>
      <c r="D37" s="36"/>
      <c r="E37" s="36"/>
      <c r="F37" s="36"/>
      <c r="G37" s="36"/>
      <c r="H37" s="36"/>
      <c r="I37" s="37"/>
      <c r="J37" s="14"/>
      <c r="K37" s="243" t="s">
        <v>308</v>
      </c>
      <c r="L37" s="723"/>
      <c r="M37" s="607">
        <f>SUM(M34:M36)</f>
        <v>153749.84624999997</v>
      </c>
      <c r="N37" s="723"/>
      <c r="O37" s="607">
        <f>SUM(O34:O36)</f>
        <v>20455.042987499997</v>
      </c>
      <c r="P37" s="724">
        <f>ROUND(O37/M37,3)</f>
        <v>0.13300000000000001</v>
      </c>
      <c r="R37" s="13" t="s">
        <v>1721</v>
      </c>
      <c r="S37" s="13"/>
      <c r="T37" s="13"/>
      <c r="U37" s="13"/>
      <c r="V37" s="13"/>
      <c r="W37" s="13"/>
      <c r="X37" s="14"/>
      <c r="Y37" s="13"/>
    </row>
    <row r="38" spans="1:25" x14ac:dyDescent="0.3">
      <c r="A38" s="45"/>
      <c r="B38" s="36"/>
      <c r="C38" s="469" t="s">
        <v>1746</v>
      </c>
      <c r="D38" s="36"/>
      <c r="E38" s="36"/>
      <c r="F38" s="36"/>
      <c r="G38" s="36"/>
      <c r="H38" s="36"/>
      <c r="I38" s="37"/>
      <c r="J38" s="14"/>
      <c r="R38" s="13"/>
      <c r="S38" s="13"/>
      <c r="T38" s="13"/>
      <c r="U38" s="13"/>
      <c r="V38" s="13"/>
      <c r="W38" s="13"/>
      <c r="X38" s="14"/>
      <c r="Y38" s="13"/>
    </row>
    <row r="39" spans="1:25" x14ac:dyDescent="0.3">
      <c r="A39" s="38"/>
      <c r="B39" s="39"/>
      <c r="C39" s="469" t="s">
        <v>1716</v>
      </c>
      <c r="D39" s="36"/>
      <c r="E39" s="36"/>
      <c r="F39" s="36"/>
      <c r="G39" s="36"/>
      <c r="H39" s="36"/>
      <c r="I39" s="37"/>
      <c r="J39" s="14"/>
      <c r="K39" s="11" t="s">
        <v>1722</v>
      </c>
      <c r="R39" s="13"/>
      <c r="S39" s="13"/>
      <c r="T39" s="13"/>
      <c r="U39" s="13"/>
      <c r="V39" s="13"/>
      <c r="W39" s="13"/>
      <c r="X39" s="14"/>
      <c r="Y39" s="13"/>
    </row>
    <row r="40" spans="1:25" x14ac:dyDescent="0.3">
      <c r="A40" s="45"/>
      <c r="B40" s="36"/>
      <c r="C40" s="36"/>
      <c r="D40" s="636" t="s">
        <v>1683</v>
      </c>
      <c r="E40" s="752"/>
      <c r="F40" s="753"/>
      <c r="G40" s="36"/>
      <c r="H40" s="36"/>
      <c r="I40" s="37"/>
      <c r="J40" s="14"/>
      <c r="K40" s="11" t="s">
        <v>1724</v>
      </c>
      <c r="R40" s="13"/>
      <c r="S40" s="13"/>
      <c r="T40" s="13"/>
      <c r="U40" s="13"/>
      <c r="V40" s="13"/>
      <c r="W40" s="13"/>
      <c r="X40" s="14"/>
      <c r="Y40" s="13"/>
    </row>
    <row r="41" spans="1:25" x14ac:dyDescent="0.3">
      <c r="A41" s="45"/>
      <c r="B41" s="36"/>
      <c r="C41" s="48" t="s">
        <v>657</v>
      </c>
      <c r="D41" s="212">
        <v>51</v>
      </c>
      <c r="E41" s="48">
        <v>50</v>
      </c>
      <c r="F41" s="96">
        <v>49</v>
      </c>
      <c r="G41" s="36"/>
      <c r="H41" s="36"/>
      <c r="I41" s="37"/>
      <c r="J41" s="14"/>
      <c r="R41" s="13"/>
      <c r="S41" s="13"/>
      <c r="T41" s="13"/>
      <c r="U41" s="13"/>
      <c r="V41" s="13"/>
      <c r="W41" s="13"/>
      <c r="X41" s="14"/>
      <c r="Y41" s="13"/>
    </row>
    <row r="42" spans="1:25" x14ac:dyDescent="0.3">
      <c r="A42" s="45"/>
      <c r="B42" s="36"/>
      <c r="C42" s="721">
        <v>0.16</v>
      </c>
      <c r="D42" s="720">
        <v>0.87190000000000001</v>
      </c>
      <c r="E42" s="721">
        <v>0.86990000000000001</v>
      </c>
      <c r="F42" s="722">
        <v>0.86780000000000002</v>
      </c>
      <c r="G42" s="36"/>
      <c r="H42" s="36"/>
      <c r="I42" s="37"/>
      <c r="J42" s="14"/>
      <c r="K42" s="198" t="s">
        <v>1725</v>
      </c>
      <c r="R42" s="13"/>
      <c r="S42" s="13"/>
      <c r="T42" s="13"/>
      <c r="U42" s="13"/>
      <c r="V42" s="13"/>
      <c r="W42" s="13"/>
      <c r="X42" s="14"/>
      <c r="Y42" s="13"/>
    </row>
    <row r="43" spans="1:25" ht="28.8" x14ac:dyDescent="0.3">
      <c r="A43" s="45"/>
      <c r="B43" s="36"/>
      <c r="C43" s="726">
        <v>0.17</v>
      </c>
      <c r="D43" s="725">
        <v>0.8649</v>
      </c>
      <c r="E43" s="726">
        <v>0.86270000000000002</v>
      </c>
      <c r="F43" s="727">
        <v>0.86050000000000004</v>
      </c>
      <c r="G43" s="36"/>
      <c r="H43" s="36"/>
      <c r="I43" s="37"/>
      <c r="J43" s="14"/>
      <c r="K43" s="718" t="s">
        <v>1461</v>
      </c>
      <c r="L43" s="718" t="s">
        <v>1711</v>
      </c>
      <c r="M43" s="718" t="s">
        <v>383</v>
      </c>
      <c r="N43" s="718" t="s">
        <v>103</v>
      </c>
      <c r="O43" s="718" t="s">
        <v>442</v>
      </c>
      <c r="P43" s="718" t="s">
        <v>410</v>
      </c>
      <c r="Q43" s="718" t="s">
        <v>1726</v>
      </c>
      <c r="R43" s="734" t="s">
        <v>112</v>
      </c>
      <c r="S43" s="13"/>
      <c r="T43" s="13"/>
      <c r="U43" s="13"/>
      <c r="V43" s="13"/>
      <c r="W43" s="13"/>
      <c r="X43" s="14"/>
      <c r="Y43" s="13"/>
    </row>
    <row r="44" spans="1:25" ht="31.5" customHeight="1" x14ac:dyDescent="0.3">
      <c r="A44" s="45"/>
      <c r="B44" s="36"/>
      <c r="C44" s="726">
        <v>0.18</v>
      </c>
      <c r="D44" s="725">
        <v>0.85799999999999998</v>
      </c>
      <c r="E44" s="726">
        <v>0.85570000000000002</v>
      </c>
      <c r="F44" s="727">
        <v>0.85340000000000005</v>
      </c>
      <c r="G44" s="36"/>
      <c r="H44" s="36"/>
      <c r="I44" s="37"/>
      <c r="J44" s="14"/>
      <c r="K44" s="10" t="s">
        <v>1717</v>
      </c>
      <c r="L44" s="10" t="s">
        <v>1091</v>
      </c>
      <c r="M44" s="213">
        <f>G21</f>
        <v>208613</v>
      </c>
      <c r="N44" s="10"/>
      <c r="O44" s="10"/>
      <c r="P44" s="598">
        <f>M44*$N$47*$O$47</f>
        <v>32074.248749999999</v>
      </c>
      <c r="Q44" s="213">
        <f>H21</f>
        <v>10000</v>
      </c>
      <c r="R44" s="735">
        <f>P44/Q44</f>
        <v>3.2074248750000001</v>
      </c>
      <c r="S44" s="13"/>
      <c r="T44" s="13"/>
      <c r="U44" s="13"/>
      <c r="V44" s="13"/>
      <c r="W44" s="13"/>
      <c r="X44" s="14"/>
      <c r="Y44" s="13"/>
    </row>
    <row r="45" spans="1:25" x14ac:dyDescent="0.3">
      <c r="A45" s="45"/>
      <c r="B45" s="36"/>
      <c r="C45" s="729" t="s">
        <v>1723</v>
      </c>
      <c r="D45" s="728" t="s">
        <v>1723</v>
      </c>
      <c r="E45" s="729" t="s">
        <v>1723</v>
      </c>
      <c r="F45" s="730" t="s">
        <v>1723</v>
      </c>
      <c r="G45" s="36"/>
      <c r="H45" s="36"/>
      <c r="I45" s="37"/>
      <c r="J45" s="14"/>
      <c r="K45" s="10" t="s">
        <v>1717</v>
      </c>
      <c r="L45" s="10" t="s">
        <v>1498</v>
      </c>
      <c r="M45" s="213">
        <f>G22</f>
        <v>690596</v>
      </c>
      <c r="N45" s="10"/>
      <c r="O45" s="10"/>
      <c r="P45" s="598">
        <f>M45*$N$47*$O$47</f>
        <v>106179.13499999999</v>
      </c>
      <c r="Q45" s="213">
        <f>H22</f>
        <v>21000</v>
      </c>
      <c r="R45" s="735">
        <f t="shared" ref="R45:R46" si="2">P45/Q45</f>
        <v>5.0561492857142856</v>
      </c>
      <c r="S45" s="13"/>
      <c r="T45" s="13"/>
      <c r="U45" s="13"/>
      <c r="V45" s="13"/>
      <c r="W45" s="13"/>
      <c r="X45" s="14"/>
      <c r="Y45" s="13"/>
    </row>
    <row r="46" spans="1:25" x14ac:dyDescent="0.3">
      <c r="A46" s="45"/>
      <c r="B46" s="36"/>
      <c r="C46" s="758">
        <v>4.17</v>
      </c>
      <c r="D46" s="725">
        <v>7.7200000000000005E-2</v>
      </c>
      <c r="E46" s="726">
        <v>6.54E-2</v>
      </c>
      <c r="F46" s="727">
        <v>5.45E-2</v>
      </c>
      <c r="G46" s="36"/>
      <c r="H46" s="36"/>
      <c r="I46" s="37"/>
      <c r="J46" s="14"/>
      <c r="K46" s="10" t="s">
        <v>348</v>
      </c>
      <c r="L46" s="10" t="s">
        <v>654</v>
      </c>
      <c r="M46" s="213">
        <f>G23</f>
        <v>100790</v>
      </c>
      <c r="N46" s="10"/>
      <c r="O46" s="10"/>
      <c r="P46" s="598">
        <f>M46*$N$47*$O$47</f>
        <v>15496.4625</v>
      </c>
      <c r="Q46" s="213">
        <f>H23</f>
        <v>2000</v>
      </c>
      <c r="R46" s="735">
        <f t="shared" si="2"/>
        <v>7.7482312499999999</v>
      </c>
      <c r="S46" s="13"/>
      <c r="T46" s="13"/>
      <c r="U46" s="13"/>
      <c r="V46" s="13"/>
      <c r="W46" s="13"/>
      <c r="X46" s="14"/>
      <c r="Y46" s="13"/>
    </row>
    <row r="47" spans="1:25" ht="15" thickBot="1" x14ac:dyDescent="0.35">
      <c r="A47" s="45"/>
      <c r="B47" s="36"/>
      <c r="C47" s="726">
        <v>4.18</v>
      </c>
      <c r="D47" s="725">
        <v>7.6799999999999993E-2</v>
      </c>
      <c r="E47" s="726">
        <v>6.4899999999999999E-2</v>
      </c>
      <c r="F47" s="727">
        <v>5.4100000000000002E-2</v>
      </c>
      <c r="G47" s="36"/>
      <c r="H47" s="36"/>
      <c r="I47" s="37"/>
      <c r="J47" s="14"/>
      <c r="K47" s="243" t="s">
        <v>308</v>
      </c>
      <c r="L47" s="243"/>
      <c r="M47" s="243"/>
      <c r="N47" s="736">
        <v>0.75</v>
      </c>
      <c r="O47" s="737">
        <f>L8</f>
        <v>0.20499999999999999</v>
      </c>
      <c r="P47" s="243"/>
      <c r="Q47" s="243"/>
      <c r="R47" s="738">
        <f>ROUND(SUM(R44:R46),2)</f>
        <v>16.010000000000002</v>
      </c>
      <c r="S47" s="13"/>
      <c r="T47" s="13"/>
      <c r="U47" s="13"/>
      <c r="V47" s="13"/>
      <c r="W47" s="13"/>
      <c r="X47" s="14"/>
      <c r="Y47" s="13"/>
    </row>
    <row r="48" spans="1:25" x14ac:dyDescent="0.3">
      <c r="A48" s="45"/>
      <c r="B48" s="36"/>
      <c r="C48" s="732">
        <v>4.1900000000000004</v>
      </c>
      <c r="D48" s="731">
        <v>7.6300000000000007E-2</v>
      </c>
      <c r="E48" s="732">
        <v>6.4399999999999999E-2</v>
      </c>
      <c r="F48" s="733">
        <v>5.3699999999999998E-2</v>
      </c>
      <c r="G48" s="36"/>
      <c r="H48" s="36"/>
      <c r="I48" s="37"/>
      <c r="J48" s="14"/>
      <c r="K48" s="3" t="s">
        <v>1727</v>
      </c>
      <c r="R48" s="13"/>
      <c r="S48" s="13"/>
      <c r="T48" s="13"/>
      <c r="U48" s="13"/>
      <c r="V48" s="13"/>
      <c r="W48" s="13"/>
      <c r="X48" s="14"/>
      <c r="Y48" s="13"/>
    </row>
    <row r="49" spans="1:25" ht="15" thickBot="1" x14ac:dyDescent="0.35">
      <c r="A49" s="53"/>
      <c r="B49" s="54"/>
      <c r="C49" s="54"/>
      <c r="D49" s="54"/>
      <c r="E49" s="54"/>
      <c r="F49" s="54"/>
      <c r="G49" s="54"/>
      <c r="H49" s="54"/>
      <c r="I49" s="55"/>
      <c r="J49" s="14"/>
      <c r="T49" s="13"/>
      <c r="U49" s="13"/>
      <c r="V49" s="13"/>
      <c r="W49" s="13"/>
      <c r="X49" s="14"/>
      <c r="Y49" s="13"/>
    </row>
    <row r="50" spans="1:25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5" x14ac:dyDescent="0.3">
      <c r="C51" s="13"/>
      <c r="D51" s="13"/>
      <c r="E51" s="13"/>
      <c r="F51" s="13"/>
      <c r="G51" s="13"/>
      <c r="H51" s="13"/>
      <c r="I51" s="13"/>
      <c r="J51" s="14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1:25" x14ac:dyDescent="0.3">
      <c r="C52" s="13"/>
      <c r="D52" s="13"/>
      <c r="E52" s="13"/>
      <c r="F52" s="13"/>
      <c r="G52" s="13"/>
      <c r="H52" s="13"/>
      <c r="I52" s="13"/>
      <c r="J52" s="14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1:25" x14ac:dyDescent="0.3">
      <c r="C53" s="13"/>
      <c r="D53" s="13"/>
      <c r="E53" s="13"/>
      <c r="F53" s="13"/>
      <c r="G53" s="13"/>
      <c r="H53" s="13"/>
      <c r="I53" s="13"/>
      <c r="J53" s="14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1:25" x14ac:dyDescent="0.3">
      <c r="J54" s="14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1:25" x14ac:dyDescent="0.3">
      <c r="J55" s="14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1:25" x14ac:dyDescent="0.3">
      <c r="J56" s="1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1:25" x14ac:dyDescent="0.3">
      <c r="J57" s="14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1:25" x14ac:dyDescent="0.3">
      <c r="J58" s="14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1:25" x14ac:dyDescent="0.3">
      <c r="J59" s="14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1:25" x14ac:dyDescent="0.3">
      <c r="J60" s="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1:25" x14ac:dyDescent="0.3">
      <c r="J61" s="1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1:25" x14ac:dyDescent="0.3">
      <c r="J62" s="14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1:25" x14ac:dyDescent="0.3"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1:25" x14ac:dyDescent="0.3">
      <c r="J64" s="14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10:24" x14ac:dyDescent="0.3">
      <c r="J65" s="14"/>
      <c r="X65" s="14"/>
    </row>
    <row r="66" spans="10:24" x14ac:dyDescent="0.3">
      <c r="J66" s="14"/>
      <c r="X66" s="14"/>
    </row>
    <row r="67" spans="10:24" x14ac:dyDescent="0.3">
      <c r="J67" s="14"/>
      <c r="X67" s="14"/>
    </row>
    <row r="68" spans="10:24" x14ac:dyDescent="0.3">
      <c r="J68" s="14"/>
      <c r="X68" s="14"/>
    </row>
    <row r="69" spans="10:24" x14ac:dyDescent="0.3">
      <c r="J69" s="14"/>
      <c r="X69" s="14"/>
    </row>
    <row r="70" spans="10:24" x14ac:dyDescent="0.3">
      <c r="J70" s="14"/>
      <c r="X70" s="14"/>
    </row>
    <row r="71" spans="10:24" x14ac:dyDescent="0.3">
      <c r="J71" s="14"/>
      <c r="X71" s="14"/>
    </row>
    <row r="72" spans="10:24" x14ac:dyDescent="0.3">
      <c r="J72" s="14"/>
      <c r="X72" s="14"/>
    </row>
    <row r="73" spans="10:24" x14ac:dyDescent="0.3">
      <c r="J73" s="14"/>
      <c r="X73" s="14"/>
    </row>
    <row r="74" spans="10:24" x14ac:dyDescent="0.3">
      <c r="J74" s="14"/>
      <c r="X74" s="14"/>
    </row>
    <row r="75" spans="10:24" x14ac:dyDescent="0.3">
      <c r="J75" s="14"/>
      <c r="X75" s="14"/>
    </row>
    <row r="76" spans="10:24" x14ac:dyDescent="0.3">
      <c r="J76" s="14"/>
      <c r="X76" s="14"/>
    </row>
    <row r="77" spans="10:24" x14ac:dyDescent="0.3">
      <c r="J77" s="14"/>
      <c r="X77" s="14"/>
    </row>
    <row r="78" spans="10:24" x14ac:dyDescent="0.3">
      <c r="J78" s="14"/>
      <c r="X78" s="14"/>
    </row>
    <row r="79" spans="10:24" x14ac:dyDescent="0.3">
      <c r="J79" s="14"/>
      <c r="X79" s="14"/>
    </row>
    <row r="80" spans="10:24" x14ac:dyDescent="0.3">
      <c r="J80" s="14"/>
      <c r="X80" s="14"/>
    </row>
    <row r="81" spans="10:24" x14ac:dyDescent="0.3">
      <c r="J81" s="14"/>
      <c r="X81" s="14"/>
    </row>
    <row r="82" spans="10:24" x14ac:dyDescent="0.3">
      <c r="J82" s="14"/>
      <c r="X82" s="14"/>
    </row>
    <row r="83" spans="10:24" x14ac:dyDescent="0.3">
      <c r="J83" s="14"/>
      <c r="X83" s="14"/>
    </row>
    <row r="84" spans="10:24" x14ac:dyDescent="0.3">
      <c r="J84" s="14"/>
      <c r="X84" s="14"/>
    </row>
    <row r="85" spans="10:24" x14ac:dyDescent="0.3">
      <c r="J85" s="14"/>
      <c r="X85" s="14"/>
    </row>
    <row r="86" spans="10:24" x14ac:dyDescent="0.3">
      <c r="J86" s="14"/>
      <c r="X86" s="14"/>
    </row>
    <row r="87" spans="10:24" x14ac:dyDescent="0.3">
      <c r="J87" s="14"/>
      <c r="X87" s="14"/>
    </row>
    <row r="88" spans="10:24" x14ac:dyDescent="0.3">
      <c r="J88" s="14"/>
      <c r="X88" s="14"/>
    </row>
    <row r="89" spans="10:24" x14ac:dyDescent="0.3">
      <c r="J89" s="14"/>
      <c r="X89" s="14"/>
    </row>
    <row r="90" spans="10:24" x14ac:dyDescent="0.3">
      <c r="J90" s="14"/>
      <c r="X90" s="14"/>
    </row>
    <row r="91" spans="10:24" x14ac:dyDescent="0.3">
      <c r="J91" s="14"/>
      <c r="X91" s="14"/>
    </row>
    <row r="92" spans="10:24" x14ac:dyDescent="0.3">
      <c r="J92" s="14"/>
      <c r="X92" s="14"/>
    </row>
    <row r="93" spans="10:24" x14ac:dyDescent="0.3">
      <c r="J93" s="14"/>
      <c r="X93" s="14"/>
    </row>
    <row r="94" spans="10:24" x14ac:dyDescent="0.3">
      <c r="J94" s="14"/>
      <c r="X94" s="14"/>
    </row>
    <row r="95" spans="10:24" x14ac:dyDescent="0.3">
      <c r="J95" s="14"/>
      <c r="X95" s="14"/>
    </row>
    <row r="96" spans="10:24" x14ac:dyDescent="0.3">
      <c r="J96" s="14"/>
      <c r="X96" s="14"/>
    </row>
    <row r="97" spans="1:24" x14ac:dyDescent="0.3">
      <c r="J97" s="14"/>
      <c r="X97" s="14"/>
    </row>
    <row r="98" spans="1:24" x14ac:dyDescent="0.3">
      <c r="J98" s="14"/>
      <c r="X98" s="14"/>
    </row>
    <row r="99" spans="1:24" x14ac:dyDescent="0.3">
      <c r="J99" s="14"/>
      <c r="X99" s="14"/>
    </row>
    <row r="100" spans="1:24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3"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1:24" x14ac:dyDescent="0.3"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1:24" x14ac:dyDescent="0.3"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1:24" x14ac:dyDescent="0.3"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1:24" x14ac:dyDescent="0.3"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1:24" x14ac:dyDescent="0.3"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1:24" x14ac:dyDescent="0.3"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1:24" x14ac:dyDescent="0.3"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1:24" x14ac:dyDescent="0.3"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1:24" x14ac:dyDescent="0.3"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1:24" x14ac:dyDescent="0.3"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1:24" x14ac:dyDescent="0.3"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10:24" x14ac:dyDescent="0.3"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10:24" x14ac:dyDescent="0.3"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10:24" x14ac:dyDescent="0.3">
      <c r="J115" s="14"/>
      <c r="X115" s="14"/>
    </row>
    <row r="116" spans="10:24" x14ac:dyDescent="0.3">
      <c r="J116" s="14"/>
      <c r="X116" s="14"/>
    </row>
    <row r="117" spans="10:24" x14ac:dyDescent="0.3">
      <c r="J117" s="14"/>
      <c r="X117" s="14"/>
    </row>
    <row r="118" spans="10:24" x14ac:dyDescent="0.3">
      <c r="J118" s="14"/>
      <c r="X118" s="14"/>
    </row>
    <row r="119" spans="10:24" x14ac:dyDescent="0.3">
      <c r="J119" s="14"/>
      <c r="X119" s="14"/>
    </row>
    <row r="120" spans="10:24" x14ac:dyDescent="0.3">
      <c r="J120" s="14"/>
      <c r="X120" s="14"/>
    </row>
    <row r="121" spans="10:24" x14ac:dyDescent="0.3">
      <c r="J121" s="14"/>
      <c r="X121" s="14"/>
    </row>
    <row r="122" spans="10:24" x14ac:dyDescent="0.3">
      <c r="J122" s="14"/>
      <c r="X122" s="14"/>
    </row>
    <row r="123" spans="10:24" x14ac:dyDescent="0.3">
      <c r="J123" s="14"/>
      <c r="X123" s="14"/>
    </row>
    <row r="124" spans="10:24" x14ac:dyDescent="0.3">
      <c r="J124" s="14"/>
      <c r="X124" s="14"/>
    </row>
    <row r="125" spans="10:24" x14ac:dyDescent="0.3">
      <c r="J125" s="14"/>
      <c r="X125" s="14"/>
    </row>
    <row r="126" spans="10:24" x14ac:dyDescent="0.3">
      <c r="J126" s="14"/>
      <c r="X126" s="14"/>
    </row>
    <row r="127" spans="10:24" x14ac:dyDescent="0.3">
      <c r="J127" s="14"/>
      <c r="X127" s="14"/>
    </row>
    <row r="128" spans="10:24" x14ac:dyDescent="0.3">
      <c r="J128" s="14"/>
      <c r="X128" s="14"/>
    </row>
    <row r="129" spans="10:24" x14ac:dyDescent="0.3">
      <c r="J129" s="14"/>
      <c r="X129" s="14"/>
    </row>
    <row r="130" spans="10:24" x14ac:dyDescent="0.3">
      <c r="J130" s="14"/>
      <c r="X130" s="14"/>
    </row>
    <row r="131" spans="10:24" x14ac:dyDescent="0.3">
      <c r="J131" s="14"/>
      <c r="X131" s="14"/>
    </row>
    <row r="132" spans="10:24" x14ac:dyDescent="0.3">
      <c r="J132" s="14"/>
      <c r="X132" s="14"/>
    </row>
    <row r="133" spans="10:24" x14ac:dyDescent="0.3">
      <c r="J133" s="14"/>
      <c r="X133" s="14"/>
    </row>
    <row r="134" spans="10:24" x14ac:dyDescent="0.3">
      <c r="J134" s="14"/>
      <c r="X134" s="14"/>
    </row>
    <row r="135" spans="10:24" x14ac:dyDescent="0.3">
      <c r="J135" s="14"/>
      <c r="X135" s="14"/>
    </row>
    <row r="136" spans="10:24" x14ac:dyDescent="0.3">
      <c r="J136" s="14"/>
      <c r="X136" s="14"/>
    </row>
    <row r="137" spans="10:24" x14ac:dyDescent="0.3">
      <c r="J137" s="14"/>
      <c r="X137" s="14"/>
    </row>
    <row r="138" spans="10:24" x14ac:dyDescent="0.3">
      <c r="J138" s="14"/>
      <c r="X138" s="14"/>
    </row>
    <row r="139" spans="10:24" x14ac:dyDescent="0.3">
      <c r="J139" s="14"/>
      <c r="X139" s="14"/>
    </row>
    <row r="140" spans="10:24" x14ac:dyDescent="0.3">
      <c r="J140" s="14"/>
      <c r="X140" s="14"/>
    </row>
    <row r="141" spans="10:24" x14ac:dyDescent="0.3">
      <c r="J141" s="14"/>
      <c r="X141" s="14"/>
    </row>
    <row r="142" spans="10:24" x14ac:dyDescent="0.3">
      <c r="J142" s="14"/>
      <c r="X142" s="14"/>
    </row>
    <row r="143" spans="10:24" x14ac:dyDescent="0.3">
      <c r="J143" s="14"/>
      <c r="X143" s="14"/>
    </row>
    <row r="144" spans="10:24" x14ac:dyDescent="0.3">
      <c r="J144" s="14"/>
      <c r="X144" s="14"/>
    </row>
    <row r="145" spans="1:24" x14ac:dyDescent="0.3">
      <c r="J145" s="14"/>
      <c r="X145" s="14"/>
    </row>
    <row r="146" spans="1:24" x14ac:dyDescent="0.3">
      <c r="J146" s="14"/>
      <c r="X146" s="14"/>
    </row>
    <row r="147" spans="1:24" x14ac:dyDescent="0.3">
      <c r="J147" s="14"/>
      <c r="X147" s="14"/>
    </row>
    <row r="148" spans="1:24" x14ac:dyDescent="0.3">
      <c r="J148" s="14"/>
      <c r="X148" s="14"/>
    </row>
    <row r="149" spans="1:24" x14ac:dyDescent="0.3">
      <c r="J149" s="14"/>
      <c r="X149" s="14"/>
    </row>
    <row r="150" spans="1:24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3">
      <c r="J151" s="14"/>
      <c r="X151" s="14"/>
    </row>
    <row r="152" spans="1:24" x14ac:dyDescent="0.3">
      <c r="J152" s="14"/>
      <c r="X152" s="14"/>
    </row>
    <row r="153" spans="1:24" x14ac:dyDescent="0.3">
      <c r="J153" s="14"/>
      <c r="X153" s="14"/>
    </row>
    <row r="154" spans="1:24" x14ac:dyDescent="0.3">
      <c r="J154" s="14"/>
      <c r="X154" s="14"/>
    </row>
    <row r="155" spans="1:24" x14ac:dyDescent="0.3">
      <c r="J155" s="14"/>
      <c r="X155" s="14"/>
    </row>
    <row r="156" spans="1:24" x14ac:dyDescent="0.3">
      <c r="J156" s="14"/>
      <c r="X156" s="14"/>
    </row>
    <row r="157" spans="1:24" x14ac:dyDescent="0.3">
      <c r="J157" s="14"/>
      <c r="X157" s="14"/>
    </row>
    <row r="158" spans="1:24" x14ac:dyDescent="0.3">
      <c r="J158" s="14"/>
      <c r="X158" s="14"/>
    </row>
  </sheetData>
  <mergeCells count="1">
    <mergeCell ref="H1:I1"/>
  </mergeCells>
  <hyperlinks>
    <hyperlink ref="H1" location="TOC!A1" display="Return to TOC" xr:uid="{B3703DB9-598A-40A5-9404-A1AB58ECDF5D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5885-C73C-4DAD-9935-6BE60EB044B9}">
  <sheetPr codeName="Sheet93"/>
  <dimension ref="A1:X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8.88671875" customWidth="1"/>
    <col min="4" max="4" width="12.6640625" customWidth="1"/>
    <col min="5" max="5" width="13" customWidth="1"/>
    <col min="6" max="6" width="12.33203125" bestFit="1" customWidth="1"/>
    <col min="7" max="7" width="11" bestFit="1" customWidth="1"/>
    <col min="8" max="8" width="21.33203125" customWidth="1"/>
    <col min="9" max="9" width="2.6640625" customWidth="1"/>
    <col min="10" max="10" width="13.109375" customWidth="1"/>
    <col min="11" max="11" width="12.33203125" customWidth="1"/>
    <col min="12" max="12" width="28.6640625" bestFit="1" customWidth="1"/>
    <col min="13" max="13" width="11.33203125" bestFit="1" customWidth="1"/>
    <col min="14" max="16" width="9.33203125" customWidth="1"/>
    <col min="17" max="18" width="9.109375" customWidth="1"/>
    <col min="19" max="23" width="9" customWidth="1"/>
  </cols>
  <sheetData>
    <row r="1" spans="1:24" x14ac:dyDescent="0.3">
      <c r="A1" s="32" t="s">
        <v>137</v>
      </c>
      <c r="B1" s="33"/>
      <c r="C1" s="33" t="s">
        <v>136</v>
      </c>
      <c r="D1" s="34"/>
      <c r="E1" s="33"/>
      <c r="F1" s="33"/>
      <c r="G1" s="235"/>
      <c r="H1" s="56" t="s">
        <v>199</v>
      </c>
      <c r="I1" s="10"/>
      <c r="J1" s="12" t="s">
        <v>140</v>
      </c>
      <c r="W1" s="10"/>
    </row>
    <row r="2" spans="1:24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7"/>
      <c r="I2" s="10"/>
      <c r="J2" t="s">
        <v>1748</v>
      </c>
      <c r="W2" s="10"/>
    </row>
    <row r="3" spans="1:24" x14ac:dyDescent="0.3">
      <c r="A3" s="35" t="s">
        <v>141</v>
      </c>
      <c r="B3" s="36"/>
      <c r="C3" s="36" t="s">
        <v>1747</v>
      </c>
      <c r="D3" s="36"/>
      <c r="E3" s="36"/>
      <c r="F3" s="36"/>
      <c r="G3" s="36"/>
      <c r="H3" s="37"/>
      <c r="I3" s="10"/>
      <c r="W3" s="10"/>
    </row>
    <row r="4" spans="1:24" x14ac:dyDescent="0.3">
      <c r="A4" s="38"/>
      <c r="B4" s="39"/>
      <c r="C4" s="39"/>
      <c r="D4" s="39"/>
      <c r="E4" s="39"/>
      <c r="F4" s="39"/>
      <c r="G4" s="39"/>
      <c r="H4" s="40"/>
      <c r="I4" s="14"/>
      <c r="J4" t="s">
        <v>113</v>
      </c>
      <c r="W4" s="14"/>
      <c r="X4" s="13"/>
    </row>
    <row r="5" spans="1:24" ht="15" customHeight="1" x14ac:dyDescent="0.3">
      <c r="A5" s="41" t="s">
        <v>144</v>
      </c>
      <c r="B5" s="36"/>
      <c r="C5" s="73" t="s">
        <v>1749</v>
      </c>
      <c r="D5" s="73"/>
      <c r="E5" s="36"/>
      <c r="F5" s="73" t="s">
        <v>1750</v>
      </c>
      <c r="G5" s="73"/>
      <c r="H5" s="37"/>
      <c r="I5" s="14"/>
      <c r="J5" s="86" t="s">
        <v>1753</v>
      </c>
      <c r="K5" s="24" t="s">
        <v>1751</v>
      </c>
      <c r="L5" s="87" t="s">
        <v>1754</v>
      </c>
      <c r="M5" s="759" t="s">
        <v>1755</v>
      </c>
      <c r="T5" s="13"/>
      <c r="U5" s="13"/>
      <c r="V5" s="13"/>
      <c r="W5" s="14"/>
      <c r="X5" s="13"/>
    </row>
    <row r="6" spans="1:24" x14ac:dyDescent="0.3">
      <c r="A6" s="45"/>
      <c r="B6" s="36"/>
      <c r="C6" s="17" t="s">
        <v>896</v>
      </c>
      <c r="D6" s="48" t="s">
        <v>1751</v>
      </c>
      <c r="E6" s="36"/>
      <c r="F6" s="230" t="s">
        <v>1752</v>
      </c>
      <c r="G6" s="49" t="s">
        <v>1751</v>
      </c>
      <c r="H6" s="37"/>
      <c r="I6" s="14"/>
      <c r="J6" s="761">
        <v>0</v>
      </c>
      <c r="K6" s="762">
        <f>D7</f>
        <v>0.25</v>
      </c>
      <c r="L6" s="99" t="s">
        <v>1756</v>
      </c>
      <c r="M6" s="19"/>
      <c r="T6" s="13"/>
      <c r="U6" s="13"/>
      <c r="V6" s="13"/>
      <c r="W6" s="14"/>
      <c r="X6" s="13"/>
    </row>
    <row r="7" spans="1:24" ht="15" customHeight="1" x14ac:dyDescent="0.3">
      <c r="A7" s="45"/>
      <c r="B7" s="36"/>
      <c r="C7" s="17">
        <v>0</v>
      </c>
      <c r="D7" s="760">
        <v>0.25</v>
      </c>
      <c r="E7" s="36"/>
      <c r="F7" s="325">
        <v>1000</v>
      </c>
      <c r="G7" s="760">
        <v>0.9</v>
      </c>
      <c r="H7" s="37"/>
      <c r="I7" s="14"/>
      <c r="J7" s="761">
        <v>1000</v>
      </c>
      <c r="K7" s="762">
        <f>D8*G7</f>
        <v>0.45</v>
      </c>
      <c r="L7" s="99" t="s">
        <v>1757</v>
      </c>
      <c r="M7" s="19"/>
      <c r="T7" s="13"/>
      <c r="U7" s="13"/>
      <c r="V7" s="13"/>
      <c r="W7" s="14"/>
      <c r="X7" s="13"/>
    </row>
    <row r="8" spans="1:24" ht="15" customHeight="1" x14ac:dyDescent="0.3">
      <c r="A8" s="41"/>
      <c r="B8" s="39"/>
      <c r="C8" s="20">
        <v>1</v>
      </c>
      <c r="D8" s="763">
        <v>0.5</v>
      </c>
      <c r="E8" s="36"/>
      <c r="F8" s="98">
        <v>10000</v>
      </c>
      <c r="G8" s="649">
        <v>0.1</v>
      </c>
      <c r="H8" s="37"/>
      <c r="I8" s="14"/>
      <c r="J8" s="761">
        <v>2000</v>
      </c>
      <c r="K8" s="762">
        <f>D9*G7^2</f>
        <v>0.20250000000000001</v>
      </c>
      <c r="L8" s="99" t="s">
        <v>1758</v>
      </c>
      <c r="M8" s="19" t="s">
        <v>1759</v>
      </c>
      <c r="T8" s="13"/>
      <c r="U8" s="13"/>
      <c r="V8" s="13"/>
      <c r="W8" s="14"/>
      <c r="X8" s="13"/>
    </row>
    <row r="9" spans="1:24" x14ac:dyDescent="0.3">
      <c r="A9" s="41"/>
      <c r="B9" s="39"/>
      <c r="C9" s="22">
        <v>2</v>
      </c>
      <c r="D9" s="649">
        <v>0.25</v>
      </c>
      <c r="E9" s="36"/>
      <c r="F9" s="36"/>
      <c r="G9" s="36"/>
      <c r="H9" s="37"/>
      <c r="I9" s="14"/>
      <c r="J9" s="761">
        <v>10000</v>
      </c>
      <c r="K9" s="762">
        <f>D8*G8</f>
        <v>0.05</v>
      </c>
      <c r="L9" s="99" t="s">
        <v>1760</v>
      </c>
      <c r="M9" s="19"/>
      <c r="T9" s="13"/>
      <c r="U9" s="13"/>
      <c r="V9" s="13"/>
      <c r="W9" s="14"/>
      <c r="X9" s="13"/>
    </row>
    <row r="10" spans="1:24" x14ac:dyDescent="0.3">
      <c r="A10" s="38"/>
      <c r="B10" s="39"/>
      <c r="C10" s="36"/>
      <c r="D10" s="36"/>
      <c r="E10" s="36"/>
      <c r="F10" s="36"/>
      <c r="G10" s="36"/>
      <c r="H10" s="37"/>
      <c r="I10" s="14"/>
      <c r="J10" s="761">
        <v>11000</v>
      </c>
      <c r="K10" s="762">
        <f>D9*G7*G8*2</f>
        <v>4.5000000000000005E-2</v>
      </c>
      <c r="L10" s="99" t="s">
        <v>1761</v>
      </c>
      <c r="M10" s="19" t="s">
        <v>1762</v>
      </c>
      <c r="T10" s="13"/>
      <c r="U10" s="13"/>
      <c r="V10" s="13"/>
      <c r="W10" s="14"/>
      <c r="X10" s="13"/>
    </row>
    <row r="11" spans="1:24" x14ac:dyDescent="0.3">
      <c r="A11" s="35" t="s">
        <v>173</v>
      </c>
      <c r="B11" s="39"/>
      <c r="C11" s="36" t="s">
        <v>1768</v>
      </c>
      <c r="D11" s="36"/>
      <c r="E11" s="36"/>
      <c r="F11" s="36"/>
      <c r="G11" s="36"/>
      <c r="H11" s="37"/>
      <c r="I11" s="14"/>
      <c r="J11" s="764">
        <v>20000</v>
      </c>
      <c r="K11" s="765">
        <f>D9*G8^2</f>
        <v>2.5000000000000005E-3</v>
      </c>
      <c r="L11" s="102" t="s">
        <v>1763</v>
      </c>
      <c r="M11" s="19" t="s">
        <v>1759</v>
      </c>
      <c r="T11" s="13"/>
      <c r="U11" s="13"/>
      <c r="V11" s="13"/>
      <c r="W11" s="14"/>
      <c r="X11" s="13"/>
    </row>
    <row r="12" spans="1:24" ht="15" thickBot="1" x14ac:dyDescent="0.35">
      <c r="A12" s="188"/>
      <c r="B12" s="189"/>
      <c r="C12" s="54"/>
      <c r="D12" s="54"/>
      <c r="E12" s="54"/>
      <c r="F12" s="54"/>
      <c r="G12" s="54"/>
      <c r="H12" s="55"/>
      <c r="I12" s="14"/>
      <c r="T12" s="13"/>
      <c r="U12" s="13"/>
      <c r="V12" s="13"/>
      <c r="W12" s="14"/>
      <c r="X12" s="13"/>
    </row>
    <row r="13" spans="1:24" x14ac:dyDescent="0.3">
      <c r="A13" s="13"/>
      <c r="B13" s="13"/>
      <c r="I13" s="14"/>
      <c r="J13" s="3" t="s">
        <v>1764</v>
      </c>
      <c r="T13" s="13"/>
      <c r="U13" s="13"/>
      <c r="V13" s="13"/>
      <c r="W13" s="14"/>
      <c r="X13" s="13"/>
    </row>
    <row r="14" spans="1:24" x14ac:dyDescent="0.3">
      <c r="A14" s="13"/>
      <c r="B14" s="13"/>
      <c r="I14" s="14"/>
      <c r="J14" s="3" t="s">
        <v>1765</v>
      </c>
      <c r="T14" s="13"/>
      <c r="U14" s="13"/>
      <c r="V14" s="13"/>
      <c r="W14" s="14"/>
      <c r="X14" s="13"/>
    </row>
    <row r="15" spans="1:24" x14ac:dyDescent="0.3">
      <c r="I15" s="14"/>
      <c r="J15" s="3" t="s">
        <v>1766</v>
      </c>
      <c r="T15" s="13"/>
      <c r="U15" s="13"/>
      <c r="V15" s="13"/>
      <c r="W15" s="14"/>
      <c r="X15" s="13"/>
    </row>
    <row r="16" spans="1:24" x14ac:dyDescent="0.3">
      <c r="I16" s="14"/>
      <c r="J16" s="3" t="s">
        <v>1767</v>
      </c>
      <c r="T16" s="13"/>
      <c r="U16" s="13"/>
      <c r="V16" s="13"/>
      <c r="W16" s="14"/>
      <c r="X16" s="13"/>
    </row>
    <row r="17" spans="9:24" x14ac:dyDescent="0.3">
      <c r="I17" s="14"/>
      <c r="T17" s="13"/>
      <c r="U17" s="13"/>
      <c r="V17" s="13"/>
      <c r="W17" s="14"/>
      <c r="X17" s="13"/>
    </row>
    <row r="18" spans="9:24" x14ac:dyDescent="0.3">
      <c r="I18" s="14"/>
      <c r="T18" s="13"/>
      <c r="U18" s="13"/>
      <c r="V18" s="13"/>
      <c r="W18" s="14"/>
      <c r="X18" s="13"/>
    </row>
    <row r="19" spans="9:24" ht="15" customHeight="1" x14ac:dyDescent="0.3">
      <c r="I19" s="14"/>
      <c r="T19" s="13"/>
      <c r="U19" s="13"/>
      <c r="V19" s="13"/>
      <c r="W19" s="14"/>
      <c r="X19" s="13"/>
    </row>
    <row r="20" spans="9:24" x14ac:dyDescent="0.3">
      <c r="I20" s="14"/>
      <c r="T20" s="13"/>
      <c r="U20" s="13"/>
      <c r="V20" s="13"/>
      <c r="W20" s="14"/>
      <c r="X20" s="13"/>
    </row>
    <row r="21" spans="9:24" x14ac:dyDescent="0.3">
      <c r="I21" s="14"/>
      <c r="T21" s="13"/>
      <c r="U21" s="13"/>
      <c r="V21" s="13"/>
      <c r="W21" s="14"/>
      <c r="X21" s="13"/>
    </row>
    <row r="22" spans="9:24" x14ac:dyDescent="0.3">
      <c r="I22" s="14"/>
      <c r="Q22" s="13"/>
      <c r="R22" s="13"/>
      <c r="S22" s="13"/>
      <c r="T22" s="13"/>
      <c r="U22" s="13"/>
      <c r="V22" s="13"/>
      <c r="W22" s="14"/>
      <c r="X22" s="13"/>
    </row>
    <row r="23" spans="9:24" ht="15" customHeight="1" x14ac:dyDescent="0.3">
      <c r="I23" s="14"/>
      <c r="Q23" s="13"/>
      <c r="R23" s="13"/>
      <c r="S23" s="13"/>
      <c r="T23" s="13"/>
      <c r="U23" s="13"/>
      <c r="V23" s="13"/>
      <c r="W23" s="14"/>
      <c r="X23" s="13"/>
    </row>
    <row r="24" spans="9:24" ht="15" customHeight="1" x14ac:dyDescent="0.3">
      <c r="I24" s="14"/>
      <c r="Q24" s="13"/>
      <c r="R24" s="13"/>
      <c r="S24" s="13"/>
      <c r="T24" s="13"/>
      <c r="U24" s="13"/>
      <c r="V24" s="13"/>
      <c r="W24" s="14"/>
      <c r="X24" s="13"/>
    </row>
    <row r="25" spans="9:24" ht="15" customHeight="1" x14ac:dyDescent="0.3">
      <c r="I25" s="14"/>
      <c r="Q25" s="13"/>
      <c r="R25" s="13"/>
      <c r="S25" s="13"/>
      <c r="T25" s="13"/>
      <c r="U25" s="13"/>
      <c r="V25" s="13"/>
      <c r="W25" s="14"/>
      <c r="X25" s="13"/>
    </row>
    <row r="26" spans="9:24" ht="15" customHeight="1" x14ac:dyDescent="0.3">
      <c r="I26" s="14"/>
      <c r="Q26" s="13"/>
      <c r="R26" s="13"/>
      <c r="S26" s="13"/>
      <c r="T26" s="13"/>
      <c r="U26" s="13"/>
      <c r="V26" s="13"/>
      <c r="W26" s="14"/>
      <c r="X26" s="13"/>
    </row>
    <row r="27" spans="9:24" ht="15" customHeight="1" x14ac:dyDescent="0.3">
      <c r="I27" s="14"/>
      <c r="Q27" s="13"/>
      <c r="R27" s="13"/>
      <c r="S27" s="13"/>
      <c r="T27" s="13"/>
      <c r="U27" s="13"/>
      <c r="V27" s="13"/>
      <c r="W27" s="14"/>
      <c r="X27" s="13"/>
    </row>
    <row r="28" spans="9:24" ht="15" customHeight="1" x14ac:dyDescent="0.3">
      <c r="I28" s="14"/>
      <c r="Q28" s="13"/>
      <c r="R28" s="13"/>
      <c r="S28" s="13"/>
      <c r="T28" s="13"/>
      <c r="U28" s="13"/>
      <c r="V28" s="13"/>
      <c r="W28" s="14"/>
      <c r="X28" s="13"/>
    </row>
    <row r="29" spans="9:24" x14ac:dyDescent="0.3">
      <c r="I29" s="14"/>
      <c r="Q29" s="13"/>
      <c r="R29" s="13"/>
      <c r="S29" s="13"/>
      <c r="T29" s="13"/>
      <c r="U29" s="13"/>
      <c r="V29" s="13"/>
      <c r="W29" s="14"/>
      <c r="X29" s="13"/>
    </row>
    <row r="30" spans="9:24" x14ac:dyDescent="0.3">
      <c r="I30" s="14"/>
      <c r="Q30" s="13"/>
      <c r="R30" s="13"/>
      <c r="S30" s="13"/>
      <c r="T30" s="13"/>
      <c r="U30" s="13"/>
      <c r="V30" s="13"/>
      <c r="W30" s="14"/>
      <c r="X30" s="13"/>
    </row>
    <row r="31" spans="9:24" x14ac:dyDescent="0.3">
      <c r="I31" s="14"/>
      <c r="Q31" s="13"/>
      <c r="R31" s="13"/>
      <c r="S31" s="13"/>
      <c r="T31" s="13"/>
      <c r="U31" s="13"/>
      <c r="V31" s="13"/>
      <c r="W31" s="14"/>
      <c r="X31" s="13"/>
    </row>
    <row r="32" spans="9:24" x14ac:dyDescent="0.3"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3"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3"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3"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3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13"/>
      <c r="B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3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3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3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3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3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3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3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3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3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3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3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3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3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3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3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3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3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3">
      <c r="I65" s="14"/>
      <c r="W65" s="14"/>
    </row>
    <row r="66" spans="9:23" x14ac:dyDescent="0.3">
      <c r="I66" s="14"/>
      <c r="W66" s="14"/>
    </row>
    <row r="67" spans="9:23" x14ac:dyDescent="0.3">
      <c r="I67" s="14"/>
      <c r="W67" s="14"/>
    </row>
    <row r="68" spans="9:23" x14ac:dyDescent="0.3">
      <c r="I68" s="14"/>
      <c r="W68" s="14"/>
    </row>
    <row r="69" spans="9:23" x14ac:dyDescent="0.3">
      <c r="I69" s="14"/>
      <c r="W69" s="14"/>
    </row>
    <row r="70" spans="9:23" x14ac:dyDescent="0.3">
      <c r="I70" s="14"/>
      <c r="W70" s="14"/>
    </row>
    <row r="71" spans="9:23" x14ac:dyDescent="0.3">
      <c r="I71" s="14"/>
      <c r="W71" s="14"/>
    </row>
    <row r="72" spans="9:23" x14ac:dyDescent="0.3">
      <c r="I72" s="14"/>
      <c r="W72" s="14"/>
    </row>
    <row r="73" spans="9:23" x14ac:dyDescent="0.3">
      <c r="I73" s="14"/>
      <c r="W73" s="14"/>
    </row>
    <row r="74" spans="9:23" x14ac:dyDescent="0.3">
      <c r="I74" s="14"/>
      <c r="W74" s="14"/>
    </row>
    <row r="75" spans="9:23" x14ac:dyDescent="0.3">
      <c r="I75" s="14"/>
      <c r="W75" s="14"/>
    </row>
    <row r="76" spans="9:23" x14ac:dyDescent="0.3">
      <c r="I76" s="14"/>
      <c r="W76" s="14"/>
    </row>
    <row r="77" spans="9:23" x14ac:dyDescent="0.3">
      <c r="I77" s="14"/>
      <c r="W77" s="14"/>
    </row>
    <row r="78" spans="9:23" x14ac:dyDescent="0.3">
      <c r="I78" s="14"/>
      <c r="W78" s="14"/>
    </row>
    <row r="79" spans="9:23" x14ac:dyDescent="0.3">
      <c r="I79" s="14"/>
      <c r="W79" s="14"/>
    </row>
    <row r="80" spans="9:23" x14ac:dyDescent="0.3">
      <c r="I80" s="14"/>
      <c r="W80" s="14"/>
    </row>
    <row r="81" spans="9:23" x14ac:dyDescent="0.3">
      <c r="I81" s="14"/>
      <c r="W81" s="14"/>
    </row>
    <row r="82" spans="9:23" x14ac:dyDescent="0.3">
      <c r="I82" s="14"/>
      <c r="W82" s="14"/>
    </row>
    <row r="83" spans="9:23" x14ac:dyDescent="0.3">
      <c r="I83" s="14"/>
      <c r="W83" s="14"/>
    </row>
    <row r="84" spans="9:23" x14ac:dyDescent="0.3">
      <c r="I84" s="14"/>
      <c r="W84" s="14"/>
    </row>
    <row r="85" spans="9:23" x14ac:dyDescent="0.3">
      <c r="I85" s="14"/>
      <c r="W85" s="14"/>
    </row>
    <row r="86" spans="9:23" x14ac:dyDescent="0.3">
      <c r="I86" s="14"/>
      <c r="W86" s="14"/>
    </row>
    <row r="87" spans="9:23" x14ac:dyDescent="0.3">
      <c r="I87" s="14"/>
      <c r="W87" s="14"/>
    </row>
    <row r="88" spans="9:23" x14ac:dyDescent="0.3">
      <c r="I88" s="14"/>
      <c r="W88" s="14"/>
    </row>
    <row r="89" spans="9:23" x14ac:dyDescent="0.3">
      <c r="I89" s="14"/>
      <c r="W89" s="14"/>
    </row>
    <row r="90" spans="9:23" x14ac:dyDescent="0.3">
      <c r="I90" s="14"/>
      <c r="W90" s="14"/>
    </row>
    <row r="91" spans="9:23" x14ac:dyDescent="0.3">
      <c r="I91" s="14"/>
      <c r="W91" s="14"/>
    </row>
    <row r="92" spans="9:23" x14ac:dyDescent="0.3">
      <c r="I92" s="14"/>
      <c r="W92" s="14"/>
    </row>
    <row r="93" spans="9:23" x14ac:dyDescent="0.3">
      <c r="I93" s="14"/>
      <c r="W93" s="14"/>
    </row>
    <row r="94" spans="9:23" x14ac:dyDescent="0.3">
      <c r="I94" s="14"/>
      <c r="W94" s="14"/>
    </row>
    <row r="95" spans="9:23" x14ac:dyDescent="0.3">
      <c r="I95" s="14"/>
      <c r="W95" s="14"/>
    </row>
    <row r="96" spans="9:23" x14ac:dyDescent="0.3">
      <c r="I96" s="14"/>
      <c r="W96" s="14"/>
    </row>
    <row r="97" spans="1:23" x14ac:dyDescent="0.3">
      <c r="I97" s="14"/>
      <c r="W97" s="14"/>
    </row>
    <row r="98" spans="1:23" x14ac:dyDescent="0.3">
      <c r="I98" s="14"/>
      <c r="W98" s="14"/>
    </row>
    <row r="99" spans="1:23" x14ac:dyDescent="0.3">
      <c r="I99" s="14"/>
      <c r="W99" s="14"/>
    </row>
    <row r="100" spans="1:23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3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3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3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3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3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3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3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3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3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3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3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3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3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3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3">
      <c r="I115" s="14"/>
      <c r="W115" s="14"/>
    </row>
    <row r="116" spans="9:23" x14ac:dyDescent="0.3">
      <c r="I116" s="14"/>
      <c r="W116" s="14"/>
    </row>
    <row r="117" spans="9:23" x14ac:dyDescent="0.3">
      <c r="I117" s="14"/>
      <c r="W117" s="14"/>
    </row>
    <row r="118" spans="9:23" x14ac:dyDescent="0.3">
      <c r="I118" s="14"/>
      <c r="W118" s="14"/>
    </row>
    <row r="119" spans="9:23" x14ac:dyDescent="0.3">
      <c r="I119" s="14"/>
      <c r="W119" s="14"/>
    </row>
    <row r="120" spans="9:23" x14ac:dyDescent="0.3">
      <c r="I120" s="14"/>
      <c r="W120" s="14"/>
    </row>
    <row r="121" spans="9:23" x14ac:dyDescent="0.3">
      <c r="I121" s="14"/>
      <c r="W121" s="14"/>
    </row>
    <row r="122" spans="9:23" x14ac:dyDescent="0.3">
      <c r="I122" s="14"/>
      <c r="W122" s="14"/>
    </row>
    <row r="123" spans="9:23" x14ac:dyDescent="0.3">
      <c r="I123" s="14"/>
      <c r="W123" s="14"/>
    </row>
    <row r="124" spans="9:23" x14ac:dyDescent="0.3">
      <c r="I124" s="14"/>
      <c r="W124" s="14"/>
    </row>
    <row r="125" spans="9:23" x14ac:dyDescent="0.3">
      <c r="I125" s="14"/>
      <c r="W125" s="14"/>
    </row>
    <row r="126" spans="9:23" x14ac:dyDescent="0.3">
      <c r="I126" s="14"/>
      <c r="W126" s="14"/>
    </row>
    <row r="127" spans="9:23" x14ac:dyDescent="0.3">
      <c r="I127" s="14"/>
      <c r="W127" s="14"/>
    </row>
    <row r="128" spans="9:23" x14ac:dyDescent="0.3">
      <c r="I128" s="14"/>
      <c r="W128" s="14"/>
    </row>
    <row r="129" spans="9:23" x14ac:dyDescent="0.3">
      <c r="I129" s="14"/>
      <c r="W129" s="14"/>
    </row>
    <row r="130" spans="9:23" x14ac:dyDescent="0.3">
      <c r="I130" s="14"/>
      <c r="W130" s="14"/>
    </row>
    <row r="131" spans="9:23" x14ac:dyDescent="0.3">
      <c r="I131" s="14"/>
      <c r="W131" s="14"/>
    </row>
    <row r="132" spans="9:23" x14ac:dyDescent="0.3">
      <c r="I132" s="14"/>
      <c r="W132" s="14"/>
    </row>
    <row r="133" spans="9:23" x14ac:dyDescent="0.3">
      <c r="I133" s="14"/>
      <c r="W133" s="14"/>
    </row>
    <row r="134" spans="9:23" x14ac:dyDescent="0.3">
      <c r="I134" s="14"/>
      <c r="W134" s="14"/>
    </row>
    <row r="135" spans="9:23" x14ac:dyDescent="0.3">
      <c r="I135" s="14"/>
      <c r="W135" s="14"/>
    </row>
    <row r="136" spans="9:23" x14ac:dyDescent="0.3">
      <c r="I136" s="14"/>
      <c r="W136" s="14"/>
    </row>
    <row r="137" spans="9:23" x14ac:dyDescent="0.3">
      <c r="I137" s="14"/>
      <c r="W137" s="14"/>
    </row>
    <row r="138" spans="9:23" x14ac:dyDescent="0.3">
      <c r="I138" s="14"/>
      <c r="W138" s="14"/>
    </row>
    <row r="139" spans="9:23" x14ac:dyDescent="0.3">
      <c r="I139" s="14"/>
      <c r="W139" s="14"/>
    </row>
    <row r="140" spans="9:23" x14ac:dyDescent="0.3">
      <c r="I140" s="14"/>
      <c r="W140" s="14"/>
    </row>
    <row r="141" spans="9:23" x14ac:dyDescent="0.3">
      <c r="I141" s="14"/>
      <c r="W141" s="14"/>
    </row>
    <row r="142" spans="9:23" x14ac:dyDescent="0.3">
      <c r="I142" s="14"/>
      <c r="W142" s="14"/>
    </row>
    <row r="143" spans="9:23" x14ac:dyDescent="0.3">
      <c r="I143" s="14"/>
      <c r="W143" s="14"/>
    </row>
    <row r="144" spans="9:23" x14ac:dyDescent="0.3">
      <c r="I144" s="14"/>
      <c r="W144" s="14"/>
    </row>
    <row r="145" spans="1:23" x14ac:dyDescent="0.3">
      <c r="I145" s="14"/>
      <c r="W145" s="14"/>
    </row>
    <row r="146" spans="1:23" x14ac:dyDescent="0.3">
      <c r="I146" s="14"/>
      <c r="W146" s="14"/>
    </row>
    <row r="147" spans="1:23" x14ac:dyDescent="0.3">
      <c r="I147" s="14"/>
      <c r="W147" s="14"/>
    </row>
    <row r="148" spans="1:23" x14ac:dyDescent="0.3">
      <c r="I148" s="14"/>
      <c r="W148" s="14"/>
    </row>
    <row r="149" spans="1:23" x14ac:dyDescent="0.3">
      <c r="I149" s="14"/>
      <c r="W149" s="14"/>
    </row>
    <row r="150" spans="1:23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3">
      <c r="I151" s="14"/>
      <c r="W151" s="14"/>
    </row>
    <row r="152" spans="1:23" x14ac:dyDescent="0.3">
      <c r="I152" s="14"/>
      <c r="W152" s="14"/>
    </row>
    <row r="153" spans="1:23" x14ac:dyDescent="0.3">
      <c r="I153" s="14"/>
      <c r="W153" s="14"/>
    </row>
    <row r="154" spans="1:23" x14ac:dyDescent="0.3">
      <c r="I154" s="14"/>
      <c r="W154" s="14"/>
    </row>
    <row r="155" spans="1:23" x14ac:dyDescent="0.3">
      <c r="I155" s="14"/>
      <c r="W155" s="14"/>
    </row>
    <row r="156" spans="1:23" x14ac:dyDescent="0.3">
      <c r="I156" s="14"/>
      <c r="W156" s="14"/>
    </row>
    <row r="157" spans="1:23" x14ac:dyDescent="0.3">
      <c r="I157" s="14"/>
      <c r="W157" s="14"/>
    </row>
    <row r="158" spans="1:23" x14ac:dyDescent="0.3">
      <c r="I158" s="14"/>
      <c r="W158" s="14"/>
    </row>
  </sheetData>
  <hyperlinks>
    <hyperlink ref="H1" location="TOC!A1" display="Return to TOC" xr:uid="{084B4DF1-C644-47C2-8DF4-B5D4A9A5FA22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3E3-9773-4915-B8FF-B613267FECBB}">
  <sheetPr codeName="Sheet92"/>
  <dimension ref="A1:X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22.88671875" customWidth="1"/>
    <col min="5" max="5" width="17.6640625" customWidth="1"/>
    <col min="6" max="6" width="12.33203125" customWidth="1"/>
    <col min="7" max="7" width="12.5546875" bestFit="1" customWidth="1"/>
    <col min="9" max="9" width="2.6640625" customWidth="1"/>
    <col min="10" max="10" width="19.44140625" customWidth="1"/>
    <col min="11" max="15" width="9.33203125" customWidth="1"/>
    <col min="16" max="16" width="10.88671875" customWidth="1"/>
    <col min="17" max="17" width="6.109375" customWidth="1"/>
    <col min="18" max="18" width="9.109375" customWidth="1"/>
    <col min="20" max="20" width="9.109375" customWidth="1"/>
    <col min="22" max="22" width="11" customWidth="1"/>
  </cols>
  <sheetData>
    <row r="1" spans="1:24" x14ac:dyDescent="0.3">
      <c r="A1" s="32" t="s">
        <v>137</v>
      </c>
      <c r="B1" s="33"/>
      <c r="C1" s="33" t="s">
        <v>136</v>
      </c>
      <c r="D1" s="34"/>
      <c r="E1" s="33"/>
      <c r="F1" s="33"/>
      <c r="G1" s="772" t="s">
        <v>199</v>
      </c>
      <c r="H1" s="773"/>
      <c r="I1" s="10"/>
      <c r="J1" s="12" t="s">
        <v>140</v>
      </c>
      <c r="W1" s="10"/>
    </row>
    <row r="2" spans="1:24" ht="15.6" x14ac:dyDescent="0.35">
      <c r="A2" s="35" t="s">
        <v>138</v>
      </c>
      <c r="B2" s="36"/>
      <c r="C2" s="36" t="s">
        <v>267</v>
      </c>
      <c r="D2" s="36"/>
      <c r="E2" s="36"/>
      <c r="F2" s="36"/>
      <c r="G2" s="36"/>
      <c r="H2" s="37"/>
      <c r="I2" s="10"/>
      <c r="J2" t="s">
        <v>1770</v>
      </c>
      <c r="R2" s="3" t="s">
        <v>1771</v>
      </c>
      <c r="W2" s="10"/>
    </row>
    <row r="3" spans="1:24" x14ac:dyDescent="0.3">
      <c r="A3" s="35" t="s">
        <v>141</v>
      </c>
      <c r="B3" s="36"/>
      <c r="C3" s="36" t="s">
        <v>1769</v>
      </c>
      <c r="D3" s="36"/>
      <c r="E3" s="36"/>
      <c r="F3" s="36"/>
      <c r="G3" s="36"/>
      <c r="H3" s="37"/>
      <c r="I3" s="10"/>
      <c r="R3" s="3" t="s">
        <v>1772</v>
      </c>
      <c r="W3" s="10"/>
    </row>
    <row r="4" spans="1:24" x14ac:dyDescent="0.3">
      <c r="A4" s="38"/>
      <c r="B4" s="39"/>
      <c r="C4" s="39"/>
      <c r="D4" s="39"/>
      <c r="E4" s="39"/>
      <c r="F4" s="39"/>
      <c r="G4" s="39"/>
      <c r="H4" s="40"/>
      <c r="I4" s="14"/>
      <c r="J4" t="s">
        <v>1773</v>
      </c>
      <c r="T4" s="13"/>
      <c r="W4" s="14"/>
      <c r="X4" s="13"/>
    </row>
    <row r="5" spans="1:24" ht="15" customHeight="1" x14ac:dyDescent="0.3">
      <c r="A5" s="41" t="s">
        <v>144</v>
      </c>
      <c r="B5" s="42">
        <v>0</v>
      </c>
      <c r="C5" s="36" t="str">
        <f>"Per-claim accident severity is modeled using a Uniform distribution on the interval ["&amp;B5&amp;", "&amp;B6&amp;"]."</f>
        <v>Per-claim accident severity is modeled using a Uniform distribution on the interval [0, 10].</v>
      </c>
      <c r="D5" s="36"/>
      <c r="E5" s="36"/>
      <c r="F5" s="36"/>
      <c r="G5" s="36"/>
      <c r="H5" s="37"/>
      <c r="I5" s="14"/>
      <c r="T5" s="13"/>
      <c r="U5" s="13"/>
      <c r="V5" s="13"/>
      <c r="W5" s="14"/>
      <c r="X5" s="13"/>
    </row>
    <row r="6" spans="1:24" ht="30" x14ac:dyDescent="0.3">
      <c r="A6" s="45"/>
      <c r="B6" s="42">
        <v>10</v>
      </c>
      <c r="C6" s="36"/>
      <c r="D6" s="36"/>
      <c r="E6" s="36"/>
      <c r="F6" s="36"/>
      <c r="G6" s="36"/>
      <c r="H6" s="37"/>
      <c r="I6" s="14"/>
      <c r="J6" s="253" t="s">
        <v>1774</v>
      </c>
      <c r="K6" s="193" t="s">
        <v>1775</v>
      </c>
      <c r="L6" s="254" t="s">
        <v>1776</v>
      </c>
      <c r="M6" s="193" t="s">
        <v>1777</v>
      </c>
      <c r="N6" s="193" t="s">
        <v>1778</v>
      </c>
      <c r="O6" s="255" t="s">
        <v>1779</v>
      </c>
      <c r="T6" s="13"/>
      <c r="U6" s="13"/>
      <c r="V6" s="13"/>
      <c r="W6" s="14"/>
      <c r="X6" s="13"/>
    </row>
    <row r="7" spans="1:24" x14ac:dyDescent="0.3">
      <c r="A7" s="35" t="s">
        <v>173</v>
      </c>
      <c r="B7" s="36"/>
      <c r="C7" s="36" t="str">
        <f>"Discretize this severity distribution using evaluation points "&amp;B5&amp;", "&amp;B5+1&amp;", …, "&amp;B6&amp;"."</f>
        <v>Discretize this severity distribution using evaluation points 0, 1, …, 10.</v>
      </c>
      <c r="D7" s="36"/>
      <c r="E7" s="36"/>
      <c r="F7" s="36"/>
      <c r="G7" s="36"/>
      <c r="H7" s="37"/>
      <c r="I7" s="14"/>
      <c r="J7" s="80">
        <v>0</v>
      </c>
      <c r="K7" s="536">
        <f>(1-J7/$B$6)^2</f>
        <v>1</v>
      </c>
      <c r="L7" s="542">
        <f>(1-K7)*5</f>
        <v>0</v>
      </c>
      <c r="M7" s="536">
        <v>0</v>
      </c>
      <c r="N7" s="536">
        <f>1-M8/(J8-J7)</f>
        <v>5.0000000000000266E-2</v>
      </c>
      <c r="O7" s="766">
        <f>N7</f>
        <v>5.0000000000000266E-2</v>
      </c>
      <c r="T7" s="13"/>
      <c r="U7" s="13"/>
      <c r="V7" s="13"/>
      <c r="W7" s="14"/>
      <c r="X7" s="13"/>
    </row>
    <row r="8" spans="1:24" ht="15" customHeight="1" thickBot="1" x14ac:dyDescent="0.35">
      <c r="A8" s="769"/>
      <c r="B8" s="189"/>
      <c r="C8" s="54"/>
      <c r="D8" s="54"/>
      <c r="E8" s="54"/>
      <c r="F8" s="54"/>
      <c r="G8" s="54"/>
      <c r="H8" s="55"/>
      <c r="I8" s="14"/>
      <c r="J8" s="77">
        <f>J7+1</f>
        <v>1</v>
      </c>
      <c r="K8" s="545">
        <f t="shared" ref="K8:K17" si="0">(1-J8/$B$6)^2</f>
        <v>0.81</v>
      </c>
      <c r="L8" s="546">
        <f t="shared" ref="L8:L17" si="1">(1-K8)*5</f>
        <v>0.94999999999999973</v>
      </c>
      <c r="M8" s="545">
        <f>L8-L7</f>
        <v>0.94999999999999973</v>
      </c>
      <c r="N8" s="545">
        <f t="shared" ref="N8:N16" si="2">1-M9/(J9-J8)</f>
        <v>0.15000000000000036</v>
      </c>
      <c r="O8" s="456">
        <f>N8-N7</f>
        <v>0.10000000000000009</v>
      </c>
      <c r="T8" s="13"/>
      <c r="U8" s="13"/>
      <c r="V8" s="13"/>
      <c r="W8" s="14"/>
      <c r="X8" s="13"/>
    </row>
    <row r="9" spans="1:24" x14ac:dyDescent="0.3">
      <c r="A9" s="15"/>
      <c r="B9" s="13"/>
      <c r="I9" s="14"/>
      <c r="J9" s="77">
        <f t="shared" ref="J9:J17" si="3">J8+1</f>
        <v>2</v>
      </c>
      <c r="K9" s="545">
        <f t="shared" si="0"/>
        <v>0.64000000000000012</v>
      </c>
      <c r="L9" s="546">
        <f t="shared" si="1"/>
        <v>1.7999999999999994</v>
      </c>
      <c r="M9" s="545">
        <f t="shared" ref="M9:M17" si="4">L9-L8</f>
        <v>0.84999999999999964</v>
      </c>
      <c r="N9" s="545">
        <f t="shared" si="2"/>
        <v>0.24999999999999956</v>
      </c>
      <c r="O9" s="456">
        <f t="shared" ref="O9:O17" si="5">N9-N8</f>
        <v>9.9999999999999201E-2</v>
      </c>
      <c r="T9" s="13"/>
      <c r="U9" s="13"/>
      <c r="V9" s="13"/>
      <c r="W9" s="14"/>
      <c r="X9" s="13"/>
    </row>
    <row r="10" spans="1:24" x14ac:dyDescent="0.3">
      <c r="A10" s="13"/>
      <c r="B10" s="13"/>
      <c r="I10" s="14"/>
      <c r="J10" s="77">
        <f t="shared" si="3"/>
        <v>3</v>
      </c>
      <c r="K10" s="545">
        <f t="shared" si="0"/>
        <v>0.48999999999999994</v>
      </c>
      <c r="L10" s="546">
        <f t="shared" si="1"/>
        <v>2.5499999999999998</v>
      </c>
      <c r="M10" s="545">
        <f t="shared" si="4"/>
        <v>0.75000000000000044</v>
      </c>
      <c r="N10" s="545">
        <f t="shared" si="2"/>
        <v>0.34999999999999964</v>
      </c>
      <c r="O10" s="456">
        <f t="shared" si="5"/>
        <v>0.10000000000000009</v>
      </c>
      <c r="T10" s="13"/>
      <c r="U10" s="13"/>
      <c r="V10" s="13"/>
      <c r="W10" s="14"/>
      <c r="X10" s="13"/>
    </row>
    <row r="11" spans="1:24" x14ac:dyDescent="0.3">
      <c r="A11" s="13"/>
      <c r="B11" s="13"/>
      <c r="I11" s="14"/>
      <c r="J11" s="77">
        <f t="shared" si="3"/>
        <v>4</v>
      </c>
      <c r="K11" s="545">
        <f t="shared" si="0"/>
        <v>0.36</v>
      </c>
      <c r="L11" s="546">
        <f t="shared" si="1"/>
        <v>3.2</v>
      </c>
      <c r="M11" s="545">
        <f t="shared" si="4"/>
        <v>0.65000000000000036</v>
      </c>
      <c r="N11" s="545">
        <f t="shared" si="2"/>
        <v>0.45000000000000018</v>
      </c>
      <c r="O11" s="456">
        <f t="shared" si="5"/>
        <v>0.10000000000000053</v>
      </c>
      <c r="T11" s="13"/>
      <c r="U11" s="13"/>
      <c r="V11" s="13"/>
      <c r="W11" s="14"/>
      <c r="X11" s="13"/>
    </row>
    <row r="12" spans="1:24" x14ac:dyDescent="0.3">
      <c r="A12" s="13"/>
      <c r="B12" s="13"/>
      <c r="I12" s="14"/>
      <c r="J12" s="77">
        <f t="shared" si="3"/>
        <v>5</v>
      </c>
      <c r="K12" s="545">
        <f t="shared" si="0"/>
        <v>0.25</v>
      </c>
      <c r="L12" s="546">
        <f t="shared" si="1"/>
        <v>3.75</v>
      </c>
      <c r="M12" s="545">
        <f t="shared" si="4"/>
        <v>0.54999999999999982</v>
      </c>
      <c r="N12" s="545">
        <f t="shared" si="2"/>
        <v>0.54999999999999982</v>
      </c>
      <c r="O12" s="456">
        <f t="shared" si="5"/>
        <v>9.9999999999999645E-2</v>
      </c>
      <c r="T12" s="13"/>
      <c r="U12" s="13"/>
      <c r="V12" s="13"/>
      <c r="W12" s="14"/>
      <c r="X12" s="13"/>
    </row>
    <row r="13" spans="1:24" x14ac:dyDescent="0.3">
      <c r="A13" s="13"/>
      <c r="B13" s="13"/>
      <c r="I13" s="14"/>
      <c r="J13" s="77">
        <f t="shared" si="3"/>
        <v>6</v>
      </c>
      <c r="K13" s="545">
        <f t="shared" si="0"/>
        <v>0.16000000000000003</v>
      </c>
      <c r="L13" s="546">
        <f t="shared" si="1"/>
        <v>4.2</v>
      </c>
      <c r="M13" s="545">
        <f t="shared" si="4"/>
        <v>0.45000000000000018</v>
      </c>
      <c r="N13" s="545">
        <f t="shared" si="2"/>
        <v>0.65000000000000036</v>
      </c>
      <c r="O13" s="456">
        <f t="shared" si="5"/>
        <v>0.10000000000000053</v>
      </c>
      <c r="T13" s="13"/>
      <c r="U13" s="13"/>
      <c r="V13" s="13"/>
      <c r="W13" s="14"/>
      <c r="X13" s="13"/>
    </row>
    <row r="14" spans="1:24" x14ac:dyDescent="0.3">
      <c r="A14" s="13"/>
      <c r="B14" s="13"/>
      <c r="I14" s="14"/>
      <c r="J14" s="77">
        <f t="shared" si="3"/>
        <v>7</v>
      </c>
      <c r="K14" s="545">
        <f t="shared" si="0"/>
        <v>9.0000000000000024E-2</v>
      </c>
      <c r="L14" s="546">
        <f t="shared" si="1"/>
        <v>4.55</v>
      </c>
      <c r="M14" s="545">
        <f t="shared" si="4"/>
        <v>0.34999999999999964</v>
      </c>
      <c r="N14" s="545">
        <f t="shared" si="2"/>
        <v>0.75</v>
      </c>
      <c r="O14" s="456">
        <f t="shared" si="5"/>
        <v>9.9999999999999645E-2</v>
      </c>
      <c r="T14" s="13"/>
      <c r="U14" s="13"/>
      <c r="V14" s="13"/>
      <c r="W14" s="14"/>
      <c r="X14" s="13"/>
    </row>
    <row r="15" spans="1:24" x14ac:dyDescent="0.3">
      <c r="I15" s="14"/>
      <c r="J15" s="77">
        <f t="shared" si="3"/>
        <v>8</v>
      </c>
      <c r="K15" s="545">
        <f t="shared" si="0"/>
        <v>3.999999999999998E-2</v>
      </c>
      <c r="L15" s="546">
        <f t="shared" si="1"/>
        <v>4.8</v>
      </c>
      <c r="M15" s="545">
        <f t="shared" si="4"/>
        <v>0.25</v>
      </c>
      <c r="N15" s="545">
        <f t="shared" si="2"/>
        <v>0.84999999999999964</v>
      </c>
      <c r="O15" s="456">
        <f t="shared" si="5"/>
        <v>9.9999999999999645E-2</v>
      </c>
      <c r="T15" s="13"/>
      <c r="U15" s="13"/>
      <c r="V15" s="13"/>
      <c r="W15" s="14"/>
      <c r="X15" s="13"/>
    </row>
    <row r="16" spans="1:24" x14ac:dyDescent="0.3">
      <c r="I16" s="14"/>
      <c r="J16" s="77">
        <f t="shared" si="3"/>
        <v>9</v>
      </c>
      <c r="K16" s="545">
        <f t="shared" si="0"/>
        <v>9.999999999999995E-3</v>
      </c>
      <c r="L16" s="546">
        <f t="shared" si="1"/>
        <v>4.95</v>
      </c>
      <c r="M16" s="545">
        <f t="shared" si="4"/>
        <v>0.15000000000000036</v>
      </c>
      <c r="N16" s="545">
        <f t="shared" si="2"/>
        <v>0.95000000000000018</v>
      </c>
      <c r="O16" s="456">
        <f t="shared" si="5"/>
        <v>0.10000000000000053</v>
      </c>
      <c r="T16" s="13"/>
      <c r="U16" s="13"/>
      <c r="V16" s="13"/>
      <c r="W16" s="14"/>
      <c r="X16" s="13"/>
    </row>
    <row r="17" spans="9:24" x14ac:dyDescent="0.3">
      <c r="I17" s="14"/>
      <c r="J17" s="82">
        <f t="shared" si="3"/>
        <v>10</v>
      </c>
      <c r="K17" s="571">
        <f t="shared" si="0"/>
        <v>0</v>
      </c>
      <c r="L17" s="543">
        <f t="shared" si="1"/>
        <v>5</v>
      </c>
      <c r="M17" s="571">
        <f t="shared" si="4"/>
        <v>4.9999999999999822E-2</v>
      </c>
      <c r="N17" s="571">
        <v>1</v>
      </c>
      <c r="O17" s="767">
        <f t="shared" si="5"/>
        <v>4.9999999999999822E-2</v>
      </c>
      <c r="T17" s="13"/>
      <c r="U17" s="13"/>
      <c r="V17" s="13"/>
      <c r="W17" s="14"/>
      <c r="X17" s="13"/>
    </row>
    <row r="18" spans="9:24" x14ac:dyDescent="0.3">
      <c r="I18" s="14"/>
      <c r="T18" s="13"/>
      <c r="U18" s="13"/>
      <c r="V18" s="13"/>
      <c r="W18" s="14"/>
      <c r="X18" s="13"/>
    </row>
    <row r="19" spans="9:24" ht="15" customHeight="1" x14ac:dyDescent="0.3">
      <c r="I19" s="14"/>
      <c r="J19" s="198" t="s">
        <v>1755</v>
      </c>
      <c r="T19" s="13"/>
      <c r="U19" s="13"/>
      <c r="V19" s="13"/>
      <c r="W19" s="14"/>
      <c r="X19" s="13"/>
    </row>
    <row r="20" spans="9:24" x14ac:dyDescent="0.3">
      <c r="I20" s="14"/>
      <c r="J20" t="s">
        <v>1780</v>
      </c>
      <c r="T20" s="13"/>
      <c r="U20" s="13"/>
      <c r="V20" s="13"/>
      <c r="W20" s="14"/>
      <c r="X20" s="13"/>
    </row>
    <row r="21" spans="9:24" x14ac:dyDescent="0.3">
      <c r="I21" s="14"/>
      <c r="J21" t="s">
        <v>1781</v>
      </c>
      <c r="N21" s="3" t="s">
        <v>1782</v>
      </c>
      <c r="Q21" s="13"/>
      <c r="R21" s="13"/>
      <c r="S21" s="13"/>
      <c r="T21" s="13"/>
      <c r="U21" s="13"/>
      <c r="V21" s="13"/>
      <c r="W21" s="14"/>
      <c r="X21" s="13"/>
    </row>
    <row r="22" spans="9:24" ht="15.6" x14ac:dyDescent="0.35">
      <c r="I22" s="14"/>
      <c r="J22" t="s">
        <v>1783</v>
      </c>
      <c r="Q22" s="13"/>
      <c r="R22" s="13"/>
      <c r="S22" s="13"/>
      <c r="T22" s="13"/>
      <c r="U22" s="13"/>
      <c r="V22" s="13"/>
      <c r="W22" s="14"/>
      <c r="X22" s="13"/>
    </row>
    <row r="23" spans="9:24" ht="15" customHeight="1" x14ac:dyDescent="0.35">
      <c r="I23" s="14"/>
      <c r="J23" t="s">
        <v>1784</v>
      </c>
      <c r="Q23" s="13"/>
      <c r="R23" s="13"/>
      <c r="S23" s="13"/>
      <c r="T23" s="13"/>
      <c r="U23" s="13"/>
      <c r="V23" s="13"/>
      <c r="W23" s="14"/>
      <c r="X23" s="13"/>
    </row>
    <row r="24" spans="9:24" ht="15" customHeight="1" x14ac:dyDescent="0.3">
      <c r="I24" s="14"/>
      <c r="Q24" s="13"/>
      <c r="R24" s="13"/>
      <c r="S24" s="13"/>
      <c r="T24" s="13"/>
      <c r="U24" s="13"/>
      <c r="V24" s="13"/>
      <c r="W24" s="14"/>
      <c r="X24" s="13"/>
    </row>
    <row r="25" spans="9:24" ht="15" customHeight="1" x14ac:dyDescent="0.35">
      <c r="I25" s="14"/>
      <c r="J25" s="3" t="s">
        <v>1785</v>
      </c>
      <c r="Q25" s="13"/>
      <c r="R25" s="13"/>
      <c r="S25" s="13"/>
      <c r="T25" s="13"/>
      <c r="U25" s="13"/>
      <c r="V25" s="13"/>
      <c r="W25" s="14"/>
      <c r="X25" s="13"/>
    </row>
    <row r="26" spans="9:24" ht="15" customHeight="1" x14ac:dyDescent="0.3">
      <c r="I26" s="14"/>
      <c r="U26" s="13"/>
      <c r="V26" s="13"/>
      <c r="W26" s="14"/>
      <c r="X26" s="13"/>
    </row>
    <row r="27" spans="9:24" ht="15" customHeight="1" x14ac:dyDescent="0.3">
      <c r="I27" s="14"/>
      <c r="J27" s="768"/>
      <c r="Q27" s="13"/>
      <c r="R27" s="13"/>
      <c r="S27" s="13"/>
      <c r="T27" s="13"/>
      <c r="U27" s="13"/>
      <c r="V27" s="13"/>
      <c r="W27" s="14"/>
      <c r="X27" s="13"/>
    </row>
    <row r="28" spans="9:24" ht="15" customHeight="1" x14ac:dyDescent="0.3">
      <c r="I28" s="14"/>
      <c r="Q28" s="13"/>
      <c r="R28" s="13"/>
      <c r="S28" s="13"/>
      <c r="T28" s="13"/>
      <c r="U28" s="13"/>
      <c r="V28" s="13"/>
      <c r="W28" s="14"/>
      <c r="X28" s="13"/>
    </row>
    <row r="29" spans="9:24" x14ac:dyDescent="0.3">
      <c r="I29" s="14"/>
      <c r="Q29" s="13"/>
      <c r="R29" s="13"/>
      <c r="S29" s="13"/>
      <c r="T29" s="13"/>
      <c r="U29" s="13"/>
      <c r="V29" s="13"/>
      <c r="W29" s="14"/>
      <c r="X29" s="13"/>
    </row>
    <row r="30" spans="9:24" x14ac:dyDescent="0.3">
      <c r="I30" s="14"/>
      <c r="Q30" s="13"/>
      <c r="R30" s="13"/>
      <c r="S30" s="13"/>
      <c r="T30" s="13"/>
      <c r="U30" s="13"/>
      <c r="V30" s="13"/>
      <c r="W30" s="14"/>
      <c r="X30" s="13"/>
    </row>
    <row r="31" spans="9:24" x14ac:dyDescent="0.3">
      <c r="I31" s="14"/>
      <c r="Q31" s="13"/>
      <c r="R31" s="13"/>
      <c r="S31" s="13"/>
      <c r="T31" s="13"/>
      <c r="U31" s="13"/>
      <c r="V31" s="13"/>
      <c r="W31" s="14"/>
      <c r="X31" s="13"/>
    </row>
    <row r="32" spans="9:24" x14ac:dyDescent="0.3">
      <c r="I32" s="14"/>
      <c r="Q32" s="13"/>
      <c r="R32" s="13"/>
      <c r="S32" s="13"/>
      <c r="T32" s="13"/>
      <c r="U32" s="13"/>
      <c r="V32" s="13"/>
      <c r="W32" s="14"/>
      <c r="X32" s="13"/>
    </row>
    <row r="33" spans="1:24" x14ac:dyDescent="0.3">
      <c r="I33" s="14"/>
      <c r="Q33" s="13"/>
      <c r="R33" s="13"/>
      <c r="S33" s="13"/>
      <c r="T33" s="13"/>
      <c r="U33" s="13"/>
      <c r="V33" s="13"/>
      <c r="W33" s="14"/>
      <c r="X33" s="13"/>
    </row>
    <row r="34" spans="1:24" x14ac:dyDescent="0.3">
      <c r="I34" s="14"/>
      <c r="Q34" s="13"/>
      <c r="R34" s="13"/>
      <c r="S34" s="13"/>
      <c r="T34" s="13"/>
      <c r="U34" s="13"/>
      <c r="V34" s="13"/>
      <c r="W34" s="14"/>
      <c r="X34" s="13"/>
    </row>
    <row r="35" spans="1:24" x14ac:dyDescent="0.3">
      <c r="I35" s="14"/>
      <c r="Q35" s="13"/>
      <c r="R35" s="13"/>
      <c r="S35" s="13"/>
      <c r="T35" s="13"/>
      <c r="U35" s="13"/>
      <c r="V35" s="13"/>
      <c r="W35" s="14"/>
      <c r="X35" s="13"/>
    </row>
    <row r="36" spans="1:24" x14ac:dyDescent="0.3">
      <c r="I36" s="14"/>
      <c r="Q36" s="13"/>
      <c r="R36" s="13"/>
      <c r="S36" s="13"/>
      <c r="T36" s="13"/>
      <c r="U36" s="13"/>
      <c r="V36" s="13"/>
      <c r="W36" s="14"/>
      <c r="X36" s="13"/>
    </row>
    <row r="37" spans="1:24" x14ac:dyDescent="0.3">
      <c r="I37" s="14"/>
      <c r="Q37" s="13"/>
      <c r="R37" s="13"/>
      <c r="S37" s="13"/>
      <c r="T37" s="13"/>
      <c r="U37" s="13"/>
      <c r="V37" s="13"/>
      <c r="W37" s="14"/>
      <c r="X37" s="13"/>
    </row>
    <row r="38" spans="1:24" x14ac:dyDescent="0.3">
      <c r="I38" s="14"/>
      <c r="Q38" s="13"/>
      <c r="R38" s="13"/>
      <c r="S38" s="13"/>
      <c r="T38" s="13"/>
      <c r="U38" s="13"/>
      <c r="V38" s="13"/>
      <c r="W38" s="14"/>
      <c r="X38" s="13"/>
    </row>
    <row r="39" spans="1:24" x14ac:dyDescent="0.3">
      <c r="A39" s="13"/>
      <c r="B39" s="13"/>
      <c r="I39" s="14"/>
      <c r="Q39" s="13"/>
      <c r="R39" s="13"/>
      <c r="S39" s="13"/>
      <c r="T39" s="13"/>
      <c r="U39" s="13"/>
      <c r="V39" s="13"/>
      <c r="W39" s="14"/>
      <c r="X39" s="13"/>
    </row>
    <row r="40" spans="1:24" x14ac:dyDescent="0.3">
      <c r="I40" s="14"/>
      <c r="Q40" s="13"/>
      <c r="R40" s="13"/>
      <c r="S40" s="13"/>
      <c r="T40" s="13"/>
      <c r="U40" s="13"/>
      <c r="V40" s="13"/>
      <c r="W40" s="14"/>
      <c r="X40" s="13"/>
    </row>
    <row r="41" spans="1:24" x14ac:dyDescent="0.3">
      <c r="I41" s="14"/>
      <c r="Q41" s="13"/>
      <c r="R41" s="13"/>
      <c r="S41" s="13"/>
      <c r="T41" s="13"/>
      <c r="U41" s="13"/>
      <c r="V41" s="13"/>
      <c r="W41" s="14"/>
      <c r="X41" s="13"/>
    </row>
    <row r="42" spans="1:24" x14ac:dyDescent="0.3">
      <c r="I42" s="14"/>
      <c r="Q42" s="13"/>
      <c r="R42" s="13"/>
      <c r="S42" s="13"/>
      <c r="T42" s="13"/>
      <c r="U42" s="13"/>
      <c r="V42" s="13"/>
      <c r="W42" s="14"/>
      <c r="X42" s="13"/>
    </row>
    <row r="43" spans="1:24" x14ac:dyDescent="0.3">
      <c r="I43" s="14"/>
      <c r="Q43" s="13"/>
      <c r="R43" s="13"/>
      <c r="S43" s="13"/>
      <c r="T43" s="13"/>
      <c r="U43" s="13"/>
      <c r="V43" s="13"/>
      <c r="W43" s="14"/>
      <c r="X43" s="13"/>
    </row>
    <row r="44" spans="1:24" x14ac:dyDescent="0.3">
      <c r="I44" s="14"/>
      <c r="Q44" s="13"/>
      <c r="R44" s="13"/>
      <c r="S44" s="13"/>
      <c r="T44" s="13"/>
      <c r="U44" s="13"/>
      <c r="V44" s="13"/>
      <c r="W44" s="14"/>
      <c r="X44" s="13"/>
    </row>
    <row r="45" spans="1:24" x14ac:dyDescent="0.3">
      <c r="I45" s="14"/>
      <c r="Q45" s="13"/>
      <c r="R45" s="13"/>
      <c r="S45" s="13"/>
      <c r="T45" s="13"/>
      <c r="U45" s="13"/>
      <c r="V45" s="13"/>
      <c r="W45" s="14"/>
      <c r="X45" s="13"/>
    </row>
    <row r="46" spans="1:24" x14ac:dyDescent="0.3">
      <c r="I46" s="14"/>
      <c r="Q46" s="13"/>
      <c r="R46" s="13"/>
      <c r="S46" s="13"/>
      <c r="T46" s="13"/>
      <c r="U46" s="13"/>
      <c r="V46" s="13"/>
      <c r="W46" s="14"/>
      <c r="X46" s="13"/>
    </row>
    <row r="47" spans="1:24" x14ac:dyDescent="0.3">
      <c r="I47" s="14"/>
      <c r="Q47" s="13"/>
      <c r="R47" s="13"/>
      <c r="S47" s="13"/>
      <c r="T47" s="13"/>
      <c r="U47" s="13"/>
      <c r="V47" s="13"/>
      <c r="W47" s="14"/>
      <c r="X47" s="13"/>
    </row>
    <row r="48" spans="1:24" x14ac:dyDescent="0.3">
      <c r="I48" s="14"/>
      <c r="Q48" s="13"/>
      <c r="R48" s="13"/>
      <c r="S48" s="13"/>
      <c r="T48" s="13"/>
      <c r="U48" s="13"/>
      <c r="V48" s="13"/>
      <c r="W48" s="14"/>
      <c r="X48" s="13"/>
    </row>
    <row r="49" spans="1:24" x14ac:dyDescent="0.3">
      <c r="I49" s="14"/>
      <c r="Q49" s="13"/>
      <c r="R49" s="13"/>
      <c r="S49" s="13"/>
      <c r="T49" s="13"/>
      <c r="U49" s="13"/>
      <c r="V49" s="13"/>
      <c r="W49" s="14"/>
      <c r="X49" s="13"/>
    </row>
    <row r="50" spans="1:24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x14ac:dyDescent="0.3"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4" x14ac:dyDescent="0.3"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4" x14ac:dyDescent="0.3"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4" x14ac:dyDescent="0.3">
      <c r="I54" s="1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4" x14ac:dyDescent="0.3"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4" x14ac:dyDescent="0.3"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4" x14ac:dyDescent="0.3"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4" x14ac:dyDescent="0.3"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4" x14ac:dyDescent="0.3"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4" x14ac:dyDescent="0.3"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4" x14ac:dyDescent="0.3"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4" x14ac:dyDescent="0.3"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4" x14ac:dyDescent="0.3"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4" x14ac:dyDescent="0.3"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9:23" x14ac:dyDescent="0.3">
      <c r="I65" s="14"/>
      <c r="W65" s="14"/>
    </row>
    <row r="66" spans="9:23" x14ac:dyDescent="0.3">
      <c r="I66" s="14"/>
      <c r="W66" s="14"/>
    </row>
    <row r="67" spans="9:23" x14ac:dyDescent="0.3">
      <c r="I67" s="14"/>
      <c r="W67" s="14"/>
    </row>
    <row r="68" spans="9:23" x14ac:dyDescent="0.3">
      <c r="I68" s="14"/>
      <c r="W68" s="14"/>
    </row>
    <row r="69" spans="9:23" x14ac:dyDescent="0.3">
      <c r="I69" s="14"/>
      <c r="W69" s="14"/>
    </row>
    <row r="70" spans="9:23" x14ac:dyDescent="0.3">
      <c r="I70" s="14"/>
      <c r="W70" s="14"/>
    </row>
    <row r="71" spans="9:23" x14ac:dyDescent="0.3">
      <c r="I71" s="14"/>
      <c r="W71" s="14"/>
    </row>
    <row r="72" spans="9:23" x14ac:dyDescent="0.3">
      <c r="I72" s="14"/>
      <c r="W72" s="14"/>
    </row>
    <row r="73" spans="9:23" x14ac:dyDescent="0.3">
      <c r="I73" s="14"/>
      <c r="W73" s="14"/>
    </row>
    <row r="74" spans="9:23" x14ac:dyDescent="0.3">
      <c r="I74" s="14"/>
      <c r="W74" s="14"/>
    </row>
    <row r="75" spans="9:23" x14ac:dyDescent="0.3">
      <c r="I75" s="14"/>
      <c r="W75" s="14"/>
    </row>
    <row r="76" spans="9:23" x14ac:dyDescent="0.3">
      <c r="I76" s="14"/>
      <c r="W76" s="14"/>
    </row>
    <row r="77" spans="9:23" x14ac:dyDescent="0.3">
      <c r="I77" s="14"/>
      <c r="W77" s="14"/>
    </row>
    <row r="78" spans="9:23" x14ac:dyDescent="0.3">
      <c r="I78" s="14"/>
      <c r="W78" s="14"/>
    </row>
    <row r="79" spans="9:23" x14ac:dyDescent="0.3">
      <c r="I79" s="14"/>
      <c r="W79" s="14"/>
    </row>
    <row r="80" spans="9:23" x14ac:dyDescent="0.3">
      <c r="I80" s="14"/>
      <c r="W80" s="14"/>
    </row>
    <row r="81" spans="9:23" x14ac:dyDescent="0.3">
      <c r="I81" s="14"/>
      <c r="W81" s="14"/>
    </row>
    <row r="82" spans="9:23" x14ac:dyDescent="0.3">
      <c r="I82" s="14"/>
      <c r="W82" s="14"/>
    </row>
    <row r="83" spans="9:23" x14ac:dyDescent="0.3">
      <c r="I83" s="14"/>
      <c r="W83" s="14"/>
    </row>
    <row r="84" spans="9:23" x14ac:dyDescent="0.3">
      <c r="I84" s="14"/>
      <c r="W84" s="14"/>
    </row>
    <row r="85" spans="9:23" x14ac:dyDescent="0.3">
      <c r="I85" s="14"/>
      <c r="W85" s="14"/>
    </row>
    <row r="86" spans="9:23" x14ac:dyDescent="0.3">
      <c r="I86" s="14"/>
      <c r="W86" s="14"/>
    </row>
    <row r="87" spans="9:23" x14ac:dyDescent="0.3">
      <c r="I87" s="14"/>
      <c r="W87" s="14"/>
    </row>
    <row r="88" spans="9:23" x14ac:dyDescent="0.3">
      <c r="I88" s="14"/>
      <c r="W88" s="14"/>
    </row>
    <row r="89" spans="9:23" x14ac:dyDescent="0.3">
      <c r="I89" s="14"/>
      <c r="W89" s="14"/>
    </row>
    <row r="90" spans="9:23" x14ac:dyDescent="0.3">
      <c r="I90" s="14"/>
      <c r="W90" s="14"/>
    </row>
    <row r="91" spans="9:23" x14ac:dyDescent="0.3">
      <c r="I91" s="14"/>
      <c r="W91" s="14"/>
    </row>
    <row r="92" spans="9:23" x14ac:dyDescent="0.3">
      <c r="I92" s="14"/>
      <c r="W92" s="14"/>
    </row>
    <row r="93" spans="9:23" x14ac:dyDescent="0.3">
      <c r="I93" s="14"/>
      <c r="W93" s="14"/>
    </row>
    <row r="94" spans="9:23" x14ac:dyDescent="0.3">
      <c r="I94" s="14"/>
      <c r="W94" s="14"/>
    </row>
    <row r="95" spans="9:23" x14ac:dyDescent="0.3">
      <c r="I95" s="14"/>
      <c r="W95" s="14"/>
    </row>
    <row r="96" spans="9:23" x14ac:dyDescent="0.3">
      <c r="I96" s="14"/>
      <c r="W96" s="14"/>
    </row>
    <row r="97" spans="1:23" x14ac:dyDescent="0.3">
      <c r="I97" s="14"/>
      <c r="W97" s="14"/>
    </row>
    <row r="98" spans="1:23" x14ac:dyDescent="0.3">
      <c r="I98" s="14"/>
      <c r="W98" s="14"/>
    </row>
    <row r="99" spans="1:23" x14ac:dyDescent="0.3">
      <c r="I99" s="14"/>
      <c r="W99" s="14"/>
    </row>
    <row r="100" spans="1:23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x14ac:dyDescent="0.3"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x14ac:dyDescent="0.3"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x14ac:dyDescent="0.3"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x14ac:dyDescent="0.3">
      <c r="I104" s="14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x14ac:dyDescent="0.3">
      <c r="I105" s="14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x14ac:dyDescent="0.3">
      <c r="I106" s="14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x14ac:dyDescent="0.3">
      <c r="I107" s="14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x14ac:dyDescent="0.3">
      <c r="I108" s="14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x14ac:dyDescent="0.3">
      <c r="I109" s="14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x14ac:dyDescent="0.3">
      <c r="I110" s="14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x14ac:dyDescent="0.3">
      <c r="I111" s="14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x14ac:dyDescent="0.3">
      <c r="I112" s="14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9:23" x14ac:dyDescent="0.3">
      <c r="I113" s="14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9:23" x14ac:dyDescent="0.3">
      <c r="I114" s="14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9:23" x14ac:dyDescent="0.3">
      <c r="I115" s="14"/>
      <c r="W115" s="14"/>
    </row>
    <row r="116" spans="9:23" x14ac:dyDescent="0.3">
      <c r="I116" s="14"/>
      <c r="W116" s="14"/>
    </row>
    <row r="117" spans="9:23" x14ac:dyDescent="0.3">
      <c r="I117" s="14"/>
      <c r="W117" s="14"/>
    </row>
    <row r="118" spans="9:23" x14ac:dyDescent="0.3">
      <c r="I118" s="14"/>
      <c r="W118" s="14"/>
    </row>
    <row r="119" spans="9:23" x14ac:dyDescent="0.3">
      <c r="I119" s="14"/>
      <c r="W119" s="14"/>
    </row>
    <row r="120" spans="9:23" x14ac:dyDescent="0.3">
      <c r="I120" s="14"/>
      <c r="W120" s="14"/>
    </row>
    <row r="121" spans="9:23" x14ac:dyDescent="0.3">
      <c r="I121" s="14"/>
      <c r="W121" s="14"/>
    </row>
    <row r="122" spans="9:23" x14ac:dyDescent="0.3">
      <c r="I122" s="14"/>
      <c r="W122" s="14"/>
    </row>
    <row r="123" spans="9:23" x14ac:dyDescent="0.3">
      <c r="I123" s="14"/>
      <c r="W123" s="14"/>
    </row>
    <row r="124" spans="9:23" x14ac:dyDescent="0.3">
      <c r="I124" s="14"/>
      <c r="W124" s="14"/>
    </row>
    <row r="125" spans="9:23" x14ac:dyDescent="0.3">
      <c r="I125" s="14"/>
      <c r="W125" s="14"/>
    </row>
    <row r="126" spans="9:23" x14ac:dyDescent="0.3">
      <c r="I126" s="14"/>
      <c r="W126" s="14"/>
    </row>
    <row r="127" spans="9:23" x14ac:dyDescent="0.3">
      <c r="I127" s="14"/>
      <c r="W127" s="14"/>
    </row>
    <row r="128" spans="9:23" x14ac:dyDescent="0.3">
      <c r="I128" s="14"/>
      <c r="W128" s="14"/>
    </row>
    <row r="129" spans="9:23" x14ac:dyDescent="0.3">
      <c r="I129" s="14"/>
      <c r="W129" s="14"/>
    </row>
    <row r="130" spans="9:23" x14ac:dyDescent="0.3">
      <c r="I130" s="14"/>
      <c r="W130" s="14"/>
    </row>
    <row r="131" spans="9:23" x14ac:dyDescent="0.3">
      <c r="I131" s="14"/>
      <c r="W131" s="14"/>
    </row>
    <row r="132" spans="9:23" x14ac:dyDescent="0.3">
      <c r="I132" s="14"/>
      <c r="W132" s="14"/>
    </row>
    <row r="133" spans="9:23" x14ac:dyDescent="0.3">
      <c r="I133" s="14"/>
      <c r="W133" s="14"/>
    </row>
    <row r="134" spans="9:23" x14ac:dyDescent="0.3">
      <c r="I134" s="14"/>
      <c r="W134" s="14"/>
    </row>
    <row r="135" spans="9:23" x14ac:dyDescent="0.3">
      <c r="I135" s="14"/>
      <c r="W135" s="14"/>
    </row>
    <row r="136" spans="9:23" x14ac:dyDescent="0.3">
      <c r="I136" s="14"/>
      <c r="W136" s="14"/>
    </row>
    <row r="137" spans="9:23" x14ac:dyDescent="0.3">
      <c r="I137" s="14"/>
      <c r="W137" s="14"/>
    </row>
    <row r="138" spans="9:23" x14ac:dyDescent="0.3">
      <c r="I138" s="14"/>
      <c r="W138" s="14"/>
    </row>
    <row r="139" spans="9:23" x14ac:dyDescent="0.3">
      <c r="I139" s="14"/>
      <c r="W139" s="14"/>
    </row>
    <row r="140" spans="9:23" x14ac:dyDescent="0.3">
      <c r="I140" s="14"/>
      <c r="W140" s="14"/>
    </row>
    <row r="141" spans="9:23" x14ac:dyDescent="0.3">
      <c r="I141" s="14"/>
      <c r="W141" s="14"/>
    </row>
    <row r="142" spans="9:23" x14ac:dyDescent="0.3">
      <c r="I142" s="14"/>
      <c r="W142" s="14"/>
    </row>
    <row r="143" spans="9:23" x14ac:dyDescent="0.3">
      <c r="I143" s="14"/>
      <c r="W143" s="14"/>
    </row>
    <row r="144" spans="9:23" x14ac:dyDescent="0.3">
      <c r="I144" s="14"/>
      <c r="W144" s="14"/>
    </row>
    <row r="145" spans="1:23" x14ac:dyDescent="0.3">
      <c r="I145" s="14"/>
      <c r="W145" s="14"/>
    </row>
    <row r="146" spans="1:23" x14ac:dyDescent="0.3">
      <c r="I146" s="14"/>
      <c r="W146" s="14"/>
    </row>
    <row r="147" spans="1:23" x14ac:dyDescent="0.3">
      <c r="I147" s="14"/>
      <c r="W147" s="14"/>
    </row>
    <row r="148" spans="1:23" x14ac:dyDescent="0.3">
      <c r="I148" s="14"/>
      <c r="W148" s="14"/>
    </row>
    <row r="149" spans="1:23" x14ac:dyDescent="0.3">
      <c r="I149" s="14"/>
      <c r="W149" s="14"/>
    </row>
    <row r="150" spans="1:23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x14ac:dyDescent="0.3">
      <c r="I151" s="14"/>
      <c r="W151" s="14"/>
    </row>
    <row r="152" spans="1:23" x14ac:dyDescent="0.3">
      <c r="I152" s="14"/>
      <c r="W152" s="14"/>
    </row>
    <row r="153" spans="1:23" x14ac:dyDescent="0.3">
      <c r="I153" s="14"/>
      <c r="W153" s="14"/>
    </row>
    <row r="154" spans="1:23" x14ac:dyDescent="0.3">
      <c r="I154" s="14"/>
      <c r="W154" s="14"/>
    </row>
    <row r="155" spans="1:23" x14ac:dyDescent="0.3">
      <c r="I155" s="14"/>
      <c r="W155" s="14"/>
    </row>
    <row r="156" spans="1:23" x14ac:dyDescent="0.3">
      <c r="I156" s="14"/>
      <c r="W156" s="14"/>
    </row>
    <row r="157" spans="1:23" x14ac:dyDescent="0.3">
      <c r="I157" s="14"/>
      <c r="W157" s="14"/>
    </row>
    <row r="158" spans="1:23" x14ac:dyDescent="0.3">
      <c r="I158" s="14"/>
      <c r="W158" s="14"/>
    </row>
  </sheetData>
  <mergeCells count="1">
    <mergeCell ref="G1:H1"/>
  </mergeCells>
  <hyperlinks>
    <hyperlink ref="G1" location="TOC!A1" display="Return to TOC" xr:uid="{692B8E3D-1699-48A1-A027-210A5B74000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2CED-6A36-4623-A071-041CEFE471B6}">
  <sheetPr codeName="Sheet42"/>
  <dimension ref="A1:V49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12.33203125" customWidth="1"/>
    <col min="4" max="4" width="22.33203125" bestFit="1" customWidth="1"/>
    <col min="5" max="5" width="24.109375" bestFit="1" customWidth="1"/>
    <col min="6" max="6" width="7.33203125" customWidth="1"/>
    <col min="7" max="7" width="2.6640625" customWidth="1"/>
    <col min="8" max="8" width="12.109375" bestFit="1" customWidth="1"/>
    <col min="9" max="9" width="22.33203125" bestFit="1" customWidth="1"/>
    <col min="10" max="10" width="23.6640625" bestFit="1" customWidth="1"/>
    <col min="11" max="11" width="12.44140625" bestFit="1" customWidth="1"/>
    <col min="12" max="14" width="7.6640625" customWidth="1"/>
    <col min="15" max="19" width="5.6640625" customWidth="1"/>
    <col min="20" max="20" width="6.88671875" customWidth="1"/>
  </cols>
  <sheetData>
    <row r="1" spans="1:22" x14ac:dyDescent="0.3">
      <c r="A1" s="32" t="s">
        <v>137</v>
      </c>
      <c r="B1" s="33"/>
      <c r="C1" s="33" t="s">
        <v>30</v>
      </c>
      <c r="D1" s="34"/>
      <c r="E1" s="772" t="s">
        <v>199</v>
      </c>
      <c r="F1" s="773"/>
      <c r="G1" s="10"/>
      <c r="H1" s="12" t="s">
        <v>140</v>
      </c>
      <c r="I1" t="s">
        <v>268</v>
      </c>
      <c r="U1" s="10"/>
    </row>
    <row r="2" spans="1:22" x14ac:dyDescent="0.3">
      <c r="A2" s="35" t="s">
        <v>138</v>
      </c>
      <c r="B2" s="36"/>
      <c r="C2" s="36" t="s">
        <v>267</v>
      </c>
      <c r="D2" s="36"/>
      <c r="E2" s="36"/>
      <c r="F2" s="37"/>
      <c r="G2" s="10"/>
      <c r="U2" s="10"/>
    </row>
    <row r="3" spans="1:22" x14ac:dyDescent="0.3">
      <c r="A3" s="35" t="s">
        <v>141</v>
      </c>
      <c r="B3" s="36"/>
      <c r="C3" s="36" t="s">
        <v>269</v>
      </c>
      <c r="D3" s="36"/>
      <c r="E3" s="36"/>
      <c r="F3" s="37"/>
      <c r="G3" s="10"/>
      <c r="H3" s="86" t="str">
        <f t="shared" ref="H3:H13" si="0">C5</f>
        <v xml:space="preserve">Observation </v>
      </c>
      <c r="I3" s="24" t="str">
        <f t="shared" ref="I3:I13" si="1">D5</f>
        <v>Predicted Pure Premium</v>
      </c>
      <c r="J3" s="24" t="str">
        <f t="shared" ref="J3:J13" si="2">E5</f>
        <v>Actual Premium Premium</v>
      </c>
      <c r="K3" s="87" t="s">
        <v>270</v>
      </c>
      <c r="U3" s="10"/>
    </row>
    <row r="4" spans="1:22" x14ac:dyDescent="0.3">
      <c r="A4" s="38"/>
      <c r="B4" s="39"/>
      <c r="C4" s="39"/>
      <c r="D4" s="39"/>
      <c r="E4" s="39"/>
      <c r="F4" s="40"/>
      <c r="G4" s="14"/>
      <c r="H4" s="61">
        <f t="shared" si="0"/>
        <v>1</v>
      </c>
      <c r="I4" s="68">
        <f t="shared" si="1"/>
        <v>362</v>
      </c>
      <c r="J4" s="68">
        <f t="shared" si="2"/>
        <v>628</v>
      </c>
      <c r="K4" s="99">
        <f t="shared" ref="K4:K13" si="3">_xlfn.RANK.AVG(I4,$I$4:$I$13,1)</f>
        <v>3</v>
      </c>
      <c r="R4" s="13"/>
      <c r="S4" s="13"/>
      <c r="T4" s="13"/>
      <c r="U4" s="14"/>
      <c r="V4" s="13"/>
    </row>
    <row r="5" spans="1:22" ht="15" customHeight="1" x14ac:dyDescent="0.3">
      <c r="A5" s="41" t="s">
        <v>144</v>
      </c>
      <c r="B5" s="36"/>
      <c r="C5" s="48" t="s">
        <v>271</v>
      </c>
      <c r="D5" s="48" t="s">
        <v>272</v>
      </c>
      <c r="E5" s="96" t="s">
        <v>273</v>
      </c>
      <c r="F5" s="37"/>
      <c r="G5" s="14"/>
      <c r="H5" s="61">
        <f t="shared" si="0"/>
        <v>2</v>
      </c>
      <c r="I5" s="68">
        <f t="shared" si="1"/>
        <v>780</v>
      </c>
      <c r="J5" s="68">
        <f t="shared" si="2"/>
        <v>635</v>
      </c>
      <c r="K5" s="99">
        <f t="shared" si="3"/>
        <v>8</v>
      </c>
      <c r="R5" s="13"/>
      <c r="S5" s="13"/>
      <c r="T5" s="13"/>
      <c r="U5" s="14"/>
      <c r="V5" s="13"/>
    </row>
    <row r="6" spans="1:22" x14ac:dyDescent="0.3">
      <c r="A6" s="45"/>
      <c r="B6" s="36"/>
      <c r="C6" s="20">
        <v>1</v>
      </c>
      <c r="D6" s="79">
        <v>362</v>
      </c>
      <c r="E6" s="101">
        <v>628</v>
      </c>
      <c r="F6" s="37"/>
      <c r="G6" s="14"/>
      <c r="H6" s="61">
        <f t="shared" si="0"/>
        <v>3</v>
      </c>
      <c r="I6" s="68">
        <f t="shared" si="1"/>
        <v>849</v>
      </c>
      <c r="J6" s="68">
        <f t="shared" si="2"/>
        <v>306</v>
      </c>
      <c r="K6" s="99">
        <f t="shared" si="3"/>
        <v>9</v>
      </c>
      <c r="R6" s="13"/>
      <c r="S6" s="13"/>
      <c r="T6" s="13"/>
      <c r="U6" s="14"/>
      <c r="V6" s="13"/>
    </row>
    <row r="7" spans="1:22" ht="15" customHeight="1" x14ac:dyDescent="0.3">
      <c r="A7" s="45"/>
      <c r="B7" s="36"/>
      <c r="C7" s="20">
        <f>C6+1</f>
        <v>2</v>
      </c>
      <c r="D7" s="79">
        <v>780</v>
      </c>
      <c r="E7" s="101">
        <v>635</v>
      </c>
      <c r="F7" s="37"/>
      <c r="G7" s="14"/>
      <c r="H7" s="61">
        <f t="shared" si="0"/>
        <v>4</v>
      </c>
      <c r="I7" s="68">
        <f t="shared" si="1"/>
        <v>138</v>
      </c>
      <c r="J7" s="68">
        <f t="shared" si="2"/>
        <v>126</v>
      </c>
      <c r="K7" s="99">
        <f t="shared" si="3"/>
        <v>1</v>
      </c>
      <c r="R7" s="13"/>
      <c r="S7" s="13"/>
      <c r="T7" s="13"/>
      <c r="U7" s="14"/>
      <c r="V7" s="13"/>
    </row>
    <row r="8" spans="1:22" ht="15" customHeight="1" x14ac:dyDescent="0.3">
      <c r="A8" s="41"/>
      <c r="B8" s="39"/>
      <c r="C8" s="20">
        <f t="shared" ref="C8:C15" si="4">C7+1</f>
        <v>3</v>
      </c>
      <c r="D8" s="79">
        <v>849</v>
      </c>
      <c r="E8" s="101">
        <v>306</v>
      </c>
      <c r="F8" s="37"/>
      <c r="G8" s="14"/>
      <c r="H8" s="61">
        <f t="shared" si="0"/>
        <v>5</v>
      </c>
      <c r="I8" s="68">
        <f t="shared" si="1"/>
        <v>343</v>
      </c>
      <c r="J8" s="68">
        <f t="shared" si="2"/>
        <v>239</v>
      </c>
      <c r="K8" s="99">
        <f t="shared" si="3"/>
        <v>2</v>
      </c>
      <c r="R8" s="13"/>
      <c r="S8" s="13"/>
      <c r="T8" s="13"/>
      <c r="U8" s="14"/>
      <c r="V8" s="13"/>
    </row>
    <row r="9" spans="1:22" x14ac:dyDescent="0.3">
      <c r="A9" s="41"/>
      <c r="B9" s="39"/>
      <c r="C9" s="20">
        <f t="shared" si="4"/>
        <v>4</v>
      </c>
      <c r="D9" s="79">
        <v>138</v>
      </c>
      <c r="E9" s="101">
        <v>126</v>
      </c>
      <c r="F9" s="37"/>
      <c r="G9" s="14"/>
      <c r="H9" s="61">
        <f t="shared" si="0"/>
        <v>6</v>
      </c>
      <c r="I9" s="68">
        <f t="shared" si="1"/>
        <v>989</v>
      </c>
      <c r="J9" s="68">
        <f t="shared" si="2"/>
        <v>835</v>
      </c>
      <c r="K9" s="99">
        <f t="shared" si="3"/>
        <v>10</v>
      </c>
      <c r="R9" s="13"/>
      <c r="S9" s="13"/>
      <c r="T9" s="13"/>
      <c r="U9" s="14"/>
      <c r="V9" s="13"/>
    </row>
    <row r="10" spans="1:22" x14ac:dyDescent="0.3">
      <c r="A10" s="38"/>
      <c r="B10" s="39"/>
      <c r="C10" s="20">
        <f t="shared" si="4"/>
        <v>5</v>
      </c>
      <c r="D10" s="79">
        <v>343</v>
      </c>
      <c r="E10" s="101">
        <v>239</v>
      </c>
      <c r="F10" s="37"/>
      <c r="G10" s="14"/>
      <c r="H10" s="61">
        <f t="shared" si="0"/>
        <v>7</v>
      </c>
      <c r="I10" s="68">
        <f t="shared" si="1"/>
        <v>381</v>
      </c>
      <c r="J10" s="68">
        <f t="shared" si="2"/>
        <v>515</v>
      </c>
      <c r="K10" s="99">
        <f t="shared" si="3"/>
        <v>4</v>
      </c>
      <c r="R10" s="13"/>
      <c r="S10" s="13"/>
      <c r="T10" s="13"/>
      <c r="U10" s="14"/>
      <c r="V10" s="13"/>
    </row>
    <row r="11" spans="1:22" x14ac:dyDescent="0.3">
      <c r="A11" s="38"/>
      <c r="B11" s="39"/>
      <c r="C11" s="20">
        <f t="shared" si="4"/>
        <v>6</v>
      </c>
      <c r="D11" s="79">
        <v>989</v>
      </c>
      <c r="E11" s="101">
        <v>835</v>
      </c>
      <c r="F11" s="37"/>
      <c r="G11" s="14"/>
      <c r="H11" s="61">
        <f t="shared" si="0"/>
        <v>8</v>
      </c>
      <c r="I11" s="68">
        <f t="shared" si="1"/>
        <v>716</v>
      </c>
      <c r="J11" s="68">
        <f t="shared" si="2"/>
        <v>143</v>
      </c>
      <c r="K11" s="99">
        <f t="shared" si="3"/>
        <v>7</v>
      </c>
      <c r="R11" s="13"/>
      <c r="S11" s="13"/>
      <c r="T11" s="13"/>
      <c r="U11" s="14"/>
      <c r="V11" s="13"/>
    </row>
    <row r="12" spans="1:22" x14ac:dyDescent="0.3">
      <c r="A12" s="38"/>
      <c r="B12" s="39"/>
      <c r="C12" s="20">
        <f t="shared" si="4"/>
        <v>7</v>
      </c>
      <c r="D12" s="79">
        <v>381</v>
      </c>
      <c r="E12" s="101">
        <v>515</v>
      </c>
      <c r="F12" s="37"/>
      <c r="G12" s="14"/>
      <c r="H12" s="61">
        <f t="shared" si="0"/>
        <v>9</v>
      </c>
      <c r="I12" s="68">
        <f t="shared" si="1"/>
        <v>696</v>
      </c>
      <c r="J12" s="68">
        <f t="shared" si="2"/>
        <v>738</v>
      </c>
      <c r="K12" s="99">
        <f t="shared" si="3"/>
        <v>6</v>
      </c>
      <c r="R12" s="13"/>
      <c r="S12" s="13"/>
      <c r="T12" s="13"/>
      <c r="U12" s="14"/>
      <c r="V12" s="13"/>
    </row>
    <row r="13" spans="1:22" x14ac:dyDescent="0.3">
      <c r="A13" s="38"/>
      <c r="B13" s="39"/>
      <c r="C13" s="20">
        <f t="shared" si="4"/>
        <v>8</v>
      </c>
      <c r="D13" s="79">
        <v>716</v>
      </c>
      <c r="E13" s="101">
        <v>143</v>
      </c>
      <c r="F13" s="37"/>
      <c r="G13" s="14"/>
      <c r="H13" s="65">
        <f t="shared" si="0"/>
        <v>10</v>
      </c>
      <c r="I13" s="66">
        <f t="shared" si="1"/>
        <v>685</v>
      </c>
      <c r="J13" s="66">
        <f t="shared" si="2"/>
        <v>388</v>
      </c>
      <c r="K13" s="102">
        <f t="shared" si="3"/>
        <v>5</v>
      </c>
      <c r="R13" s="13"/>
      <c r="S13" s="13"/>
      <c r="T13" s="13"/>
      <c r="U13" s="14"/>
      <c r="V13" s="13"/>
    </row>
    <row r="14" spans="1:22" x14ac:dyDescent="0.3">
      <c r="A14" s="38"/>
      <c r="B14" s="39"/>
      <c r="C14" s="20">
        <f t="shared" si="4"/>
        <v>9</v>
      </c>
      <c r="D14" s="79">
        <v>696</v>
      </c>
      <c r="E14" s="101">
        <v>738</v>
      </c>
      <c r="F14" s="37"/>
      <c r="G14" s="14"/>
      <c r="R14" s="13"/>
      <c r="S14" s="13"/>
      <c r="T14" s="13"/>
      <c r="U14" s="14"/>
      <c r="V14" s="13"/>
    </row>
    <row r="15" spans="1:22" x14ac:dyDescent="0.3">
      <c r="A15" s="45"/>
      <c r="B15" s="36"/>
      <c r="C15" s="22">
        <f t="shared" si="4"/>
        <v>10</v>
      </c>
      <c r="D15" s="81">
        <v>685</v>
      </c>
      <c r="E15" s="103">
        <v>388</v>
      </c>
      <c r="F15" s="37"/>
      <c r="G15" s="14"/>
      <c r="H15" t="s">
        <v>274</v>
      </c>
      <c r="R15" s="13"/>
      <c r="S15" s="13"/>
      <c r="T15" s="13"/>
      <c r="U15" s="14"/>
      <c r="V15" s="13"/>
    </row>
    <row r="16" spans="1:22" x14ac:dyDescent="0.3">
      <c r="A16" s="45"/>
      <c r="B16" s="36"/>
      <c r="C16" s="36"/>
      <c r="D16" s="36"/>
      <c r="E16" s="36"/>
      <c r="F16" s="37"/>
      <c r="G16" s="14"/>
      <c r="H16" t="s">
        <v>275</v>
      </c>
      <c r="R16" s="13"/>
      <c r="S16" s="13"/>
      <c r="T16" s="13"/>
      <c r="U16" s="14"/>
      <c r="V16" s="13"/>
    </row>
    <row r="17" spans="1:22" x14ac:dyDescent="0.3">
      <c r="A17" s="45"/>
      <c r="B17" s="36"/>
      <c r="C17" s="36"/>
      <c r="D17" s="36"/>
      <c r="E17" s="36"/>
      <c r="F17" s="37"/>
      <c r="G17" s="14"/>
      <c r="R17" s="13"/>
      <c r="S17" s="13"/>
      <c r="T17" s="13"/>
      <c r="U17" s="14"/>
      <c r="V17" s="13"/>
    </row>
    <row r="18" spans="1:22" x14ac:dyDescent="0.3">
      <c r="A18" s="35" t="s">
        <v>173</v>
      </c>
      <c r="B18" s="36"/>
      <c r="C18" s="36" t="s">
        <v>276</v>
      </c>
      <c r="D18" s="36"/>
      <c r="E18" s="36"/>
      <c r="F18" s="37"/>
      <c r="G18" s="14"/>
      <c r="H18" s="86" t="s">
        <v>277</v>
      </c>
      <c r="I18" s="24" t="s">
        <v>278</v>
      </c>
      <c r="J18" s="24" t="s">
        <v>279</v>
      </c>
      <c r="K18" s="87" t="s">
        <v>280</v>
      </c>
      <c r="R18" s="13"/>
      <c r="S18" s="13"/>
      <c r="T18" s="13"/>
      <c r="U18" s="14"/>
      <c r="V18" s="13"/>
    </row>
    <row r="19" spans="1:22" ht="15" customHeight="1" thickBot="1" x14ac:dyDescent="0.35">
      <c r="A19" s="53"/>
      <c r="B19" s="54"/>
      <c r="C19" s="54"/>
      <c r="D19" s="54"/>
      <c r="E19" s="54"/>
      <c r="F19" s="55"/>
      <c r="G19" s="14"/>
      <c r="H19" s="61">
        <v>1</v>
      </c>
      <c r="I19" s="68">
        <f>SUM(SUMIFS($I$4:$I$13,$K$4:$K$13,{1,2}))/2</f>
        <v>240.5</v>
      </c>
      <c r="J19" s="68">
        <f>SUM(SUMIFS($J$4:$J$13,$K$4:$K$13,{1,2}))/2</f>
        <v>182.5</v>
      </c>
      <c r="K19" s="99" t="str">
        <f>INDEX($H$4:$H$13,MATCH(H19*2-1,$K$4:$K$13,0))&amp;", "&amp;INDEX($H$4:$H$13,MATCH(H19*2,$K$4:$K$13,0))</f>
        <v>4, 5</v>
      </c>
      <c r="R19" s="13"/>
      <c r="S19" s="13"/>
      <c r="T19" s="13"/>
      <c r="U19" s="14"/>
      <c r="V19" s="13"/>
    </row>
    <row r="20" spans="1:22" x14ac:dyDescent="0.3">
      <c r="G20" s="14"/>
      <c r="H20" s="61">
        <v>2</v>
      </c>
      <c r="I20" s="68">
        <f>SUM(SUMIFS($I$4:$I$13,$K$4:$K$13,{3,4}))/2</f>
        <v>371.5</v>
      </c>
      <c r="J20" s="68">
        <f>SUM(SUMIFS($J$4:$J$13,$K$4:$K$13,{3,4}))/2</f>
        <v>571.5</v>
      </c>
      <c r="K20" s="99" t="str">
        <f>INDEX($H$4:$H$13,MATCH(H20*2-1,$K$4:$K$13,0))&amp;", "&amp;INDEX($H$4:$H$13,MATCH(H20*2,$K$4:$K$13,0))</f>
        <v>1, 7</v>
      </c>
      <c r="R20" s="13"/>
      <c r="S20" s="13"/>
      <c r="T20" s="13"/>
      <c r="U20" s="14"/>
      <c r="V20" s="13"/>
    </row>
    <row r="21" spans="1:22" x14ac:dyDescent="0.3">
      <c r="G21" s="14"/>
      <c r="H21" s="61">
        <v>3</v>
      </c>
      <c r="I21" s="68">
        <f>SUM(SUMIFS($I$4:$I$13,$K$4:$K$13,{5,6}))/2</f>
        <v>690.5</v>
      </c>
      <c r="J21" s="68">
        <f>SUM(SUMIFS($J$4:$J$13,$K$4:$K$13,{5,6}))/2</f>
        <v>563</v>
      </c>
      <c r="K21" s="99" t="str">
        <f>INDEX($H$4:$H$13,MATCH(H21*2-1,$K$4:$K$13,0))&amp;", "&amp;INDEX($H$4:$H$13,MATCH(H21*2,$K$4:$K$13,0))</f>
        <v>10, 9</v>
      </c>
      <c r="O21" s="13"/>
      <c r="P21" s="13"/>
      <c r="Q21" s="13"/>
      <c r="R21" s="13"/>
      <c r="S21" s="13"/>
      <c r="T21" s="13"/>
      <c r="U21" s="14"/>
      <c r="V21" s="13"/>
    </row>
    <row r="22" spans="1:22" x14ac:dyDescent="0.3">
      <c r="G22" s="14"/>
      <c r="H22" s="61">
        <v>4</v>
      </c>
      <c r="I22" s="68">
        <f>SUM(SUMIFS($I$4:$I$13,$K$4:$K$13,{7,8}))/2</f>
        <v>748</v>
      </c>
      <c r="J22" s="68">
        <f>SUM(SUMIFS($J$4:$J$13,$K$4:$K$13,{7,8}))/2</f>
        <v>389</v>
      </c>
      <c r="K22" s="99" t="str">
        <f>INDEX($H$4:$H$13,MATCH(H22*2-1,$K$4:$K$13,0))&amp;", "&amp;INDEX($H$4:$H$13,MATCH(H22*2,$K$4:$K$13,0))</f>
        <v>8, 2</v>
      </c>
      <c r="O22" s="13"/>
      <c r="P22" s="13"/>
      <c r="Q22" s="13"/>
      <c r="R22" s="13"/>
      <c r="S22" s="13"/>
      <c r="T22" s="13"/>
      <c r="U22" s="14"/>
      <c r="V22" s="13"/>
    </row>
    <row r="23" spans="1:22" ht="15" customHeight="1" x14ac:dyDescent="0.3">
      <c r="G23" s="14"/>
      <c r="H23" s="65">
        <v>5</v>
      </c>
      <c r="I23" s="66">
        <f>SUM(SUMIFS($I$4:$I$13,$K$4:$K$13,{9,10}))/2</f>
        <v>919</v>
      </c>
      <c r="J23" s="66">
        <f>SUM(SUMIFS($J$4:$J$13,$K$4:$K$13,{9,10}))/2</f>
        <v>570.5</v>
      </c>
      <c r="K23" s="102" t="str">
        <f>INDEX($H$4:$H$13,MATCH(H23*2-1,$K$4:$K$13,0))&amp;", "&amp;INDEX($H$4:$H$13,MATCH(H23*2,$K$4:$K$13,0))</f>
        <v>3, 6</v>
      </c>
      <c r="O23" s="13"/>
      <c r="P23" s="13"/>
      <c r="Q23" s="13"/>
      <c r="R23" s="13"/>
      <c r="S23" s="13"/>
      <c r="T23" s="13"/>
      <c r="U23" s="14"/>
      <c r="V23" s="13"/>
    </row>
    <row r="24" spans="1:22" ht="15" customHeight="1" x14ac:dyDescent="0.3">
      <c r="G24" s="14"/>
      <c r="H24" s="65" t="s">
        <v>281</v>
      </c>
      <c r="I24" s="66">
        <f>AVERAGE(I4:I13)</f>
        <v>593.9</v>
      </c>
      <c r="J24" s="66">
        <f>AVERAGE(J4:J13)</f>
        <v>455.3</v>
      </c>
      <c r="K24" s="102" t="s">
        <v>282</v>
      </c>
      <c r="O24" s="13"/>
      <c r="P24" s="13"/>
      <c r="Q24" s="13"/>
      <c r="R24" s="13"/>
      <c r="S24" s="13"/>
      <c r="T24" s="13"/>
      <c r="U24" s="14"/>
      <c r="V24" s="13"/>
    </row>
    <row r="25" spans="1:22" ht="15" customHeight="1" x14ac:dyDescent="0.3">
      <c r="G25" s="14"/>
      <c r="H25" s="10"/>
      <c r="I25" s="10"/>
      <c r="J25" s="10"/>
      <c r="O25" s="13"/>
      <c r="P25" s="13"/>
      <c r="Q25" s="13"/>
      <c r="R25" s="13"/>
      <c r="S25" s="13"/>
      <c r="T25" s="13"/>
      <c r="U25" s="14"/>
      <c r="V25" s="13"/>
    </row>
    <row r="26" spans="1:22" ht="15" customHeight="1" x14ac:dyDescent="0.3">
      <c r="G26" s="14"/>
      <c r="H26" t="s">
        <v>283</v>
      </c>
      <c r="O26" s="13"/>
      <c r="P26" s="13"/>
      <c r="Q26" s="13"/>
      <c r="R26" s="13"/>
      <c r="S26" s="13"/>
      <c r="T26" s="13"/>
      <c r="U26" s="14"/>
      <c r="V26" s="13"/>
    </row>
    <row r="27" spans="1:22" ht="15" customHeight="1" x14ac:dyDescent="0.3">
      <c r="G27" s="14"/>
      <c r="O27" s="13"/>
      <c r="P27" s="13"/>
      <c r="Q27" s="13"/>
      <c r="R27" s="13"/>
      <c r="S27" s="13"/>
      <c r="T27" s="13"/>
      <c r="U27" s="14"/>
      <c r="V27" s="13"/>
    </row>
    <row r="28" spans="1:22" ht="15" customHeight="1" x14ac:dyDescent="0.3">
      <c r="G28" s="14"/>
      <c r="H28" s="86" t="s">
        <v>277</v>
      </c>
      <c r="I28" s="24" t="s">
        <v>278</v>
      </c>
      <c r="J28" s="87" t="s">
        <v>279</v>
      </c>
      <c r="K28" t="s">
        <v>284</v>
      </c>
      <c r="O28" s="13"/>
      <c r="P28" s="13"/>
      <c r="Q28" s="13"/>
      <c r="R28" s="13"/>
      <c r="S28" s="13"/>
      <c r="T28" s="13"/>
      <c r="U28" s="14"/>
      <c r="V28" s="13"/>
    </row>
    <row r="29" spans="1:22" x14ac:dyDescent="0.3">
      <c r="G29" s="14"/>
      <c r="H29" s="61">
        <v>1</v>
      </c>
      <c r="I29" s="104">
        <f t="shared" ref="I29:J34" si="5">I19/$I$24</f>
        <v>0.40495032833810407</v>
      </c>
      <c r="J29" s="105">
        <f t="shared" si="5"/>
        <v>0.30729078969523488</v>
      </c>
      <c r="O29" s="13"/>
      <c r="P29" s="13"/>
      <c r="Q29" s="13"/>
      <c r="R29" s="13"/>
      <c r="S29" s="13"/>
      <c r="T29" s="13"/>
      <c r="U29" s="14"/>
      <c r="V29" s="13"/>
    </row>
    <row r="30" spans="1:22" x14ac:dyDescent="0.3">
      <c r="G30" s="14"/>
      <c r="H30" s="61">
        <v>2</v>
      </c>
      <c r="I30" s="104">
        <f t="shared" si="5"/>
        <v>0.62552618285906725</v>
      </c>
      <c r="J30" s="105">
        <f t="shared" si="5"/>
        <v>0.9622832126620644</v>
      </c>
      <c r="O30" s="13"/>
      <c r="P30" s="13"/>
      <c r="Q30" s="13"/>
      <c r="R30" s="13"/>
      <c r="S30" s="13"/>
      <c r="T30" s="13"/>
      <c r="U30" s="14"/>
      <c r="V30" s="13"/>
    </row>
    <row r="31" spans="1:22" x14ac:dyDescent="0.3">
      <c r="G31" s="14"/>
      <c r="H31" s="61">
        <v>3</v>
      </c>
      <c r="I31" s="104">
        <f t="shared" si="5"/>
        <v>1.1626536453948477</v>
      </c>
      <c r="J31" s="105">
        <f t="shared" si="5"/>
        <v>0.94797103889543699</v>
      </c>
      <c r="O31" s="13"/>
      <c r="P31" s="13"/>
      <c r="Q31" s="13"/>
      <c r="R31" s="13"/>
      <c r="S31" s="13"/>
      <c r="T31" s="13"/>
      <c r="U31" s="14"/>
      <c r="V31" s="13"/>
    </row>
    <row r="32" spans="1:22" x14ac:dyDescent="0.3">
      <c r="G32" s="14"/>
      <c r="H32" s="61">
        <v>4</v>
      </c>
      <c r="I32" s="104">
        <f t="shared" si="5"/>
        <v>1.2594712914632094</v>
      </c>
      <c r="J32" s="105">
        <f t="shared" si="5"/>
        <v>0.65499242296682947</v>
      </c>
      <c r="O32" s="13"/>
      <c r="P32" s="13"/>
      <c r="Q32" s="13"/>
      <c r="R32" s="13"/>
      <c r="S32" s="13"/>
      <c r="T32" s="13"/>
      <c r="U32" s="14"/>
      <c r="V32" s="13"/>
    </row>
    <row r="33" spans="1:22" x14ac:dyDescent="0.3">
      <c r="G33" s="14"/>
      <c r="H33" s="65">
        <v>5</v>
      </c>
      <c r="I33" s="106">
        <f t="shared" si="5"/>
        <v>1.5473985519447719</v>
      </c>
      <c r="J33" s="107">
        <f t="shared" si="5"/>
        <v>0.96059942751304939</v>
      </c>
      <c r="O33" s="13"/>
      <c r="P33" s="13"/>
      <c r="Q33" s="13"/>
      <c r="R33" s="13"/>
      <c r="S33" s="13"/>
      <c r="T33" s="13"/>
      <c r="U33" s="14"/>
      <c r="V33" s="13"/>
    </row>
    <row r="34" spans="1:22" x14ac:dyDescent="0.3">
      <c r="G34" s="14"/>
      <c r="H34" s="65" t="s">
        <v>281</v>
      </c>
      <c r="I34" s="108">
        <f t="shared" si="5"/>
        <v>1</v>
      </c>
      <c r="J34" s="109">
        <f t="shared" si="5"/>
        <v>0.76662737834652306</v>
      </c>
      <c r="O34" s="13"/>
      <c r="P34" s="13"/>
      <c r="Q34" s="13"/>
      <c r="R34" s="13"/>
      <c r="S34" s="13"/>
      <c r="T34" s="13"/>
      <c r="U34" s="14"/>
      <c r="V34" s="13"/>
    </row>
    <row r="35" spans="1:22" x14ac:dyDescent="0.3">
      <c r="G35" s="14"/>
      <c r="O35" s="13"/>
      <c r="P35" s="13"/>
      <c r="Q35" s="13"/>
      <c r="R35" s="13"/>
      <c r="S35" s="13"/>
      <c r="T35" s="13"/>
      <c r="U35" s="14"/>
      <c r="V35" s="13"/>
    </row>
    <row r="36" spans="1:22" x14ac:dyDescent="0.3">
      <c r="G36" s="14"/>
      <c r="O36" s="13"/>
      <c r="P36" s="13"/>
      <c r="Q36" s="13"/>
      <c r="R36" s="13"/>
      <c r="S36" s="13"/>
      <c r="T36" s="13"/>
      <c r="U36" s="14"/>
      <c r="V36" s="13"/>
    </row>
    <row r="37" spans="1:22" x14ac:dyDescent="0.3">
      <c r="G37" s="14"/>
      <c r="O37" s="13"/>
      <c r="P37" s="13"/>
      <c r="Q37" s="13"/>
      <c r="R37" s="13"/>
      <c r="S37" s="13"/>
      <c r="T37" s="13"/>
      <c r="U37" s="14"/>
      <c r="V37" s="13"/>
    </row>
    <row r="38" spans="1:22" x14ac:dyDescent="0.3">
      <c r="G38" s="14"/>
      <c r="O38" s="13"/>
      <c r="P38" s="13"/>
      <c r="Q38" s="13"/>
      <c r="R38" s="13"/>
      <c r="S38" s="13"/>
      <c r="T38" s="13"/>
      <c r="U38" s="14"/>
      <c r="V38" s="13"/>
    </row>
    <row r="39" spans="1:22" x14ac:dyDescent="0.3">
      <c r="A39" s="13"/>
      <c r="B39" s="13"/>
      <c r="G39" s="14"/>
      <c r="O39" s="13"/>
      <c r="P39" s="13"/>
      <c r="Q39" s="13"/>
      <c r="R39" s="13"/>
      <c r="S39" s="13"/>
      <c r="T39" s="13"/>
      <c r="U39" s="14"/>
      <c r="V39" s="13"/>
    </row>
    <row r="40" spans="1:22" x14ac:dyDescent="0.3">
      <c r="G40" s="14"/>
      <c r="O40" s="13"/>
      <c r="P40" s="13"/>
      <c r="Q40" s="13"/>
      <c r="R40" s="13"/>
      <c r="S40" s="13"/>
      <c r="T40" s="13"/>
      <c r="U40" s="14"/>
      <c r="V40" s="13"/>
    </row>
    <row r="41" spans="1:22" x14ac:dyDescent="0.3">
      <c r="G41" s="14"/>
      <c r="O41" s="13"/>
      <c r="P41" s="13"/>
      <c r="Q41" s="13"/>
      <c r="R41" s="13"/>
      <c r="S41" s="13"/>
      <c r="T41" s="13"/>
      <c r="U41" s="14"/>
      <c r="V41" s="13"/>
    </row>
    <row r="42" spans="1:22" x14ac:dyDescent="0.3">
      <c r="G42" s="14"/>
      <c r="O42" s="13"/>
      <c r="P42" s="13"/>
      <c r="Q42" s="13"/>
      <c r="R42" s="13"/>
      <c r="S42" s="13"/>
      <c r="T42" s="13"/>
      <c r="U42" s="14"/>
      <c r="V42" s="13"/>
    </row>
    <row r="43" spans="1:22" x14ac:dyDescent="0.3">
      <c r="G43" s="14"/>
      <c r="O43" s="13"/>
      <c r="P43" s="13"/>
      <c r="Q43" s="13"/>
      <c r="R43" s="13"/>
      <c r="S43" s="13"/>
      <c r="T43" s="13"/>
      <c r="U43" s="14"/>
      <c r="V43" s="13"/>
    </row>
    <row r="44" spans="1:22" x14ac:dyDescent="0.3">
      <c r="G44" s="14"/>
      <c r="O44" s="13"/>
      <c r="P44" s="13"/>
      <c r="Q44" s="13"/>
      <c r="R44" s="13"/>
      <c r="S44" s="13"/>
      <c r="T44" s="13"/>
      <c r="U44" s="14"/>
      <c r="V44" s="13"/>
    </row>
    <row r="45" spans="1:22" x14ac:dyDescent="0.3">
      <c r="G45" s="14"/>
      <c r="O45" s="13"/>
      <c r="P45" s="13"/>
      <c r="Q45" s="13"/>
      <c r="R45" s="13"/>
      <c r="S45" s="13"/>
      <c r="T45" s="13"/>
      <c r="U45" s="14"/>
      <c r="V45" s="13"/>
    </row>
    <row r="46" spans="1:22" x14ac:dyDescent="0.3">
      <c r="G46" s="14"/>
      <c r="O46" s="13"/>
      <c r="P46" s="13"/>
      <c r="Q46" s="13"/>
      <c r="R46" s="13"/>
      <c r="S46" s="13"/>
      <c r="T46" s="13"/>
      <c r="U46" s="14"/>
      <c r="V46" s="13"/>
    </row>
    <row r="47" spans="1:22" x14ac:dyDescent="0.3">
      <c r="G47" s="14"/>
      <c r="O47" s="13"/>
      <c r="P47" s="13"/>
      <c r="Q47" s="13"/>
      <c r="R47" s="13"/>
      <c r="S47" s="13"/>
      <c r="T47" s="13"/>
      <c r="U47" s="14"/>
      <c r="V47" s="13"/>
    </row>
    <row r="48" spans="1:22" x14ac:dyDescent="0.3">
      <c r="G48" s="14"/>
      <c r="O48" s="13"/>
      <c r="P48" s="13"/>
      <c r="Q48" s="13"/>
      <c r="R48" s="13"/>
      <c r="S48" s="13"/>
      <c r="T48" s="13"/>
      <c r="U48" s="14"/>
      <c r="V48" s="13"/>
    </row>
    <row r="49" spans="7:22" x14ac:dyDescent="0.3">
      <c r="G49" s="14"/>
      <c r="U49" s="14"/>
      <c r="V49" s="13"/>
    </row>
  </sheetData>
  <mergeCells count="1">
    <mergeCell ref="E1:F1"/>
  </mergeCells>
  <hyperlinks>
    <hyperlink ref="E1" location="TOC!A1" display="Return to TOC" xr:uid="{2D72DF1B-0976-4530-A1E7-A881887E0ED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6464-D60B-47FF-95E0-4D80422C1D37}">
  <sheetPr codeName="Sheet95"/>
  <dimension ref="A1:AA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8.5546875" customWidth="1"/>
    <col min="4" max="4" width="17.33203125" customWidth="1"/>
    <col min="5" max="5" width="16.88671875" bestFit="1" customWidth="1"/>
    <col min="6" max="6" width="15.109375" bestFit="1" customWidth="1"/>
    <col min="7" max="7" width="12.5546875" bestFit="1" customWidth="1"/>
    <col min="9" max="10" width="9.109375" customWidth="1"/>
    <col min="11" max="11" width="12.5546875" customWidth="1"/>
    <col min="12" max="12" width="2.6640625" customWidth="1"/>
    <col min="13" max="13" width="9.33203125" customWidth="1"/>
    <col min="14" max="14" width="17.44140625" customWidth="1"/>
    <col min="15" max="15" width="20.88671875" bestFit="1" customWidth="1"/>
    <col min="16" max="16" width="20.6640625" bestFit="1" customWidth="1"/>
    <col min="17" max="17" width="19" bestFit="1" customWidth="1"/>
    <col min="18" max="19" width="9.33203125" customWidth="1"/>
    <col min="20" max="21" width="9.109375" customWidth="1"/>
    <col min="23" max="24" width="5.6640625" customWidth="1"/>
    <col min="25" max="25" width="4.6640625" customWidth="1"/>
  </cols>
  <sheetData>
    <row r="1" spans="1:27" x14ac:dyDescent="0.3">
      <c r="A1" s="32" t="s">
        <v>137</v>
      </c>
      <c r="B1" s="33"/>
      <c r="C1" s="33" t="s">
        <v>30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N1" t="s">
        <v>285</v>
      </c>
      <c r="Z1" s="10"/>
    </row>
    <row r="2" spans="1:27" x14ac:dyDescent="0.3">
      <c r="A2" s="35" t="s">
        <v>138</v>
      </c>
      <c r="B2" s="36"/>
      <c r="C2" s="36" t="s">
        <v>139</v>
      </c>
      <c r="D2" s="36"/>
      <c r="E2" s="36"/>
      <c r="F2" s="36"/>
      <c r="G2" s="36"/>
      <c r="H2" s="36"/>
      <c r="I2" s="36"/>
      <c r="J2" s="36"/>
      <c r="K2" s="37"/>
      <c r="L2" s="10"/>
      <c r="N2" t="s">
        <v>287</v>
      </c>
      <c r="Z2" s="10"/>
    </row>
    <row r="3" spans="1:27" x14ac:dyDescent="0.3">
      <c r="A3" s="35" t="s">
        <v>141</v>
      </c>
      <c r="B3" s="36"/>
      <c r="C3" s="36" t="s">
        <v>286</v>
      </c>
      <c r="D3" s="36"/>
      <c r="E3" s="36"/>
      <c r="F3" s="36"/>
      <c r="G3" s="36"/>
      <c r="H3" s="36"/>
      <c r="I3" s="36"/>
      <c r="J3" s="36"/>
      <c r="K3" s="37"/>
      <c r="L3" s="10"/>
      <c r="Z3" s="14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M4" s="111" t="str">
        <f t="shared" ref="M4:M14" si="0">C7</f>
        <v>Record #</v>
      </c>
      <c r="N4" s="112" t="str">
        <f t="shared" ref="N4:N14" si="1">D7</f>
        <v>Model A Loss Cost</v>
      </c>
      <c r="O4" s="113" t="str">
        <f t="shared" ref="O4:O14" si="2">E7</f>
        <v>Model B Loss Cost</v>
      </c>
      <c r="P4" s="112" t="str">
        <f t="shared" ref="P4:P14" si="3">F7</f>
        <v>Actual Loss Cost</v>
      </c>
      <c r="Q4" s="112" t="s">
        <v>289</v>
      </c>
      <c r="R4" s="114" t="s">
        <v>270</v>
      </c>
      <c r="W4" s="13"/>
      <c r="X4" s="13"/>
      <c r="Y4" s="13"/>
      <c r="Z4" s="14"/>
      <c r="AA4" s="13"/>
    </row>
    <row r="5" spans="1:27" ht="15" customHeight="1" x14ac:dyDescent="0.3">
      <c r="A5" s="41" t="s">
        <v>144</v>
      </c>
      <c r="B5" s="36"/>
      <c r="C5" s="36" t="s">
        <v>288</v>
      </c>
      <c r="D5" s="36"/>
      <c r="E5" s="36"/>
      <c r="F5" s="36"/>
      <c r="G5" s="36"/>
      <c r="H5" s="36"/>
      <c r="I5" s="36"/>
      <c r="J5" s="36"/>
      <c r="K5" s="40"/>
      <c r="L5" s="14"/>
      <c r="M5" s="61">
        <f t="shared" si="0"/>
        <v>1</v>
      </c>
      <c r="N5" s="68">
        <f t="shared" si="1"/>
        <v>1080</v>
      </c>
      <c r="O5" s="71">
        <f t="shared" si="2"/>
        <v>1000</v>
      </c>
      <c r="P5" s="68">
        <f t="shared" si="3"/>
        <v>990</v>
      </c>
      <c r="Q5" s="89">
        <f>N5/O5</f>
        <v>1.08</v>
      </c>
      <c r="R5" s="99">
        <f t="shared" ref="R5:R14" si="4">_xlfn.RANK.AVG(Q5,$Q$5:$Q$14,1)</f>
        <v>4</v>
      </c>
      <c r="W5" s="13"/>
      <c r="X5" s="13"/>
      <c r="Y5" s="13"/>
      <c r="Z5" s="14"/>
      <c r="AA5" s="13"/>
    </row>
    <row r="6" spans="1:27" x14ac:dyDescent="0.3">
      <c r="A6" s="45"/>
      <c r="B6" s="36"/>
      <c r="C6" s="36"/>
      <c r="D6" s="36"/>
      <c r="E6" s="36"/>
      <c r="F6" s="36"/>
      <c r="G6" s="36"/>
      <c r="H6" s="36"/>
      <c r="I6" s="36"/>
      <c r="J6" s="36"/>
      <c r="K6" s="40"/>
      <c r="L6" s="14"/>
      <c r="M6" s="61">
        <f t="shared" si="0"/>
        <v>2</v>
      </c>
      <c r="N6" s="68">
        <f t="shared" si="1"/>
        <v>1210</v>
      </c>
      <c r="O6" s="71">
        <f t="shared" si="2"/>
        <v>1280</v>
      </c>
      <c r="P6" s="68">
        <f t="shared" si="3"/>
        <v>1170</v>
      </c>
      <c r="Q6" s="89">
        <f t="shared" ref="Q6:Q14" si="5">N6/O6</f>
        <v>0.9453125</v>
      </c>
      <c r="R6" s="99">
        <f t="shared" si="4"/>
        <v>2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137" t="s">
        <v>290</v>
      </c>
      <c r="D7" s="138" t="s">
        <v>291</v>
      </c>
      <c r="E7" s="138" t="s">
        <v>292</v>
      </c>
      <c r="F7" s="139" t="s">
        <v>293</v>
      </c>
      <c r="G7" s="36"/>
      <c r="H7" s="36"/>
      <c r="I7" s="36"/>
      <c r="J7" s="36"/>
      <c r="K7" s="40"/>
      <c r="L7" s="14"/>
      <c r="M7" s="61">
        <f t="shared" si="0"/>
        <v>3</v>
      </c>
      <c r="N7" s="68">
        <f t="shared" si="1"/>
        <v>1590</v>
      </c>
      <c r="O7" s="71">
        <f t="shared" si="2"/>
        <v>1460</v>
      </c>
      <c r="P7" s="68">
        <f t="shared" si="3"/>
        <v>1490</v>
      </c>
      <c r="Q7" s="89">
        <f t="shared" si="5"/>
        <v>1.0890410958904109</v>
      </c>
      <c r="R7" s="99">
        <f t="shared" si="4"/>
        <v>5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80">
        <v>1</v>
      </c>
      <c r="D8" s="83">
        <v>1080</v>
      </c>
      <c r="E8" s="83">
        <v>1000</v>
      </c>
      <c r="F8" s="140">
        <v>990</v>
      </c>
      <c r="G8" s="36"/>
      <c r="H8" s="36"/>
      <c r="I8" s="36"/>
      <c r="J8" s="36"/>
      <c r="K8" s="40"/>
      <c r="L8" s="14"/>
      <c r="M8" s="61">
        <f t="shared" si="0"/>
        <v>4</v>
      </c>
      <c r="N8" s="68">
        <f t="shared" si="1"/>
        <v>1130</v>
      </c>
      <c r="O8" s="71">
        <f t="shared" si="2"/>
        <v>970</v>
      </c>
      <c r="P8" s="68">
        <f t="shared" si="3"/>
        <v>1230</v>
      </c>
      <c r="Q8" s="89">
        <f t="shared" si="5"/>
        <v>1.1649484536082475</v>
      </c>
      <c r="R8" s="99">
        <f t="shared" si="4"/>
        <v>8</v>
      </c>
      <c r="W8" s="13"/>
      <c r="X8" s="13"/>
      <c r="Y8" s="13"/>
      <c r="Z8" s="14"/>
      <c r="AA8" s="13"/>
    </row>
    <row r="9" spans="1:27" x14ac:dyDescent="0.3">
      <c r="A9" s="41"/>
      <c r="B9" s="39"/>
      <c r="C9" s="77">
        <v>2</v>
      </c>
      <c r="D9" s="79">
        <v>1210</v>
      </c>
      <c r="E9" s="79">
        <v>1280</v>
      </c>
      <c r="F9" s="101">
        <v>1170</v>
      </c>
      <c r="G9" s="36"/>
      <c r="H9" s="36"/>
      <c r="I9" s="36"/>
      <c r="J9" s="36"/>
      <c r="K9" s="40"/>
      <c r="L9" s="14"/>
      <c r="M9" s="61">
        <f t="shared" si="0"/>
        <v>5</v>
      </c>
      <c r="N9" s="68">
        <f t="shared" si="1"/>
        <v>1320</v>
      </c>
      <c r="O9" s="71">
        <f t="shared" si="2"/>
        <v>1240</v>
      </c>
      <c r="P9" s="68">
        <f t="shared" si="3"/>
        <v>1330</v>
      </c>
      <c r="Q9" s="89">
        <f t="shared" si="5"/>
        <v>1.064516129032258</v>
      </c>
      <c r="R9" s="99">
        <f t="shared" si="4"/>
        <v>3</v>
      </c>
      <c r="W9" s="13"/>
      <c r="X9" s="13"/>
      <c r="Y9" s="13"/>
      <c r="Z9" s="14"/>
      <c r="AA9" s="13"/>
    </row>
    <row r="10" spans="1:27" x14ac:dyDescent="0.3">
      <c r="A10" s="38"/>
      <c r="B10" s="39"/>
      <c r="C10" s="77">
        <v>3</v>
      </c>
      <c r="D10" s="79">
        <v>1590</v>
      </c>
      <c r="E10" s="79">
        <v>1460</v>
      </c>
      <c r="F10" s="101">
        <v>1490</v>
      </c>
      <c r="G10" s="36"/>
      <c r="H10" s="36"/>
      <c r="I10" s="36"/>
      <c r="J10" s="36"/>
      <c r="K10" s="40"/>
      <c r="L10" s="14"/>
      <c r="M10" s="61">
        <f t="shared" si="0"/>
        <v>6</v>
      </c>
      <c r="N10" s="68">
        <f t="shared" si="1"/>
        <v>920</v>
      </c>
      <c r="O10" s="71">
        <f t="shared" si="2"/>
        <v>830</v>
      </c>
      <c r="P10" s="68">
        <f t="shared" si="3"/>
        <v>920</v>
      </c>
      <c r="Q10" s="89">
        <f t="shared" si="5"/>
        <v>1.1084337349397591</v>
      </c>
      <c r="R10" s="99">
        <f t="shared" si="4"/>
        <v>6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77">
        <v>4</v>
      </c>
      <c r="D11" s="79">
        <v>1130</v>
      </c>
      <c r="E11" s="79">
        <v>970</v>
      </c>
      <c r="F11" s="101">
        <v>1230</v>
      </c>
      <c r="G11" s="36"/>
      <c r="H11" s="36"/>
      <c r="I11" s="36"/>
      <c r="J11" s="36"/>
      <c r="K11" s="40"/>
      <c r="L11" s="14"/>
      <c r="M11" s="61">
        <f t="shared" si="0"/>
        <v>7</v>
      </c>
      <c r="N11" s="68">
        <f t="shared" si="1"/>
        <v>930</v>
      </c>
      <c r="O11" s="71">
        <f t="shared" si="2"/>
        <v>780</v>
      </c>
      <c r="P11" s="68">
        <f t="shared" si="3"/>
        <v>920</v>
      </c>
      <c r="Q11" s="89">
        <f t="shared" si="5"/>
        <v>1.1923076923076923</v>
      </c>
      <c r="R11" s="99">
        <f t="shared" si="4"/>
        <v>9</v>
      </c>
      <c r="W11" s="13"/>
      <c r="X11" s="13"/>
      <c r="Y11" s="13"/>
      <c r="Z11" s="14"/>
      <c r="AA11" s="13"/>
    </row>
    <row r="12" spans="1:27" x14ac:dyDescent="0.3">
      <c r="A12" s="38"/>
      <c r="B12" s="39"/>
      <c r="C12" s="77">
        <v>5</v>
      </c>
      <c r="D12" s="79">
        <v>1320</v>
      </c>
      <c r="E12" s="79">
        <v>1240</v>
      </c>
      <c r="F12" s="101">
        <v>1330</v>
      </c>
      <c r="G12" s="36"/>
      <c r="H12" s="36"/>
      <c r="I12" s="36"/>
      <c r="J12" s="36"/>
      <c r="K12" s="40"/>
      <c r="L12" s="14"/>
      <c r="M12" s="61">
        <f t="shared" si="0"/>
        <v>8</v>
      </c>
      <c r="N12" s="68">
        <f t="shared" si="1"/>
        <v>1360</v>
      </c>
      <c r="O12" s="71">
        <f t="shared" si="2"/>
        <v>1460</v>
      </c>
      <c r="P12" s="68">
        <f t="shared" si="3"/>
        <v>1350</v>
      </c>
      <c r="Q12" s="89">
        <f t="shared" si="5"/>
        <v>0.93150684931506844</v>
      </c>
      <c r="R12" s="99">
        <f t="shared" si="4"/>
        <v>1</v>
      </c>
      <c r="W12" s="13"/>
      <c r="X12" s="13"/>
      <c r="Y12" s="13"/>
      <c r="Z12" s="14"/>
      <c r="AA12" s="13"/>
    </row>
    <row r="13" spans="1:27" x14ac:dyDescent="0.3">
      <c r="A13" s="38"/>
      <c r="B13" s="39"/>
      <c r="C13" s="77">
        <v>6</v>
      </c>
      <c r="D13" s="79">
        <v>920</v>
      </c>
      <c r="E13" s="79">
        <v>830</v>
      </c>
      <c r="F13" s="101">
        <v>920</v>
      </c>
      <c r="G13" s="36"/>
      <c r="H13" s="36"/>
      <c r="I13" s="36"/>
      <c r="J13" s="36"/>
      <c r="K13" s="40"/>
      <c r="L13" s="14"/>
      <c r="M13" s="61">
        <f t="shared" si="0"/>
        <v>9</v>
      </c>
      <c r="N13" s="68">
        <f t="shared" si="1"/>
        <v>860</v>
      </c>
      <c r="O13" s="71">
        <f t="shared" si="2"/>
        <v>740</v>
      </c>
      <c r="P13" s="68">
        <f t="shared" si="3"/>
        <v>870</v>
      </c>
      <c r="Q13" s="89">
        <f t="shared" si="5"/>
        <v>1.1621621621621621</v>
      </c>
      <c r="R13" s="99">
        <f t="shared" si="4"/>
        <v>7</v>
      </c>
      <c r="W13" s="13"/>
      <c r="X13" s="13"/>
      <c r="Y13" s="13"/>
      <c r="Z13" s="14"/>
      <c r="AA13" s="13"/>
    </row>
    <row r="14" spans="1:27" x14ac:dyDescent="0.3">
      <c r="A14" s="38"/>
      <c r="B14" s="39"/>
      <c r="C14" s="77">
        <v>7</v>
      </c>
      <c r="D14" s="79">
        <v>930</v>
      </c>
      <c r="E14" s="79">
        <v>780</v>
      </c>
      <c r="F14" s="101">
        <v>920</v>
      </c>
      <c r="G14" s="36"/>
      <c r="H14" s="36"/>
      <c r="I14" s="36"/>
      <c r="J14" s="36"/>
      <c r="K14" s="40"/>
      <c r="L14" s="14"/>
      <c r="M14" s="65">
        <f t="shared" si="0"/>
        <v>10</v>
      </c>
      <c r="N14" s="66">
        <f t="shared" si="1"/>
        <v>730</v>
      </c>
      <c r="O14" s="117">
        <f t="shared" si="2"/>
        <v>570</v>
      </c>
      <c r="P14" s="66">
        <f t="shared" si="3"/>
        <v>660</v>
      </c>
      <c r="Q14" s="93">
        <f t="shared" si="5"/>
        <v>1.2807017543859649</v>
      </c>
      <c r="R14" s="102">
        <f t="shared" si="4"/>
        <v>10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77">
        <v>8</v>
      </c>
      <c r="D15" s="79">
        <v>1360</v>
      </c>
      <c r="E15" s="79">
        <v>1460</v>
      </c>
      <c r="F15" s="101">
        <v>1350</v>
      </c>
      <c r="G15" s="36"/>
      <c r="H15" s="36"/>
      <c r="I15" s="36"/>
      <c r="J15" s="36"/>
      <c r="K15" s="40"/>
      <c r="L15" s="14"/>
      <c r="W15" s="13"/>
      <c r="X15" s="13"/>
      <c r="Y15" s="13"/>
      <c r="Z15" s="14"/>
      <c r="AA15" s="13"/>
    </row>
    <row r="16" spans="1:27" x14ac:dyDescent="0.3">
      <c r="A16" s="45"/>
      <c r="B16" s="36"/>
      <c r="C16" s="77">
        <v>9</v>
      </c>
      <c r="D16" s="79">
        <v>860</v>
      </c>
      <c r="E16" s="79">
        <v>740</v>
      </c>
      <c r="F16" s="101">
        <v>870</v>
      </c>
      <c r="G16" s="36"/>
      <c r="H16" s="36"/>
      <c r="I16" s="36"/>
      <c r="J16" s="36"/>
      <c r="K16" s="40"/>
      <c r="L16" s="14"/>
      <c r="S16" t="s">
        <v>294</v>
      </c>
      <c r="W16" s="13"/>
      <c r="X16" s="13"/>
      <c r="Y16" s="13"/>
      <c r="Z16" s="14"/>
      <c r="AA16" s="13"/>
    </row>
    <row r="17" spans="1:27" x14ac:dyDescent="0.3">
      <c r="A17" s="45"/>
      <c r="B17" s="36"/>
      <c r="C17" s="82">
        <v>10</v>
      </c>
      <c r="D17" s="81">
        <v>730</v>
      </c>
      <c r="E17" s="81">
        <v>570</v>
      </c>
      <c r="F17" s="103">
        <v>660</v>
      </c>
      <c r="G17" s="36"/>
      <c r="H17" s="36"/>
      <c r="I17" s="36"/>
      <c r="J17" s="36"/>
      <c r="K17" s="40"/>
      <c r="L17" s="14"/>
      <c r="M17" s="111" t="s">
        <v>277</v>
      </c>
      <c r="N17" s="112" t="s">
        <v>295</v>
      </c>
      <c r="O17" s="113" t="s">
        <v>296</v>
      </c>
      <c r="P17" s="112" t="s">
        <v>297</v>
      </c>
      <c r="Q17" s="114" t="s">
        <v>298</v>
      </c>
      <c r="S17" s="111" t="s">
        <v>277</v>
      </c>
      <c r="T17" s="112" t="s">
        <v>299</v>
      </c>
      <c r="U17" s="112" t="s">
        <v>300</v>
      </c>
      <c r="V17" s="114" t="s">
        <v>301</v>
      </c>
      <c r="W17" s="13"/>
      <c r="X17" s="13"/>
      <c r="Y17" s="13"/>
      <c r="Z17" s="14"/>
      <c r="AA17" s="13"/>
    </row>
    <row r="18" spans="1:27" x14ac:dyDescent="0.3">
      <c r="A18" s="45"/>
      <c r="B18" s="36"/>
      <c r="C18" s="36"/>
      <c r="D18" s="36"/>
      <c r="E18" s="36"/>
      <c r="F18" s="36"/>
      <c r="G18" s="36"/>
      <c r="H18" s="36"/>
      <c r="I18" s="36"/>
      <c r="J18" s="36"/>
      <c r="K18" s="40"/>
      <c r="L18" s="14"/>
      <c r="M18" s="63">
        <v>1</v>
      </c>
      <c r="N18" s="58" t="s">
        <v>303</v>
      </c>
      <c r="O18" s="119">
        <f>SUM(SUMIF($R$5:$R$14,{1,2},$N$5:$N$14))/2</f>
        <v>1285</v>
      </c>
      <c r="P18" s="64">
        <f>SUM(SUMIF($R$5:$R$14,{1,2},$O$5:$O$14))/2</f>
        <v>1370</v>
      </c>
      <c r="Q18" s="115">
        <f>SUM(SUMIF($R$5:$R$14,{1,2},$P$5:$P$14))/2</f>
        <v>1260</v>
      </c>
      <c r="S18" s="63">
        <v>1</v>
      </c>
      <c r="T18" s="120">
        <f>O18/$O$23</f>
        <v>1.1545372866127583</v>
      </c>
      <c r="U18" s="120">
        <f>P18/$P$23</f>
        <v>1.3262342691190707</v>
      </c>
      <c r="V18" s="121">
        <f>Q18/$Q$23</f>
        <v>1.1527904849039341</v>
      </c>
      <c r="W18" s="13"/>
      <c r="X18" s="13"/>
      <c r="Y18" s="13"/>
      <c r="Z18" s="14"/>
      <c r="AA18" s="13"/>
    </row>
    <row r="19" spans="1:27" ht="15" customHeight="1" x14ac:dyDescent="0.3">
      <c r="A19" s="35" t="s">
        <v>173</v>
      </c>
      <c r="B19" s="36"/>
      <c r="C19" s="36" t="s">
        <v>302</v>
      </c>
      <c r="D19" s="36"/>
      <c r="E19" s="36"/>
      <c r="F19" s="36"/>
      <c r="G19" s="36"/>
      <c r="H19" s="36"/>
      <c r="I19" s="36"/>
      <c r="J19" s="36"/>
      <c r="K19" s="40"/>
      <c r="L19" s="14"/>
      <c r="M19" s="61">
        <v>2</v>
      </c>
      <c r="N19" s="100" t="s">
        <v>304</v>
      </c>
      <c r="O19" s="71">
        <f>SUM(SUMIF($R$5:$R$14,{3,4},$N$5:$N$14))/2</f>
        <v>1200</v>
      </c>
      <c r="P19" s="68">
        <f>SUM(SUMIF($R$5:$R$14,{3,4},$O$5:$O$14))/2</f>
        <v>1120</v>
      </c>
      <c r="Q19" s="116">
        <f>SUM(SUMIF($R$5:$R$14,{3,4},$P$5:$P$14))/2</f>
        <v>1160</v>
      </c>
      <c r="S19" s="61">
        <v>2</v>
      </c>
      <c r="T19" s="89">
        <f>O19/$O$23</f>
        <v>1.0781671159029649</v>
      </c>
      <c r="U19" s="89">
        <f>P19/$P$23</f>
        <v>1.0842207163601161</v>
      </c>
      <c r="V19" s="90">
        <f>Q19/$Q$23</f>
        <v>1.0612991765782251</v>
      </c>
      <c r="W19" s="13"/>
      <c r="X19" s="13"/>
      <c r="Y19" s="13"/>
      <c r="Z19" s="14"/>
      <c r="AA19" s="13"/>
    </row>
    <row r="20" spans="1:27" ht="15" thickBot="1" x14ac:dyDescent="0.3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85"/>
      <c r="L20" s="14"/>
      <c r="M20" s="61">
        <v>3</v>
      </c>
      <c r="N20" s="100" t="s">
        <v>305</v>
      </c>
      <c r="O20" s="71">
        <f>SUM(SUMIF($R$5:$R$14,{5,6},$N$5:$N$14))/2</f>
        <v>1255</v>
      </c>
      <c r="P20" s="68">
        <f>SUM(SUMIF($R$5:$R$14,{5,6},$O$5:$O$14))/2</f>
        <v>1145</v>
      </c>
      <c r="Q20" s="116">
        <f>SUM(SUMIF($R$5:$R$14,{5,6},$P$5:$P$14))/2</f>
        <v>1205</v>
      </c>
      <c r="S20" s="61">
        <v>3</v>
      </c>
      <c r="T20" s="89">
        <f>O20/$O$23</f>
        <v>1.1275831087151842</v>
      </c>
      <c r="U20" s="89">
        <f>P20/$P$23</f>
        <v>1.1084220716360116</v>
      </c>
      <c r="V20" s="90">
        <f>Q20/$Q$23</f>
        <v>1.1024702653247942</v>
      </c>
      <c r="W20" s="13"/>
      <c r="X20" s="13"/>
      <c r="Y20" s="13"/>
      <c r="Z20" s="14"/>
      <c r="AA20" s="13"/>
    </row>
    <row r="21" spans="1:27" x14ac:dyDescent="0.3">
      <c r="K21" s="13"/>
      <c r="L21" s="14"/>
      <c r="M21" s="61">
        <v>4</v>
      </c>
      <c r="N21" s="100" t="s">
        <v>306</v>
      </c>
      <c r="O21" s="71">
        <f>SUM(SUMIF($R$5:$R$14,{7,8},$N$5:$N$14))/2</f>
        <v>995</v>
      </c>
      <c r="P21" s="68">
        <f>SUM(SUMIF($R$5:$R$14,{7,8},$O$5:$O$14))/2</f>
        <v>855</v>
      </c>
      <c r="Q21" s="116">
        <f>SUM(SUMIF($R$5:$R$14,{7,8},$P$5:$P$14))/2</f>
        <v>1050</v>
      </c>
      <c r="S21" s="61">
        <v>4</v>
      </c>
      <c r="T21" s="89">
        <f>O21/$O$23</f>
        <v>0.89398023360287515</v>
      </c>
      <c r="U21" s="89">
        <f>P21/$P$23</f>
        <v>0.82768635043562444</v>
      </c>
      <c r="V21" s="90">
        <f>Q21/$Q$23</f>
        <v>0.96065873741994512</v>
      </c>
      <c r="W21" s="13"/>
      <c r="X21" s="13"/>
      <c r="Y21" s="13"/>
      <c r="Z21" s="14"/>
      <c r="AA21" s="13"/>
    </row>
    <row r="22" spans="1:27" x14ac:dyDescent="0.3">
      <c r="K22" s="13"/>
      <c r="L22" s="14"/>
      <c r="M22" s="65">
        <v>5</v>
      </c>
      <c r="N22" s="67" t="s">
        <v>307</v>
      </c>
      <c r="O22" s="117">
        <f>SUM(SUMIF($R$5:$R$14,{9,10},$N$5:$N$14))/2</f>
        <v>830</v>
      </c>
      <c r="P22" s="66">
        <f>SUM(SUMIF($R$5:$R$14,{9,10},$O$5:$O$14))/2</f>
        <v>675</v>
      </c>
      <c r="Q22" s="118">
        <f>SUM(SUMIF($R$5:$R$14,{9,10},$P$5:$P$14))/2</f>
        <v>790</v>
      </c>
      <c r="S22" s="65">
        <v>5</v>
      </c>
      <c r="T22" s="93">
        <f>O22/$O$23</f>
        <v>0.74573225516621744</v>
      </c>
      <c r="U22" s="93">
        <f>P22/$P$23</f>
        <v>0.65343659244917718</v>
      </c>
      <c r="V22" s="94">
        <f>Q22/$Q$23</f>
        <v>0.72278133577310155</v>
      </c>
      <c r="W22" s="13"/>
      <c r="X22" s="13"/>
      <c r="Y22" s="13"/>
      <c r="Z22" s="14"/>
      <c r="AA22" s="13"/>
    </row>
    <row r="23" spans="1:27" ht="15" customHeight="1" x14ac:dyDescent="0.3">
      <c r="K23" s="13"/>
      <c r="L23" s="14"/>
      <c r="M23" s="111" t="s">
        <v>308</v>
      </c>
      <c r="N23" s="122"/>
      <c r="O23" s="123">
        <f>AVERAGE(N5:N14)</f>
        <v>1113</v>
      </c>
      <c r="P23" s="124">
        <f>AVERAGE(O5:O14)</f>
        <v>1033</v>
      </c>
      <c r="Q23" s="125">
        <f>AVERAGE(P5:P14)</f>
        <v>1093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K24" s="13"/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K25" s="13"/>
      <c r="L25" s="14"/>
      <c r="M25" t="s">
        <v>309</v>
      </c>
      <c r="R25" t="s">
        <v>310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K26" s="13"/>
      <c r="L26" s="14"/>
      <c r="R26" t="s">
        <v>311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K27" s="13"/>
      <c r="L27" s="14"/>
      <c r="R27" s="126"/>
      <c r="S27" s="127" t="s">
        <v>312</v>
      </c>
      <c r="T27" s="128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K28" s="13"/>
      <c r="L28" s="14"/>
      <c r="R28" s="129" t="s">
        <v>277</v>
      </c>
      <c r="S28" s="112" t="s">
        <v>313</v>
      </c>
      <c r="T28" s="130" t="s">
        <v>300</v>
      </c>
      <c r="U28" s="13"/>
      <c r="V28" s="13"/>
      <c r="W28" s="13"/>
      <c r="X28" s="13"/>
      <c r="Y28" s="13"/>
      <c r="Z28" s="14"/>
      <c r="AA28" s="13"/>
    </row>
    <row r="29" spans="1:27" x14ac:dyDescent="0.3">
      <c r="K29" s="13"/>
      <c r="L29" s="14"/>
      <c r="R29" s="63">
        <v>1</v>
      </c>
      <c r="S29" s="131">
        <f>O18/Q18-1</f>
        <v>1.9841269841269771E-2</v>
      </c>
      <c r="T29" s="132">
        <f>P18/Q18-1</f>
        <v>8.7301587301587213E-2</v>
      </c>
      <c r="U29" s="13"/>
      <c r="V29" s="13"/>
      <c r="W29" s="13"/>
      <c r="X29" s="13"/>
      <c r="Y29" s="13"/>
      <c r="Z29" s="14"/>
      <c r="AA29" s="13"/>
    </row>
    <row r="30" spans="1:27" x14ac:dyDescent="0.3">
      <c r="K30" s="13"/>
      <c r="L30" s="14"/>
      <c r="R30" s="61">
        <v>2</v>
      </c>
      <c r="S30" s="133">
        <f t="shared" ref="S30:S33" si="6">O19/Q19-1</f>
        <v>3.4482758620689724E-2</v>
      </c>
      <c r="T30" s="134">
        <f t="shared" ref="T30:T33" si="7">P19/Q19-1</f>
        <v>-3.4482758620689613E-2</v>
      </c>
      <c r="U30" s="13"/>
      <c r="V30" s="13"/>
      <c r="W30" s="13"/>
      <c r="X30" s="13"/>
      <c r="Y30" s="13"/>
      <c r="Z30" s="14"/>
      <c r="AA30" s="13"/>
    </row>
    <row r="31" spans="1:27" x14ac:dyDescent="0.3">
      <c r="K31" s="13"/>
      <c r="L31" s="14"/>
      <c r="R31" s="61">
        <v>3</v>
      </c>
      <c r="S31" s="133">
        <f t="shared" si="6"/>
        <v>4.1493775933610033E-2</v>
      </c>
      <c r="T31" s="134">
        <f t="shared" si="7"/>
        <v>-4.9792531120331995E-2</v>
      </c>
      <c r="U31" s="13"/>
      <c r="V31" s="13"/>
      <c r="W31" s="13"/>
      <c r="X31" s="13"/>
      <c r="Y31" s="13"/>
      <c r="Z31" s="14"/>
      <c r="AA31" s="13"/>
    </row>
    <row r="32" spans="1:27" x14ac:dyDescent="0.3">
      <c r="K32" s="13"/>
      <c r="L32" s="14"/>
      <c r="R32" s="61">
        <v>4</v>
      </c>
      <c r="S32" s="133">
        <f t="shared" si="6"/>
        <v>-5.2380952380952417E-2</v>
      </c>
      <c r="T32" s="134">
        <f t="shared" si="7"/>
        <v>-0.18571428571428572</v>
      </c>
      <c r="U32" s="13"/>
      <c r="V32" s="13"/>
      <c r="W32" s="13"/>
      <c r="X32" s="13"/>
      <c r="Y32" s="13"/>
      <c r="Z32" s="14"/>
      <c r="AA32" s="13"/>
    </row>
    <row r="33" spans="1:27" x14ac:dyDescent="0.3">
      <c r="K33" s="13"/>
      <c r="L33" s="14"/>
      <c r="R33" s="65">
        <v>5</v>
      </c>
      <c r="S33" s="135">
        <f t="shared" si="6"/>
        <v>5.0632911392405111E-2</v>
      </c>
      <c r="T33" s="136">
        <f t="shared" si="7"/>
        <v>-0.14556962025316456</v>
      </c>
      <c r="U33" s="13"/>
      <c r="V33" s="13"/>
      <c r="W33" s="13"/>
      <c r="X33" s="13"/>
      <c r="Y33" s="13"/>
      <c r="Z33" s="14"/>
      <c r="AA33" s="13"/>
    </row>
    <row r="34" spans="1:27" x14ac:dyDescent="0.3">
      <c r="K34" s="13"/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K35" s="13"/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K36" s="13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K37" s="13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K38" s="13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13"/>
      <c r="B39" s="13"/>
      <c r="K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L41" s="14"/>
      <c r="M41" t="s">
        <v>314</v>
      </c>
      <c r="T41" s="13"/>
      <c r="U41" s="13"/>
      <c r="V41" s="13"/>
      <c r="W41" s="13"/>
      <c r="X41" s="13"/>
      <c r="Y41" s="13"/>
      <c r="Z41" s="14"/>
      <c r="AA41" s="13"/>
    </row>
    <row r="42" spans="1:27" x14ac:dyDescent="0.3">
      <c r="L42" s="14"/>
      <c r="M42" t="s">
        <v>315</v>
      </c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M43" t="s">
        <v>316</v>
      </c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M44" t="s">
        <v>317</v>
      </c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M46" t="s">
        <v>318</v>
      </c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3">
      <c r="L49" s="14"/>
      <c r="AA49" s="13"/>
    </row>
    <row r="77" spans="12:26" x14ac:dyDescent="0.3">
      <c r="Z77" s="14"/>
    </row>
    <row r="78" spans="12:26" x14ac:dyDescent="0.3">
      <c r="L78" s="14"/>
      <c r="Z78" s="14"/>
    </row>
    <row r="79" spans="12:26" x14ac:dyDescent="0.3">
      <c r="L79" s="14"/>
      <c r="Z79" s="14"/>
    </row>
    <row r="80" spans="12:26" x14ac:dyDescent="0.3">
      <c r="L80" s="14"/>
      <c r="Z80" s="14"/>
    </row>
    <row r="81" spans="12:26" x14ac:dyDescent="0.3">
      <c r="L81" s="14"/>
      <c r="Z81" s="14"/>
    </row>
    <row r="82" spans="12:26" x14ac:dyDescent="0.3">
      <c r="L82" s="14"/>
      <c r="Z82" s="14"/>
    </row>
    <row r="83" spans="12:26" x14ac:dyDescent="0.3">
      <c r="L83" s="14"/>
      <c r="Z83" s="14"/>
    </row>
    <row r="84" spans="12:26" x14ac:dyDescent="0.3">
      <c r="L84" s="14"/>
      <c r="Z84" s="14"/>
    </row>
    <row r="85" spans="12:26" x14ac:dyDescent="0.3">
      <c r="L85" s="14"/>
      <c r="Z85" s="14"/>
    </row>
    <row r="86" spans="12:26" x14ac:dyDescent="0.3">
      <c r="L86" s="14"/>
      <c r="Z86" s="14"/>
    </row>
    <row r="87" spans="12:26" x14ac:dyDescent="0.3">
      <c r="L87" s="14"/>
      <c r="Z87" s="14"/>
    </row>
    <row r="88" spans="12:26" x14ac:dyDescent="0.3">
      <c r="L88" s="14"/>
      <c r="Z88" s="14"/>
    </row>
    <row r="89" spans="12:26" x14ac:dyDescent="0.3">
      <c r="L89" s="14"/>
      <c r="Z89" s="14"/>
    </row>
    <row r="90" spans="12:26" x14ac:dyDescent="0.3">
      <c r="L90" s="14"/>
      <c r="Z90" s="14"/>
    </row>
    <row r="91" spans="12:26" x14ac:dyDescent="0.3">
      <c r="L91" s="14"/>
      <c r="Z91" s="14"/>
    </row>
    <row r="92" spans="12:26" x14ac:dyDescent="0.3">
      <c r="L92" s="14"/>
      <c r="Z92" s="14"/>
    </row>
    <row r="93" spans="12:26" x14ac:dyDescent="0.3">
      <c r="L93" s="14"/>
      <c r="Z93" s="14"/>
    </row>
    <row r="94" spans="12:26" x14ac:dyDescent="0.3">
      <c r="L94" s="14"/>
      <c r="Z94" s="14"/>
    </row>
    <row r="95" spans="12:26" x14ac:dyDescent="0.3">
      <c r="L95" s="14"/>
      <c r="Z95" s="14"/>
    </row>
    <row r="96" spans="12:26" x14ac:dyDescent="0.3">
      <c r="L96" s="14"/>
      <c r="Z96" s="14"/>
    </row>
    <row r="97" spans="1:26" x14ac:dyDescent="0.3">
      <c r="L97" s="14"/>
      <c r="Z97" s="14"/>
    </row>
    <row r="98" spans="1:26" x14ac:dyDescent="0.3">
      <c r="L98" s="14"/>
      <c r="Z98" s="14"/>
    </row>
    <row r="99" spans="1:26" x14ac:dyDescent="0.3">
      <c r="L99" s="14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4"/>
    </row>
    <row r="101" spans="1:26" x14ac:dyDescent="0.3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3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3">
      <c r="L114" s="14"/>
      <c r="Z114" s="14"/>
    </row>
    <row r="115" spans="12:26" x14ac:dyDescent="0.3">
      <c r="L115" s="14"/>
      <c r="Z115" s="14"/>
    </row>
    <row r="116" spans="12:26" x14ac:dyDescent="0.3">
      <c r="L116" s="14"/>
      <c r="Z116" s="14"/>
    </row>
    <row r="117" spans="12:26" x14ac:dyDescent="0.3">
      <c r="L117" s="14"/>
      <c r="Z117" s="14"/>
    </row>
    <row r="118" spans="12:26" x14ac:dyDescent="0.3">
      <c r="L118" s="14"/>
      <c r="Z118" s="14"/>
    </row>
    <row r="119" spans="12:26" x14ac:dyDescent="0.3">
      <c r="L119" s="14"/>
      <c r="Z119" s="14"/>
    </row>
    <row r="120" spans="12:26" x14ac:dyDescent="0.3">
      <c r="L120" s="14"/>
      <c r="Z120" s="14"/>
    </row>
    <row r="121" spans="12:26" x14ac:dyDescent="0.3">
      <c r="L121" s="14"/>
      <c r="Z121" s="14"/>
    </row>
    <row r="122" spans="12:26" x14ac:dyDescent="0.3">
      <c r="L122" s="14"/>
      <c r="Z122" s="14"/>
    </row>
    <row r="123" spans="12:26" x14ac:dyDescent="0.3">
      <c r="L123" s="14"/>
      <c r="Z123" s="14"/>
    </row>
    <row r="124" spans="12:26" x14ac:dyDescent="0.3">
      <c r="L124" s="14"/>
      <c r="Z124" s="14"/>
    </row>
    <row r="125" spans="12:26" x14ac:dyDescent="0.3">
      <c r="L125" s="14"/>
      <c r="Z125" s="14"/>
    </row>
    <row r="126" spans="12:26" x14ac:dyDescent="0.3">
      <c r="L126" s="14"/>
      <c r="Z126" s="14"/>
    </row>
    <row r="127" spans="12:26" x14ac:dyDescent="0.3">
      <c r="L127" s="14"/>
      <c r="Z127" s="14"/>
    </row>
    <row r="128" spans="12:26" x14ac:dyDescent="0.3">
      <c r="L128" s="14"/>
      <c r="Z128" s="14"/>
    </row>
    <row r="129" spans="12:26" x14ac:dyDescent="0.3">
      <c r="L129" s="14"/>
      <c r="Z129" s="14"/>
    </row>
    <row r="130" spans="12:26" x14ac:dyDescent="0.3">
      <c r="L130" s="14"/>
    </row>
    <row r="131" spans="12:26" x14ac:dyDescent="0.3">
      <c r="L131" s="14"/>
      <c r="Z131" s="14"/>
    </row>
    <row r="132" spans="12:26" x14ac:dyDescent="0.3">
      <c r="L132" s="14"/>
      <c r="Z132" s="14"/>
    </row>
    <row r="133" spans="12:26" x14ac:dyDescent="0.3">
      <c r="L133" s="14"/>
      <c r="Z133" s="14"/>
    </row>
    <row r="134" spans="12:26" x14ac:dyDescent="0.3">
      <c r="L134" s="14"/>
      <c r="Z134" s="14"/>
    </row>
    <row r="135" spans="12:26" x14ac:dyDescent="0.3">
      <c r="L135" s="14"/>
      <c r="Z135" s="14"/>
    </row>
    <row r="136" spans="12:26" x14ac:dyDescent="0.3">
      <c r="L136" s="14"/>
      <c r="Z136" s="14"/>
    </row>
    <row r="137" spans="12:26" x14ac:dyDescent="0.3">
      <c r="L137" s="14"/>
      <c r="Z137" s="14"/>
    </row>
    <row r="138" spans="12:26" x14ac:dyDescent="0.3">
      <c r="L138" s="14"/>
      <c r="Z138" s="14"/>
    </row>
    <row r="139" spans="12:26" x14ac:dyDescent="0.3">
      <c r="L139" s="14"/>
      <c r="Z139" s="14"/>
    </row>
    <row r="140" spans="12:26" x14ac:dyDescent="0.3">
      <c r="L140" s="14"/>
      <c r="Z140" s="14"/>
    </row>
    <row r="141" spans="12:26" x14ac:dyDescent="0.3">
      <c r="L141" s="14"/>
      <c r="Z141" s="14"/>
    </row>
    <row r="142" spans="12:26" x14ac:dyDescent="0.3">
      <c r="L142" s="14"/>
      <c r="Z142" s="14"/>
    </row>
    <row r="143" spans="12:26" x14ac:dyDescent="0.3">
      <c r="L143" s="14"/>
      <c r="Z143" s="14"/>
    </row>
    <row r="144" spans="12:26" x14ac:dyDescent="0.3">
      <c r="L144" s="14"/>
      <c r="Z144" s="14"/>
    </row>
    <row r="145" spans="1:26" x14ac:dyDescent="0.3">
      <c r="L145" s="14"/>
      <c r="Z145" s="14"/>
    </row>
    <row r="146" spans="1:26" x14ac:dyDescent="0.3">
      <c r="L146" s="14"/>
      <c r="Z146" s="14"/>
    </row>
    <row r="147" spans="1:26" x14ac:dyDescent="0.3">
      <c r="L147" s="14"/>
      <c r="Z147" s="14"/>
    </row>
    <row r="148" spans="1:26" x14ac:dyDescent="0.3">
      <c r="L148" s="14"/>
      <c r="Z148" s="14"/>
    </row>
    <row r="149" spans="1:26" x14ac:dyDescent="0.3">
      <c r="L149" s="14"/>
      <c r="Z149" s="14"/>
    </row>
    <row r="150" spans="1:26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x14ac:dyDescent="0.3">
      <c r="L151" s="14"/>
      <c r="Z151" s="14"/>
    </row>
    <row r="152" spans="1:26" x14ac:dyDescent="0.3">
      <c r="L152" s="14"/>
      <c r="Z152" s="14"/>
    </row>
    <row r="153" spans="1:26" x14ac:dyDescent="0.3">
      <c r="L153" s="14"/>
      <c r="Z153" s="14"/>
    </row>
    <row r="154" spans="1:26" x14ac:dyDescent="0.3">
      <c r="L154" s="14"/>
      <c r="Z154" s="14"/>
    </row>
    <row r="155" spans="1:26" x14ac:dyDescent="0.3">
      <c r="L155" s="14"/>
      <c r="Z155" s="14"/>
    </row>
    <row r="156" spans="1:26" x14ac:dyDescent="0.3">
      <c r="L156" s="14"/>
      <c r="Z156" s="14"/>
    </row>
    <row r="157" spans="1:26" x14ac:dyDescent="0.3">
      <c r="L157" s="14"/>
      <c r="Z157" s="14"/>
    </row>
    <row r="158" spans="1:26" x14ac:dyDescent="0.3">
      <c r="L158" s="14"/>
      <c r="Z158" s="14"/>
    </row>
  </sheetData>
  <mergeCells count="1">
    <mergeCell ref="J1:K1"/>
  </mergeCells>
  <hyperlinks>
    <hyperlink ref="J1" location="TOC!A1" display="Return to TOC" xr:uid="{80FBD752-04F6-4A18-BC1B-0299F1D45BE7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01E9-6739-4F49-A518-481C1BCD23B4}">
  <sheetPr codeName="Sheet104"/>
  <dimension ref="A1:AA158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7.5546875" customWidth="1"/>
    <col min="4" max="4" width="16.44140625" bestFit="1" customWidth="1"/>
    <col min="5" max="5" width="11" bestFit="1" customWidth="1"/>
    <col min="6" max="6" width="13.88671875" bestFit="1" customWidth="1"/>
    <col min="7" max="7" width="12.5546875" bestFit="1" customWidth="1"/>
    <col min="9" max="10" width="9.109375" customWidth="1"/>
    <col min="11" max="11" width="11.6640625" customWidth="1"/>
    <col min="12" max="12" width="2.6640625" customWidth="1"/>
    <col min="13" max="13" width="9.33203125" customWidth="1"/>
    <col min="14" max="14" width="16.44140625" bestFit="1" customWidth="1"/>
    <col min="15" max="15" width="11" bestFit="1" customWidth="1"/>
    <col min="16" max="16" width="19" bestFit="1" customWidth="1"/>
    <col min="17" max="19" width="9.33203125" customWidth="1"/>
    <col min="20" max="20" width="10.6640625" bestFit="1" customWidth="1"/>
    <col min="21" max="21" width="16.6640625" bestFit="1" customWidth="1"/>
    <col min="22" max="22" width="15.88671875" bestFit="1" customWidth="1"/>
    <col min="23" max="23" width="9.109375" customWidth="1"/>
  </cols>
  <sheetData>
    <row r="1" spans="1:27" x14ac:dyDescent="0.3">
      <c r="A1" s="32" t="s">
        <v>137</v>
      </c>
      <c r="B1" s="33"/>
      <c r="C1" s="33" t="s">
        <v>30</v>
      </c>
      <c r="D1" s="34"/>
      <c r="E1" s="33"/>
      <c r="F1" s="33"/>
      <c r="G1" s="33"/>
      <c r="H1" s="33"/>
      <c r="I1" s="33"/>
      <c r="J1" s="772" t="s">
        <v>199</v>
      </c>
      <c r="K1" s="773"/>
      <c r="L1" s="10"/>
      <c r="M1" s="12" t="s">
        <v>140</v>
      </c>
      <c r="Z1" s="10"/>
    </row>
    <row r="2" spans="1:27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6"/>
      <c r="K2" s="37"/>
      <c r="L2" s="10"/>
      <c r="M2" t="s">
        <v>319</v>
      </c>
      <c r="Z2" s="10"/>
    </row>
    <row r="3" spans="1:27" x14ac:dyDescent="0.3">
      <c r="A3" s="35" t="s">
        <v>141</v>
      </c>
      <c r="B3" s="36"/>
      <c r="C3" s="36" t="s">
        <v>320</v>
      </c>
      <c r="D3" s="36"/>
      <c r="E3" s="36"/>
      <c r="F3" s="36"/>
      <c r="G3" s="36"/>
      <c r="H3" s="36"/>
      <c r="I3" s="36"/>
      <c r="J3" s="36"/>
      <c r="K3" s="37"/>
      <c r="L3" s="10"/>
      <c r="M3" t="s">
        <v>321</v>
      </c>
      <c r="Z3" s="10"/>
    </row>
    <row r="4" spans="1:27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  <c r="L4" s="14"/>
      <c r="Z4" s="14"/>
      <c r="AA4" s="13"/>
    </row>
    <row r="5" spans="1:27" ht="15" customHeight="1" x14ac:dyDescent="0.3">
      <c r="A5" s="41" t="s">
        <v>144</v>
      </c>
      <c r="B5" s="36"/>
      <c r="C5" s="36" t="s">
        <v>322</v>
      </c>
      <c r="D5" s="36"/>
      <c r="E5" s="36"/>
      <c r="F5" s="36"/>
      <c r="G5" s="36"/>
      <c r="H5" s="36"/>
      <c r="I5" s="36"/>
      <c r="J5" s="36"/>
      <c r="K5" s="40"/>
      <c r="L5" s="14"/>
      <c r="M5" s="111" t="s">
        <v>323</v>
      </c>
      <c r="N5" s="112" t="s">
        <v>324</v>
      </c>
      <c r="O5" s="112" t="s">
        <v>325</v>
      </c>
      <c r="P5" s="114" t="s">
        <v>326</v>
      </c>
      <c r="Q5" s="112" t="s">
        <v>327</v>
      </c>
      <c r="S5" s="111" t="s">
        <v>327</v>
      </c>
      <c r="T5" s="111" t="s">
        <v>325</v>
      </c>
      <c r="U5" s="111" t="s">
        <v>324</v>
      </c>
      <c r="V5" s="112" t="s">
        <v>328</v>
      </c>
      <c r="W5" s="13"/>
      <c r="X5" s="13"/>
      <c r="Y5" s="13"/>
      <c r="Z5" s="14"/>
      <c r="AA5" s="13"/>
    </row>
    <row r="6" spans="1:27" x14ac:dyDescent="0.3">
      <c r="A6" s="45"/>
      <c r="B6" s="36"/>
      <c r="C6" s="36" t="s">
        <v>329</v>
      </c>
      <c r="D6" s="36"/>
      <c r="E6" s="36"/>
      <c r="F6" s="36"/>
      <c r="G6" s="36"/>
      <c r="H6" s="36"/>
      <c r="I6" s="36"/>
      <c r="J6" s="36"/>
      <c r="K6" s="40"/>
      <c r="L6" s="14"/>
      <c r="M6" s="61">
        <v>22</v>
      </c>
      <c r="N6" s="141">
        <v>1594</v>
      </c>
      <c r="O6" s="141">
        <v>774</v>
      </c>
      <c r="P6" s="134">
        <v>0.43663739021329989</v>
      </c>
      <c r="Q6" s="58">
        <v>1</v>
      </c>
      <c r="S6" s="61">
        <v>1</v>
      </c>
      <c r="T6" s="141">
        <f>SUMIFS($O$6:$O$35,$Q$6:$Q$35,S6)</f>
        <v>2094</v>
      </c>
      <c r="U6" s="141">
        <f>SUMIFS($N$6:$N$35,$Q$6:$Q$35,S6)</f>
        <v>4252</v>
      </c>
      <c r="V6" s="134">
        <f>T6/U6</f>
        <v>0.4924741298212606</v>
      </c>
      <c r="W6" s="13"/>
      <c r="X6" s="13"/>
      <c r="Y6" s="13"/>
      <c r="Z6" s="14"/>
      <c r="AA6" s="13"/>
    </row>
    <row r="7" spans="1:27" ht="15" customHeight="1" x14ac:dyDescent="0.3">
      <c r="A7" s="45"/>
      <c r="B7" s="36"/>
      <c r="C7" s="36"/>
      <c r="D7" s="36"/>
      <c r="E7" s="36"/>
      <c r="F7" s="36"/>
      <c r="G7" s="36"/>
      <c r="H7" s="36"/>
      <c r="I7" s="36"/>
      <c r="J7" s="36"/>
      <c r="K7" s="40"/>
      <c r="L7" s="14"/>
      <c r="M7" s="61">
        <v>8</v>
      </c>
      <c r="N7" s="141">
        <v>1575</v>
      </c>
      <c r="O7" s="141">
        <v>748</v>
      </c>
      <c r="P7" s="134">
        <v>0.44126984126984126</v>
      </c>
      <c r="Q7" s="100">
        <v>1</v>
      </c>
      <c r="S7" s="61">
        <v>2</v>
      </c>
      <c r="T7" s="141">
        <f t="shared" ref="T7:T15" si="0">SUMIFS($O$6:$O$35,$Q$6:$Q$35,S7)</f>
        <v>4895</v>
      </c>
      <c r="U7" s="141">
        <f t="shared" ref="U7:U15" si="1">SUMIFS($N$6:$N$35,$Q$6:$Q$35,S7)</f>
        <v>9580</v>
      </c>
      <c r="V7" s="134">
        <f t="shared" ref="V7:V15" si="2">T7/U7</f>
        <v>0.51096033402922758</v>
      </c>
      <c r="W7" s="13"/>
      <c r="X7" s="13"/>
      <c r="Y7" s="13"/>
      <c r="Z7" s="14"/>
      <c r="AA7" s="13"/>
    </row>
    <row r="8" spans="1:27" ht="15" customHeight="1" x14ac:dyDescent="0.3">
      <c r="A8" s="41"/>
      <c r="B8" s="39"/>
      <c r="C8" s="138" t="s">
        <v>323</v>
      </c>
      <c r="D8" s="138" t="s">
        <v>324</v>
      </c>
      <c r="E8" s="138" t="s">
        <v>325</v>
      </c>
      <c r="F8" s="138" t="s">
        <v>330</v>
      </c>
      <c r="G8" s="36"/>
      <c r="H8" s="36"/>
      <c r="I8" s="36"/>
      <c r="J8" s="36"/>
      <c r="K8" s="40"/>
      <c r="L8" s="14"/>
      <c r="M8" s="61">
        <v>11</v>
      </c>
      <c r="N8" s="141">
        <v>1083</v>
      </c>
      <c r="O8" s="141">
        <v>572</v>
      </c>
      <c r="P8" s="134">
        <v>0.45429362880886426</v>
      </c>
      <c r="Q8" s="100">
        <v>1</v>
      </c>
      <c r="S8" s="61">
        <v>3</v>
      </c>
      <c r="T8" s="141">
        <f t="shared" si="0"/>
        <v>2932</v>
      </c>
      <c r="U8" s="141">
        <f t="shared" si="1"/>
        <v>6114</v>
      </c>
      <c r="V8" s="134">
        <f t="shared" si="2"/>
        <v>0.47955511939810269</v>
      </c>
      <c r="W8" s="13"/>
      <c r="X8" s="13"/>
      <c r="Y8" s="13"/>
      <c r="Z8" s="14"/>
      <c r="AA8" s="13"/>
    </row>
    <row r="9" spans="1:27" x14ac:dyDescent="0.3">
      <c r="A9" s="41"/>
      <c r="B9" s="39"/>
      <c r="C9" s="80">
        <v>1</v>
      </c>
      <c r="D9" s="143">
        <v>1374</v>
      </c>
      <c r="E9" s="144">
        <v>709</v>
      </c>
      <c r="F9" s="145">
        <v>794</v>
      </c>
      <c r="G9" s="36"/>
      <c r="H9" s="36"/>
      <c r="I9" s="36"/>
      <c r="J9" s="36"/>
      <c r="K9" s="40"/>
      <c r="L9" s="14"/>
      <c r="M9" s="61">
        <v>9</v>
      </c>
      <c r="N9" s="141">
        <v>2974</v>
      </c>
      <c r="O9" s="141">
        <v>1391</v>
      </c>
      <c r="P9" s="134">
        <v>0.46772024209818425</v>
      </c>
      <c r="Q9" s="100">
        <v>2</v>
      </c>
      <c r="S9" s="61">
        <v>4</v>
      </c>
      <c r="T9" s="141">
        <f t="shared" si="0"/>
        <v>2770</v>
      </c>
      <c r="U9" s="141">
        <f t="shared" si="1"/>
        <v>4945</v>
      </c>
      <c r="V9" s="134">
        <f t="shared" si="2"/>
        <v>0.56016177957532864</v>
      </c>
      <c r="W9" s="13"/>
      <c r="X9" s="13"/>
      <c r="Y9" s="13"/>
      <c r="Z9" s="14"/>
      <c r="AA9" s="13"/>
    </row>
    <row r="10" spans="1:27" x14ac:dyDescent="0.3">
      <c r="A10" s="38"/>
      <c r="B10" s="39"/>
      <c r="C10" s="77">
        <v>2</v>
      </c>
      <c r="D10" s="144">
        <v>1754</v>
      </c>
      <c r="E10" s="144">
        <v>1443</v>
      </c>
      <c r="F10" s="146">
        <v>1558</v>
      </c>
      <c r="G10" s="36"/>
      <c r="H10" s="36"/>
      <c r="I10" s="36"/>
      <c r="J10" s="36"/>
      <c r="K10" s="40"/>
      <c r="L10" s="14"/>
      <c r="M10" s="61">
        <v>12</v>
      </c>
      <c r="N10" s="141">
        <v>3691</v>
      </c>
      <c r="O10" s="141">
        <v>1950</v>
      </c>
      <c r="P10" s="134">
        <v>0.48604714169601732</v>
      </c>
      <c r="Q10" s="100">
        <v>2</v>
      </c>
      <c r="S10" s="61">
        <v>5</v>
      </c>
      <c r="T10" s="141">
        <f t="shared" si="0"/>
        <v>4076</v>
      </c>
      <c r="U10" s="141">
        <f t="shared" si="1"/>
        <v>4536</v>
      </c>
      <c r="V10" s="134">
        <f t="shared" si="2"/>
        <v>0.8985890652557319</v>
      </c>
      <c r="W10" s="13"/>
      <c r="X10" s="13"/>
      <c r="Y10" s="13"/>
      <c r="Z10" s="14"/>
      <c r="AA10" s="13"/>
    </row>
    <row r="11" spans="1:27" x14ac:dyDescent="0.3">
      <c r="A11" s="38"/>
      <c r="B11" s="39"/>
      <c r="C11" s="77">
        <v>3</v>
      </c>
      <c r="D11" s="144">
        <v>158</v>
      </c>
      <c r="E11" s="144">
        <v>169</v>
      </c>
      <c r="F11" s="146">
        <v>147</v>
      </c>
      <c r="G11" s="36"/>
      <c r="H11" s="36"/>
      <c r="I11" s="36"/>
      <c r="J11" s="36"/>
      <c r="K11" s="40"/>
      <c r="L11" s="14"/>
      <c r="M11" s="61">
        <v>26</v>
      </c>
      <c r="N11" s="141">
        <v>2915</v>
      </c>
      <c r="O11" s="141">
        <v>1554</v>
      </c>
      <c r="P11" s="134">
        <v>0.50085763293310459</v>
      </c>
      <c r="Q11" s="100">
        <v>2</v>
      </c>
      <c r="S11" s="61">
        <v>6</v>
      </c>
      <c r="T11" s="141">
        <f t="shared" si="0"/>
        <v>1710</v>
      </c>
      <c r="U11" s="141">
        <f t="shared" si="1"/>
        <v>2016</v>
      </c>
      <c r="V11" s="134">
        <f t="shared" si="2"/>
        <v>0.8482142857142857</v>
      </c>
      <c r="W11" s="13"/>
      <c r="X11" s="13"/>
      <c r="Y11" s="13"/>
      <c r="Z11" s="14"/>
      <c r="AA11" s="13"/>
    </row>
    <row r="12" spans="1:27" x14ac:dyDescent="0.3">
      <c r="A12" s="38"/>
      <c r="B12" s="39"/>
      <c r="C12" s="77">
        <v>4</v>
      </c>
      <c r="D12" s="144">
        <v>1080</v>
      </c>
      <c r="E12" s="144">
        <v>520</v>
      </c>
      <c r="F12" s="146">
        <v>577</v>
      </c>
      <c r="G12" s="36"/>
      <c r="H12" s="36"/>
      <c r="I12" s="36"/>
      <c r="J12" s="36"/>
      <c r="K12" s="40"/>
      <c r="L12" s="14"/>
      <c r="M12" s="61">
        <v>30</v>
      </c>
      <c r="N12" s="141">
        <v>1663</v>
      </c>
      <c r="O12" s="141">
        <v>813</v>
      </c>
      <c r="P12" s="134">
        <v>0.50330727600721592</v>
      </c>
      <c r="Q12" s="100">
        <v>3</v>
      </c>
      <c r="S12" s="61">
        <v>7</v>
      </c>
      <c r="T12" s="141">
        <f t="shared" si="0"/>
        <v>3140</v>
      </c>
      <c r="U12" s="141">
        <f t="shared" si="1"/>
        <v>3581</v>
      </c>
      <c r="V12" s="134">
        <f t="shared" si="2"/>
        <v>0.87685004188774085</v>
      </c>
      <c r="W12" s="13"/>
      <c r="X12" s="13"/>
      <c r="Y12" s="13"/>
      <c r="Z12" s="14"/>
      <c r="AA12" s="13"/>
    </row>
    <row r="13" spans="1:27" x14ac:dyDescent="0.3">
      <c r="A13" s="38"/>
      <c r="B13" s="39"/>
      <c r="C13" s="77">
        <v>5</v>
      </c>
      <c r="D13" s="144">
        <v>3371</v>
      </c>
      <c r="E13" s="144">
        <v>1599</v>
      </c>
      <c r="F13" s="146">
        <v>1775</v>
      </c>
      <c r="G13" s="36"/>
      <c r="H13" s="36"/>
      <c r="I13" s="36"/>
      <c r="J13" s="36"/>
      <c r="K13" s="40"/>
      <c r="L13" s="14"/>
      <c r="M13" s="61">
        <v>5</v>
      </c>
      <c r="N13" s="141">
        <v>3371</v>
      </c>
      <c r="O13" s="141">
        <v>1599</v>
      </c>
      <c r="P13" s="134">
        <v>0.52654998516760609</v>
      </c>
      <c r="Q13" s="100">
        <v>3</v>
      </c>
      <c r="S13" s="61">
        <v>8</v>
      </c>
      <c r="T13" s="141">
        <f t="shared" si="0"/>
        <v>2243</v>
      </c>
      <c r="U13" s="141">
        <f t="shared" si="1"/>
        <v>2667</v>
      </c>
      <c r="V13" s="134">
        <f t="shared" si="2"/>
        <v>0.84101987251593546</v>
      </c>
      <c r="W13" s="13"/>
      <c r="X13" s="13"/>
      <c r="Y13" s="13"/>
      <c r="Z13" s="14"/>
      <c r="AA13" s="13"/>
    </row>
    <row r="14" spans="1:27" x14ac:dyDescent="0.3">
      <c r="A14" s="38"/>
      <c r="B14" s="39"/>
      <c r="C14" s="77">
        <v>6</v>
      </c>
      <c r="D14" s="144">
        <v>1366</v>
      </c>
      <c r="E14" s="144">
        <v>1326</v>
      </c>
      <c r="F14" s="146">
        <v>1313</v>
      </c>
      <c r="G14" s="36"/>
      <c r="H14" s="36"/>
      <c r="I14" s="36"/>
      <c r="J14" s="36"/>
      <c r="K14" s="40"/>
      <c r="L14" s="14"/>
      <c r="M14" s="61">
        <v>4</v>
      </c>
      <c r="N14" s="141">
        <v>1080</v>
      </c>
      <c r="O14" s="141">
        <v>520</v>
      </c>
      <c r="P14" s="134">
        <v>0.53425925925925921</v>
      </c>
      <c r="Q14" s="100">
        <v>3</v>
      </c>
      <c r="S14" s="61">
        <v>9</v>
      </c>
      <c r="T14" s="141">
        <f t="shared" si="0"/>
        <v>4082</v>
      </c>
      <c r="U14" s="141">
        <f t="shared" si="1"/>
        <v>4153</v>
      </c>
      <c r="V14" s="134">
        <f t="shared" si="2"/>
        <v>0.98290392487358536</v>
      </c>
      <c r="W14" s="13"/>
      <c r="X14" s="13"/>
      <c r="Y14" s="13"/>
      <c r="Z14" s="14"/>
      <c r="AA14" s="13"/>
    </row>
    <row r="15" spans="1:27" x14ac:dyDescent="0.3">
      <c r="A15" s="45"/>
      <c r="B15" s="36"/>
      <c r="C15" s="77">
        <v>7</v>
      </c>
      <c r="D15" s="144">
        <v>1178</v>
      </c>
      <c r="E15" s="144">
        <v>1008</v>
      </c>
      <c r="F15" s="146">
        <v>907</v>
      </c>
      <c r="G15" s="36"/>
      <c r="H15" s="36"/>
      <c r="I15" s="36"/>
      <c r="J15" s="36"/>
      <c r="K15" s="40"/>
      <c r="L15" s="14"/>
      <c r="M15" s="61">
        <v>21</v>
      </c>
      <c r="N15" s="141">
        <v>2880</v>
      </c>
      <c r="O15" s="141">
        <v>1463</v>
      </c>
      <c r="P15" s="134">
        <v>0.56874999999999998</v>
      </c>
      <c r="Q15" s="100">
        <v>4</v>
      </c>
      <c r="S15" s="65">
        <v>10</v>
      </c>
      <c r="T15" s="142">
        <f t="shared" si="0"/>
        <v>4031</v>
      </c>
      <c r="U15" s="142">
        <f t="shared" si="1"/>
        <v>4012</v>
      </c>
      <c r="V15" s="136">
        <f t="shared" si="2"/>
        <v>1.0047357926221336</v>
      </c>
      <c r="W15" s="13"/>
      <c r="X15" s="13"/>
      <c r="Y15" s="13"/>
      <c r="Z15" s="14"/>
      <c r="AA15" s="13"/>
    </row>
    <row r="16" spans="1:27" x14ac:dyDescent="0.3">
      <c r="A16" s="45"/>
      <c r="B16" s="36"/>
      <c r="C16" s="77">
        <v>8</v>
      </c>
      <c r="D16" s="144">
        <v>1575</v>
      </c>
      <c r="E16" s="144">
        <v>748</v>
      </c>
      <c r="F16" s="146">
        <v>695</v>
      </c>
      <c r="G16" s="36"/>
      <c r="H16" s="36"/>
      <c r="I16" s="36"/>
      <c r="J16" s="36"/>
      <c r="K16" s="40"/>
      <c r="L16" s="14"/>
      <c r="M16" s="61">
        <v>1</v>
      </c>
      <c r="N16" s="141">
        <v>1374</v>
      </c>
      <c r="O16" s="141">
        <v>709</v>
      </c>
      <c r="P16" s="134">
        <v>0.57787481804949059</v>
      </c>
      <c r="Q16" s="100">
        <v>4</v>
      </c>
      <c r="W16" s="13"/>
      <c r="X16" s="13"/>
      <c r="Y16" s="13"/>
      <c r="Z16" s="14"/>
      <c r="AA16" s="13"/>
    </row>
    <row r="17" spans="1:27" x14ac:dyDescent="0.3">
      <c r="A17" s="45"/>
      <c r="B17" s="36"/>
      <c r="C17" s="77">
        <v>9</v>
      </c>
      <c r="D17" s="144">
        <v>2974</v>
      </c>
      <c r="E17" s="144">
        <v>1391</v>
      </c>
      <c r="F17" s="146">
        <v>1391</v>
      </c>
      <c r="G17" s="36"/>
      <c r="H17" s="36"/>
      <c r="I17" s="36"/>
      <c r="J17" s="36"/>
      <c r="K17" s="40"/>
      <c r="L17" s="14"/>
      <c r="M17" s="61">
        <v>15</v>
      </c>
      <c r="N17" s="141">
        <v>691</v>
      </c>
      <c r="O17" s="141">
        <v>598</v>
      </c>
      <c r="P17" s="134">
        <v>0.75253256150506509</v>
      </c>
      <c r="Q17" s="100">
        <v>4</v>
      </c>
      <c r="W17" s="13"/>
      <c r="X17" s="13"/>
      <c r="Y17" s="13"/>
      <c r="Z17" s="14"/>
      <c r="AA17" s="13"/>
    </row>
    <row r="18" spans="1:27" x14ac:dyDescent="0.3">
      <c r="A18" s="45"/>
      <c r="B18" s="36"/>
      <c r="C18" s="77">
        <v>10</v>
      </c>
      <c r="D18" s="144">
        <v>160</v>
      </c>
      <c r="E18" s="144">
        <v>163</v>
      </c>
      <c r="F18" s="146">
        <v>141</v>
      </c>
      <c r="G18" s="36"/>
      <c r="H18" s="36"/>
      <c r="I18" s="36"/>
      <c r="J18" s="36"/>
      <c r="K18" s="40"/>
      <c r="L18" s="14"/>
      <c r="M18" s="61">
        <v>7</v>
      </c>
      <c r="N18" s="141">
        <v>1178</v>
      </c>
      <c r="O18" s="141">
        <v>1008</v>
      </c>
      <c r="P18" s="134">
        <v>0.7699490662139219</v>
      </c>
      <c r="Q18" s="100">
        <v>5</v>
      </c>
      <c r="W18" s="13"/>
      <c r="X18" s="13"/>
      <c r="Y18" s="13"/>
      <c r="Z18" s="14"/>
      <c r="AA18" s="13"/>
    </row>
    <row r="19" spans="1:27" ht="15" customHeight="1" x14ac:dyDescent="0.3">
      <c r="A19" s="45"/>
      <c r="B19" s="36"/>
      <c r="C19" s="77">
        <v>11</v>
      </c>
      <c r="D19" s="144">
        <v>1083</v>
      </c>
      <c r="E19" s="144">
        <v>572</v>
      </c>
      <c r="F19" s="146">
        <v>492</v>
      </c>
      <c r="G19" s="36"/>
      <c r="H19" s="36"/>
      <c r="I19" s="36"/>
      <c r="J19" s="36"/>
      <c r="K19" s="40"/>
      <c r="L19" s="14"/>
      <c r="M19" s="61">
        <v>14</v>
      </c>
      <c r="N19" s="141">
        <v>1183</v>
      </c>
      <c r="O19" s="141">
        <v>1131</v>
      </c>
      <c r="P19" s="134">
        <v>0.81234150464919697</v>
      </c>
      <c r="Q19" s="100">
        <v>5</v>
      </c>
      <c r="W19" s="13"/>
      <c r="X19" s="13"/>
      <c r="Y19" s="13"/>
      <c r="Z19" s="14"/>
      <c r="AA19" s="13"/>
    </row>
    <row r="20" spans="1:27" x14ac:dyDescent="0.3">
      <c r="A20" s="45"/>
      <c r="B20" s="36"/>
      <c r="C20" s="77">
        <v>12</v>
      </c>
      <c r="D20" s="144">
        <v>3691</v>
      </c>
      <c r="E20" s="144">
        <v>1950</v>
      </c>
      <c r="F20" s="146">
        <v>1794</v>
      </c>
      <c r="G20" s="36"/>
      <c r="H20" s="36"/>
      <c r="I20" s="36"/>
      <c r="J20" s="36"/>
      <c r="K20" s="40"/>
      <c r="L20" s="14"/>
      <c r="M20" s="61">
        <v>16</v>
      </c>
      <c r="N20" s="141">
        <v>2175</v>
      </c>
      <c r="O20" s="141">
        <v>1937</v>
      </c>
      <c r="P20" s="134">
        <v>0.81931034482758625</v>
      </c>
      <c r="Q20" s="100">
        <v>5</v>
      </c>
      <c r="W20" s="13"/>
      <c r="X20" s="13"/>
      <c r="Y20" s="13"/>
      <c r="Z20" s="14"/>
      <c r="AA20" s="13"/>
    </row>
    <row r="21" spans="1:27" x14ac:dyDescent="0.3">
      <c r="A21" s="45"/>
      <c r="B21" s="36"/>
      <c r="C21" s="77">
        <v>13</v>
      </c>
      <c r="D21" s="144">
        <v>1005</v>
      </c>
      <c r="E21" s="144">
        <v>975</v>
      </c>
      <c r="F21" s="146">
        <v>1004</v>
      </c>
      <c r="G21" s="36"/>
      <c r="H21" s="36"/>
      <c r="I21" s="36"/>
      <c r="J21" s="36"/>
      <c r="K21" s="40"/>
      <c r="L21" s="14"/>
      <c r="M21" s="61">
        <v>25</v>
      </c>
      <c r="N21" s="141">
        <v>118</v>
      </c>
      <c r="O21" s="141">
        <v>117</v>
      </c>
      <c r="P21" s="134">
        <v>0.8728813559322034</v>
      </c>
      <c r="Q21" s="100">
        <v>6</v>
      </c>
      <c r="W21" s="13"/>
      <c r="X21" s="13"/>
      <c r="Y21" s="13"/>
      <c r="Z21" s="14"/>
      <c r="AA21" s="13"/>
    </row>
    <row r="22" spans="1:27" x14ac:dyDescent="0.3">
      <c r="A22" s="45"/>
      <c r="B22" s="36"/>
      <c r="C22" s="77">
        <v>14</v>
      </c>
      <c r="D22" s="144">
        <v>1183</v>
      </c>
      <c r="E22" s="144">
        <v>1131</v>
      </c>
      <c r="F22" s="146">
        <v>961</v>
      </c>
      <c r="G22" s="36"/>
      <c r="H22" s="36"/>
      <c r="I22" s="36"/>
      <c r="J22" s="36"/>
      <c r="K22" s="40"/>
      <c r="L22" s="14"/>
      <c r="M22" s="61">
        <v>18</v>
      </c>
      <c r="N22" s="141">
        <v>1738</v>
      </c>
      <c r="O22" s="141">
        <v>1430</v>
      </c>
      <c r="P22" s="134">
        <v>0.88032220943613348</v>
      </c>
      <c r="Q22" s="100">
        <v>6</v>
      </c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3">
      <c r="A23" s="45"/>
      <c r="B23" s="36"/>
      <c r="C23" s="77">
        <v>15</v>
      </c>
      <c r="D23" s="144">
        <v>691</v>
      </c>
      <c r="E23" s="144">
        <v>598</v>
      </c>
      <c r="F23" s="146">
        <v>520</v>
      </c>
      <c r="G23" s="36"/>
      <c r="H23" s="36"/>
      <c r="I23" s="36"/>
      <c r="J23" s="36"/>
      <c r="K23" s="40"/>
      <c r="L23" s="14"/>
      <c r="M23" s="61">
        <v>10</v>
      </c>
      <c r="N23" s="141">
        <v>160</v>
      </c>
      <c r="O23" s="141">
        <v>163</v>
      </c>
      <c r="P23" s="134">
        <v>0.88124999999999998</v>
      </c>
      <c r="Q23" s="100">
        <v>6</v>
      </c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3">
      <c r="A24" s="45"/>
      <c r="B24" s="36"/>
      <c r="C24" s="77">
        <v>16</v>
      </c>
      <c r="D24" s="144">
        <v>2175</v>
      </c>
      <c r="E24" s="144">
        <v>1937</v>
      </c>
      <c r="F24" s="146">
        <v>1782</v>
      </c>
      <c r="G24" s="36"/>
      <c r="H24" s="36"/>
      <c r="I24" s="36"/>
      <c r="J24" s="36"/>
      <c r="K24" s="40"/>
      <c r="L24" s="14"/>
      <c r="M24" s="61">
        <v>2</v>
      </c>
      <c r="N24" s="141">
        <v>1754</v>
      </c>
      <c r="O24" s="141">
        <v>1443</v>
      </c>
      <c r="P24" s="134">
        <v>0.88825541619156212</v>
      </c>
      <c r="Q24" s="100">
        <v>7</v>
      </c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3">
      <c r="A25" s="45"/>
      <c r="B25" s="36"/>
      <c r="C25" s="77">
        <v>17</v>
      </c>
      <c r="D25" s="144">
        <v>1782</v>
      </c>
      <c r="E25" s="144">
        <v>1781</v>
      </c>
      <c r="F25" s="146">
        <v>1781</v>
      </c>
      <c r="G25" s="36"/>
      <c r="H25" s="36"/>
      <c r="I25" s="36"/>
      <c r="J25" s="36"/>
      <c r="K25" s="40"/>
      <c r="L25" s="14"/>
      <c r="M25" s="61">
        <v>19</v>
      </c>
      <c r="N25" s="141">
        <v>1435</v>
      </c>
      <c r="O25" s="141">
        <v>1352</v>
      </c>
      <c r="P25" s="134">
        <v>0.89477351916376302</v>
      </c>
      <c r="Q25" s="100">
        <v>7</v>
      </c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3">
      <c r="A26" s="45"/>
      <c r="B26" s="36"/>
      <c r="C26" s="77">
        <v>18</v>
      </c>
      <c r="D26" s="144">
        <v>1738</v>
      </c>
      <c r="E26" s="144">
        <v>1430</v>
      </c>
      <c r="F26" s="146">
        <v>1530</v>
      </c>
      <c r="G26" s="36"/>
      <c r="H26" s="36"/>
      <c r="I26" s="36"/>
      <c r="J26" s="36"/>
      <c r="K26" s="40"/>
      <c r="L26" s="14"/>
      <c r="M26" s="61">
        <v>29</v>
      </c>
      <c r="N26" s="141">
        <v>392</v>
      </c>
      <c r="O26" s="141">
        <v>345</v>
      </c>
      <c r="P26" s="134">
        <v>0.89540816326530615</v>
      </c>
      <c r="Q26" s="100">
        <v>7</v>
      </c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3">
      <c r="A27" s="45"/>
      <c r="B27" s="36"/>
      <c r="C27" s="77">
        <v>19</v>
      </c>
      <c r="D27" s="144">
        <v>1435</v>
      </c>
      <c r="E27" s="144">
        <v>1352</v>
      </c>
      <c r="F27" s="146">
        <v>1284</v>
      </c>
      <c r="G27" s="36"/>
      <c r="H27" s="36"/>
      <c r="I27" s="36"/>
      <c r="J27" s="36"/>
      <c r="K27" s="40"/>
      <c r="L27" s="14"/>
      <c r="M27" s="61">
        <v>27</v>
      </c>
      <c r="N27" s="141">
        <v>211</v>
      </c>
      <c r="O27" s="141">
        <v>182</v>
      </c>
      <c r="P27" s="134">
        <v>0.89573459715639814</v>
      </c>
      <c r="Q27" s="100">
        <v>8</v>
      </c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3">
      <c r="A28" s="45"/>
      <c r="B28" s="36"/>
      <c r="C28" s="77">
        <v>20</v>
      </c>
      <c r="D28" s="144">
        <v>2298</v>
      </c>
      <c r="E28" s="144">
        <v>1892</v>
      </c>
      <c r="F28" s="146">
        <v>2175</v>
      </c>
      <c r="G28" s="36"/>
      <c r="H28" s="36"/>
      <c r="I28" s="36"/>
      <c r="J28" s="36"/>
      <c r="K28" s="40"/>
      <c r="L28" s="14"/>
      <c r="M28" s="61">
        <v>3</v>
      </c>
      <c r="N28" s="141">
        <v>158</v>
      </c>
      <c r="O28" s="141">
        <v>169</v>
      </c>
      <c r="P28" s="134">
        <v>0.930379746835443</v>
      </c>
      <c r="Q28" s="100">
        <v>8</v>
      </c>
      <c r="T28" s="13"/>
      <c r="U28" s="13"/>
      <c r="V28" s="13"/>
      <c r="W28" s="13"/>
      <c r="X28" s="13"/>
      <c r="Y28" s="13"/>
      <c r="Z28" s="14"/>
      <c r="AA28" s="13"/>
    </row>
    <row r="29" spans="1:27" x14ac:dyDescent="0.3">
      <c r="A29" s="45"/>
      <c r="B29" s="36"/>
      <c r="C29" s="77">
        <v>21</v>
      </c>
      <c r="D29" s="144">
        <v>2880</v>
      </c>
      <c r="E29" s="144">
        <v>1463</v>
      </c>
      <c r="F29" s="146">
        <v>1638</v>
      </c>
      <c r="G29" s="36"/>
      <c r="H29" s="36"/>
      <c r="I29" s="36"/>
      <c r="J29" s="36"/>
      <c r="K29" s="40"/>
      <c r="L29" s="14"/>
      <c r="M29" s="61">
        <v>20</v>
      </c>
      <c r="N29" s="141">
        <v>2298</v>
      </c>
      <c r="O29" s="141">
        <v>1892</v>
      </c>
      <c r="P29" s="134">
        <v>0.94647519582245432</v>
      </c>
      <c r="Q29" s="100">
        <v>8</v>
      </c>
      <c r="T29" s="13"/>
      <c r="U29" s="13"/>
      <c r="V29" s="13"/>
      <c r="W29" s="13"/>
      <c r="X29" s="13"/>
      <c r="Y29" s="13"/>
      <c r="Z29" s="14"/>
      <c r="AA29" s="13"/>
    </row>
    <row r="30" spans="1:27" x14ac:dyDescent="0.3">
      <c r="A30" s="45"/>
      <c r="B30" s="36"/>
      <c r="C30" s="77">
        <v>22</v>
      </c>
      <c r="D30" s="144">
        <v>1594</v>
      </c>
      <c r="E30" s="144">
        <v>774</v>
      </c>
      <c r="F30" s="146">
        <v>696</v>
      </c>
      <c r="G30" s="36"/>
      <c r="H30" s="36"/>
      <c r="I30" s="36"/>
      <c r="J30" s="36"/>
      <c r="K30" s="40"/>
      <c r="L30" s="14"/>
      <c r="M30" s="61">
        <v>6</v>
      </c>
      <c r="N30" s="141">
        <v>1366</v>
      </c>
      <c r="O30" s="141">
        <v>1326</v>
      </c>
      <c r="P30" s="134">
        <v>0.96120058565153732</v>
      </c>
      <c r="Q30" s="100">
        <v>9</v>
      </c>
      <c r="T30" s="13"/>
      <c r="U30" s="13"/>
      <c r="V30" s="13"/>
      <c r="W30" s="13"/>
      <c r="X30" s="13"/>
      <c r="Y30" s="13"/>
      <c r="Z30" s="14"/>
      <c r="AA30" s="13"/>
    </row>
    <row r="31" spans="1:27" x14ac:dyDescent="0.3">
      <c r="A31" s="45"/>
      <c r="B31" s="36"/>
      <c r="C31" s="77">
        <v>23</v>
      </c>
      <c r="D31" s="144">
        <v>1677</v>
      </c>
      <c r="E31" s="144">
        <v>1651</v>
      </c>
      <c r="F31" s="146">
        <v>1866</v>
      </c>
      <c r="G31" s="36"/>
      <c r="H31" s="36"/>
      <c r="I31" s="36"/>
      <c r="J31" s="36"/>
      <c r="K31" s="40"/>
      <c r="L31" s="14"/>
      <c r="M31" s="61">
        <v>13</v>
      </c>
      <c r="N31" s="141">
        <v>1005</v>
      </c>
      <c r="O31" s="141">
        <v>975</v>
      </c>
      <c r="P31" s="134">
        <v>0.99900497512437814</v>
      </c>
      <c r="Q31" s="100">
        <v>9</v>
      </c>
      <c r="T31" s="13"/>
      <c r="U31" s="13"/>
      <c r="V31" s="13"/>
      <c r="W31" s="13"/>
      <c r="X31" s="13"/>
      <c r="Y31" s="13"/>
      <c r="Z31" s="14"/>
      <c r="AA31" s="13"/>
    </row>
    <row r="32" spans="1:27" x14ac:dyDescent="0.3">
      <c r="A32" s="45"/>
      <c r="B32" s="36"/>
      <c r="C32" s="77">
        <v>24</v>
      </c>
      <c r="D32" s="144">
        <v>877</v>
      </c>
      <c r="E32" s="144">
        <v>826</v>
      </c>
      <c r="F32" s="146">
        <v>925</v>
      </c>
      <c r="G32" s="36"/>
      <c r="H32" s="36"/>
      <c r="I32" s="36"/>
      <c r="J32" s="36"/>
      <c r="K32" s="40"/>
      <c r="L32" s="14"/>
      <c r="M32" s="61">
        <v>17</v>
      </c>
      <c r="N32" s="141">
        <v>1782</v>
      </c>
      <c r="O32" s="141">
        <v>1781</v>
      </c>
      <c r="P32" s="134">
        <v>0.99943883277216605</v>
      </c>
      <c r="Q32" s="100">
        <v>9</v>
      </c>
      <c r="T32" s="13"/>
      <c r="U32" s="13"/>
      <c r="V32" s="13"/>
      <c r="W32" s="13"/>
      <c r="X32" s="13"/>
      <c r="Y32" s="13"/>
      <c r="Z32" s="14"/>
      <c r="AA32" s="13"/>
    </row>
    <row r="33" spans="1:27" x14ac:dyDescent="0.3">
      <c r="A33" s="45"/>
      <c r="B33" s="36"/>
      <c r="C33" s="77">
        <v>25</v>
      </c>
      <c r="D33" s="144">
        <v>118</v>
      </c>
      <c r="E33" s="144">
        <v>117</v>
      </c>
      <c r="F33" s="146">
        <v>103</v>
      </c>
      <c r="G33" s="36"/>
      <c r="H33" s="36"/>
      <c r="I33" s="36"/>
      <c r="J33" s="36"/>
      <c r="K33" s="40"/>
      <c r="L33" s="14"/>
      <c r="M33" s="61">
        <v>24</v>
      </c>
      <c r="N33" s="141">
        <v>877</v>
      </c>
      <c r="O33" s="141">
        <v>826</v>
      </c>
      <c r="P33" s="134">
        <v>1.0547320410490308</v>
      </c>
      <c r="Q33" s="100">
        <v>10</v>
      </c>
      <c r="T33" s="13"/>
      <c r="U33" s="13"/>
      <c r="V33" s="13"/>
      <c r="W33" s="13"/>
      <c r="X33" s="13"/>
      <c r="Y33" s="13"/>
      <c r="Z33" s="14"/>
      <c r="AA33" s="13"/>
    </row>
    <row r="34" spans="1:27" x14ac:dyDescent="0.3">
      <c r="A34" s="45"/>
      <c r="B34" s="36"/>
      <c r="C34" s="77">
        <v>26</v>
      </c>
      <c r="D34" s="144">
        <v>2915</v>
      </c>
      <c r="E34" s="144">
        <v>1554</v>
      </c>
      <c r="F34" s="146">
        <v>1460</v>
      </c>
      <c r="G34" s="36"/>
      <c r="H34" s="36"/>
      <c r="I34" s="36"/>
      <c r="J34" s="36"/>
      <c r="K34" s="40"/>
      <c r="L34" s="14"/>
      <c r="M34" s="61">
        <v>23</v>
      </c>
      <c r="N34" s="141">
        <v>1677</v>
      </c>
      <c r="O34" s="141">
        <v>1651</v>
      </c>
      <c r="P34" s="134">
        <v>1.1127012522361359</v>
      </c>
      <c r="Q34" s="100">
        <v>10</v>
      </c>
      <c r="S34" t="s">
        <v>331</v>
      </c>
      <c r="T34" s="13"/>
      <c r="U34" s="13"/>
      <c r="V34" s="13"/>
      <c r="W34" s="13"/>
      <c r="X34" s="13"/>
      <c r="Y34" s="13"/>
      <c r="Z34" s="14"/>
      <c r="AA34" s="13"/>
    </row>
    <row r="35" spans="1:27" x14ac:dyDescent="0.3">
      <c r="A35" s="45"/>
      <c r="B35" s="36"/>
      <c r="C35" s="77">
        <v>27</v>
      </c>
      <c r="D35" s="144">
        <v>211</v>
      </c>
      <c r="E35" s="144">
        <v>182</v>
      </c>
      <c r="F35" s="146">
        <v>189</v>
      </c>
      <c r="G35" s="36"/>
      <c r="H35" s="36"/>
      <c r="I35" s="36"/>
      <c r="J35" s="36"/>
      <c r="K35" s="40"/>
      <c r="L35" s="14"/>
      <c r="M35" s="65">
        <v>28</v>
      </c>
      <c r="N35" s="142">
        <v>1458</v>
      </c>
      <c r="O35" s="142">
        <v>1554</v>
      </c>
      <c r="P35" s="136">
        <v>1.1296296296296295</v>
      </c>
      <c r="Q35" s="67">
        <v>10</v>
      </c>
      <c r="S35" t="s">
        <v>332</v>
      </c>
      <c r="T35" s="13"/>
      <c r="U35" s="13"/>
      <c r="V35" s="13"/>
      <c r="W35" s="13"/>
      <c r="X35" s="13"/>
      <c r="Y35" s="13"/>
      <c r="Z35" s="14"/>
      <c r="AA35" s="13"/>
    </row>
    <row r="36" spans="1:27" x14ac:dyDescent="0.3">
      <c r="A36" s="45"/>
      <c r="B36" s="36"/>
      <c r="C36" s="77">
        <v>28</v>
      </c>
      <c r="D36" s="144">
        <v>1458</v>
      </c>
      <c r="E36" s="144">
        <v>1554</v>
      </c>
      <c r="F36" s="146">
        <v>1647</v>
      </c>
      <c r="G36" s="36"/>
      <c r="H36" s="36"/>
      <c r="I36" s="36"/>
      <c r="J36" s="36"/>
      <c r="K36" s="40"/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3">
      <c r="A37" s="45"/>
      <c r="B37" s="36"/>
      <c r="C37" s="77">
        <v>29</v>
      </c>
      <c r="D37" s="144">
        <v>392</v>
      </c>
      <c r="E37" s="144">
        <v>345</v>
      </c>
      <c r="F37" s="146">
        <v>351</v>
      </c>
      <c r="G37" s="36"/>
      <c r="H37" s="36"/>
      <c r="I37" s="36"/>
      <c r="J37" s="36"/>
      <c r="K37" s="40"/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3">
      <c r="A38" s="45"/>
      <c r="B38" s="36"/>
      <c r="C38" s="82">
        <v>30</v>
      </c>
      <c r="D38" s="147">
        <v>1663</v>
      </c>
      <c r="E38" s="147">
        <v>813</v>
      </c>
      <c r="F38" s="148">
        <v>837</v>
      </c>
      <c r="G38" s="36"/>
      <c r="H38" s="36"/>
      <c r="I38" s="36"/>
      <c r="J38" s="36"/>
      <c r="K38" s="40"/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3">
      <c r="A39" s="38"/>
      <c r="B39" s="39"/>
      <c r="C39" s="36"/>
      <c r="D39" s="36"/>
      <c r="E39" s="36"/>
      <c r="F39" s="36"/>
      <c r="G39" s="36"/>
      <c r="H39" s="36"/>
      <c r="I39" s="36"/>
      <c r="J39" s="36"/>
      <c r="K39" s="40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3">
      <c r="A40" s="35" t="s">
        <v>173</v>
      </c>
      <c r="B40" s="36"/>
      <c r="C40" s="36" t="s">
        <v>333</v>
      </c>
      <c r="D40" s="36"/>
      <c r="E40" s="36"/>
      <c r="F40" s="36"/>
      <c r="G40" s="36"/>
      <c r="H40" s="36"/>
      <c r="I40" s="36"/>
      <c r="J40" s="36"/>
      <c r="K40" s="37"/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3">
      <c r="A41" s="45"/>
      <c r="B41" s="36"/>
      <c r="C41" s="36" t="s">
        <v>334</v>
      </c>
      <c r="D41" s="36"/>
      <c r="E41" s="36"/>
      <c r="F41" s="36"/>
      <c r="G41" s="36"/>
      <c r="H41" s="36"/>
      <c r="I41" s="36"/>
      <c r="J41" s="36"/>
      <c r="K41" s="37"/>
      <c r="L41" s="14"/>
      <c r="T41" s="13"/>
      <c r="U41" s="13"/>
      <c r="V41" s="13"/>
      <c r="W41" s="13"/>
      <c r="X41" s="13"/>
      <c r="Y41" s="13"/>
      <c r="Z41" s="14"/>
      <c r="AA41" s="13"/>
    </row>
    <row r="42" spans="1:27" ht="15" thickBot="1" x14ac:dyDescent="0.3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3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3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3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3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3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3">
      <c r="L48" s="14"/>
      <c r="T48" s="13"/>
      <c r="U48" s="13"/>
      <c r="V48" s="13"/>
      <c r="W48" s="13"/>
      <c r="X48" s="13"/>
      <c r="Y48" s="13"/>
      <c r="Z48" s="14"/>
      <c r="AA48" s="13"/>
    </row>
    <row r="49" spans="12:27" x14ac:dyDescent="0.3">
      <c r="L49" s="14"/>
      <c r="T49" s="13"/>
      <c r="U49" s="13"/>
      <c r="V49" s="13"/>
      <c r="W49" s="13"/>
      <c r="X49" s="13"/>
      <c r="Y49" s="13"/>
      <c r="Z49" s="14"/>
      <c r="AA49" s="13"/>
    </row>
    <row r="153" spans="3:26" x14ac:dyDescent="0.3">
      <c r="C153" s="13"/>
      <c r="D153" s="13"/>
      <c r="E153" s="13"/>
      <c r="F153" s="13"/>
      <c r="G153" s="13"/>
      <c r="H153" s="13"/>
      <c r="I153" s="13"/>
      <c r="J153" s="13"/>
      <c r="K153" s="13"/>
      <c r="L153" s="14"/>
      <c r="Z153" s="14"/>
    </row>
    <row r="154" spans="3:26" x14ac:dyDescent="0.3">
      <c r="L154" s="14"/>
      <c r="Z154" s="14"/>
    </row>
    <row r="155" spans="3:26" x14ac:dyDescent="0.3">
      <c r="L155" s="14"/>
      <c r="Z155" s="14"/>
    </row>
    <row r="156" spans="3:26" x14ac:dyDescent="0.3">
      <c r="L156" s="14"/>
      <c r="Z156" s="14"/>
    </row>
    <row r="157" spans="3:26" x14ac:dyDescent="0.3">
      <c r="L157" s="14"/>
      <c r="Z157" s="14"/>
    </row>
    <row r="158" spans="3:26" x14ac:dyDescent="0.3">
      <c r="L158" s="14"/>
      <c r="Z158" s="14"/>
    </row>
  </sheetData>
  <mergeCells count="1">
    <mergeCell ref="J1:K1"/>
  </mergeCells>
  <hyperlinks>
    <hyperlink ref="J1" location="TOC!A1" display="Return to TOC" xr:uid="{7C713BBC-A848-4DF9-A83C-52DE4EC9042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1CD5-53D9-4105-8400-646FDAF50F2A}">
  <sheetPr codeName="Sheet40"/>
  <dimension ref="A1:Z130"/>
  <sheetViews>
    <sheetView zoomScaleNormal="100" workbookViewId="0"/>
  </sheetViews>
  <sheetFormatPr defaultColWidth="9.109375" defaultRowHeight="14.4" x14ac:dyDescent="0.3"/>
  <cols>
    <col min="1" max="1" width="10.6640625" customWidth="1"/>
    <col min="2" max="2" width="4.6640625" customWidth="1"/>
    <col min="3" max="3" width="8.6640625" customWidth="1"/>
    <col min="4" max="4" width="14.6640625" customWidth="1"/>
    <col min="5" max="5" width="19.88671875" customWidth="1"/>
    <col min="6" max="6" width="17.33203125" customWidth="1"/>
    <col min="7" max="7" width="12.5546875" bestFit="1" customWidth="1"/>
    <col min="9" max="9" width="9.109375" customWidth="1"/>
    <col min="10" max="10" width="12.109375" customWidth="1"/>
    <col min="11" max="11" width="2.6640625" customWidth="1"/>
    <col min="12" max="12" width="7.33203125" customWidth="1"/>
    <col min="13" max="13" width="9.5546875" customWidth="1"/>
    <col min="14" max="14" width="12.33203125" customWidth="1"/>
    <col min="15" max="15" width="19.88671875" customWidth="1"/>
    <col min="16" max="16" width="12" bestFit="1" customWidth="1"/>
    <col min="17" max="17" width="13.88671875" customWidth="1"/>
    <col min="18" max="24" width="5.6640625" customWidth="1"/>
  </cols>
  <sheetData>
    <row r="1" spans="1:26" x14ac:dyDescent="0.3">
      <c r="A1" s="32" t="s">
        <v>137</v>
      </c>
      <c r="B1" s="33"/>
      <c r="C1" s="33" t="s">
        <v>30</v>
      </c>
      <c r="D1" s="34"/>
      <c r="E1" s="33"/>
      <c r="F1" s="33"/>
      <c r="G1" s="33"/>
      <c r="H1" s="33"/>
      <c r="I1" s="772" t="s">
        <v>199</v>
      </c>
      <c r="J1" s="773"/>
      <c r="K1" s="10"/>
      <c r="L1" s="12" t="s">
        <v>140</v>
      </c>
      <c r="O1" s="11"/>
      <c r="Y1" s="10"/>
    </row>
    <row r="2" spans="1:26" x14ac:dyDescent="0.3">
      <c r="A2" s="35" t="s">
        <v>138</v>
      </c>
      <c r="B2" s="36"/>
      <c r="C2" s="36" t="s">
        <v>267</v>
      </c>
      <c r="D2" s="36"/>
      <c r="E2" s="36"/>
      <c r="F2" s="36"/>
      <c r="G2" s="36"/>
      <c r="H2" s="36"/>
      <c r="I2" s="36"/>
      <c r="J2" s="37"/>
      <c r="K2" s="10"/>
      <c r="Y2" s="10"/>
    </row>
    <row r="3" spans="1:26" x14ac:dyDescent="0.3">
      <c r="A3" s="35" t="s">
        <v>141</v>
      </c>
      <c r="B3" s="36"/>
      <c r="C3" s="36" t="s">
        <v>336</v>
      </c>
      <c r="D3" s="36"/>
      <c r="E3" s="36"/>
      <c r="F3" s="36"/>
      <c r="G3" s="36"/>
      <c r="H3" s="36"/>
      <c r="I3" s="36"/>
      <c r="J3" s="37"/>
      <c r="K3" s="10"/>
      <c r="M3" s="58" t="s">
        <v>337</v>
      </c>
      <c r="N3" s="58" t="s">
        <v>338</v>
      </c>
      <c r="O3" s="58" t="s">
        <v>339</v>
      </c>
      <c r="P3" s="59" t="s">
        <v>340</v>
      </c>
      <c r="Q3" s="60"/>
      <c r="Y3" s="10"/>
    </row>
    <row r="4" spans="1:26" x14ac:dyDescent="0.3">
      <c r="A4" s="35"/>
      <c r="B4" s="36"/>
      <c r="C4" s="36"/>
      <c r="D4" s="36"/>
      <c r="E4" s="36"/>
      <c r="F4" s="36"/>
      <c r="G4" s="36"/>
      <c r="H4" s="36"/>
      <c r="I4" s="36"/>
      <c r="J4" s="37"/>
      <c r="K4" s="10"/>
      <c r="M4" s="149" t="s">
        <v>341</v>
      </c>
      <c r="N4" s="149" t="s">
        <v>342</v>
      </c>
      <c r="O4" s="149" t="s">
        <v>343</v>
      </c>
      <c r="P4" s="150">
        <f>B11</f>
        <v>0.3</v>
      </c>
      <c r="Q4" s="151">
        <f>B12</f>
        <v>0.55000000000000004</v>
      </c>
      <c r="Y4" s="10"/>
    </row>
    <row r="5" spans="1:26" x14ac:dyDescent="0.3">
      <c r="A5" s="38"/>
      <c r="B5" s="39"/>
      <c r="C5" s="39"/>
      <c r="D5" s="39"/>
      <c r="E5" s="39"/>
      <c r="F5" s="39"/>
      <c r="G5" s="39"/>
      <c r="H5" s="39"/>
      <c r="I5" s="39"/>
      <c r="J5" s="40"/>
      <c r="K5" s="14"/>
      <c r="M5" s="63">
        <f t="shared" ref="M5:M16" si="0">C11</f>
        <v>1</v>
      </c>
      <c r="N5" s="17" t="str">
        <f t="shared" ref="N5:N16" si="1">D11</f>
        <v>Y</v>
      </c>
      <c r="O5" s="152">
        <f t="shared" ref="O5:O16" si="2">E11</f>
        <v>0.96</v>
      </c>
      <c r="P5" s="153" t="str">
        <f t="shared" ref="P5:P16" si="3">IF(AND(N5="Y",O5&gt;=$P$4),"TP",IF(AND(N5="Y",O5&lt;$P$4),"FN",IF(AND(N5="N",O5&gt;=$P$4),"FP","TN")))</f>
        <v>TP</v>
      </c>
      <c r="Q5" s="154" t="str">
        <f t="shared" ref="Q5:Q16" si="4">IF(AND(N5="Y",O5&gt;=$Q$4),"TP",IF(AND(N5="Y",O5&lt;$Q$4),"FN",IF(AND(N5="N",O5&gt;=$Q$4),"FP","TN")))</f>
        <v>TP</v>
      </c>
      <c r="V5" s="13"/>
      <c r="W5" s="13"/>
      <c r="X5" s="13"/>
      <c r="Y5" s="14"/>
      <c r="Z5" s="13"/>
    </row>
    <row r="6" spans="1:26" ht="15" customHeight="1" x14ac:dyDescent="0.3">
      <c r="A6" s="41" t="s">
        <v>144</v>
      </c>
      <c r="B6" s="36"/>
      <c r="C6" s="36" t="s">
        <v>344</v>
      </c>
      <c r="D6" s="36"/>
      <c r="E6" s="36"/>
      <c r="F6" s="36"/>
      <c r="G6" s="36"/>
      <c r="H6" s="36"/>
      <c r="I6" s="36"/>
      <c r="J6" s="37"/>
      <c r="K6" s="14"/>
      <c r="M6" s="61">
        <f t="shared" si="0"/>
        <v>2</v>
      </c>
      <c r="N6" s="20" t="str">
        <f t="shared" si="1"/>
        <v>N</v>
      </c>
      <c r="O6" s="155">
        <f t="shared" si="2"/>
        <v>0.13</v>
      </c>
      <c r="P6" s="156" t="str">
        <f t="shared" si="3"/>
        <v>TN</v>
      </c>
      <c r="Q6" s="157" t="str">
        <f t="shared" si="4"/>
        <v>TN</v>
      </c>
      <c r="V6" s="13"/>
      <c r="W6" s="13"/>
      <c r="X6" s="13"/>
      <c r="Y6" s="14"/>
      <c r="Z6" s="13"/>
    </row>
    <row r="7" spans="1:26" x14ac:dyDescent="0.3">
      <c r="A7" s="45"/>
      <c r="B7" s="36"/>
      <c r="C7" s="36" t="s">
        <v>345</v>
      </c>
      <c r="D7" s="36"/>
      <c r="E7" s="36"/>
      <c r="F7" s="36"/>
      <c r="G7" s="36"/>
      <c r="H7" s="36"/>
      <c r="I7" s="36"/>
      <c r="J7" s="37"/>
      <c r="K7" s="14"/>
      <c r="M7" s="61">
        <f t="shared" si="0"/>
        <v>3</v>
      </c>
      <c r="N7" s="20" t="str">
        <f t="shared" si="1"/>
        <v>Y</v>
      </c>
      <c r="O7" s="155">
        <f t="shared" si="2"/>
        <v>0.37</v>
      </c>
      <c r="P7" s="156" t="str">
        <f t="shared" si="3"/>
        <v>TP</v>
      </c>
      <c r="Q7" s="157" t="str">
        <f t="shared" si="4"/>
        <v>FN</v>
      </c>
      <c r="V7" s="13"/>
      <c r="W7" s="13"/>
      <c r="X7" s="13"/>
      <c r="Y7" s="14"/>
      <c r="Z7" s="13"/>
    </row>
    <row r="8" spans="1:26" ht="15" customHeight="1" x14ac:dyDescent="0.3">
      <c r="A8" s="45"/>
      <c r="B8" s="36"/>
      <c r="C8" s="36"/>
      <c r="D8" s="36"/>
      <c r="E8" s="36"/>
      <c r="F8" s="36"/>
      <c r="G8" s="36"/>
      <c r="H8" s="36"/>
      <c r="I8" s="36"/>
      <c r="J8" s="37"/>
      <c r="K8" s="14"/>
      <c r="M8" s="61">
        <f t="shared" si="0"/>
        <v>4</v>
      </c>
      <c r="N8" s="20" t="str">
        <f t="shared" si="1"/>
        <v>N</v>
      </c>
      <c r="O8" s="155">
        <f t="shared" si="2"/>
        <v>0.52</v>
      </c>
      <c r="P8" s="156" t="str">
        <f t="shared" si="3"/>
        <v>FP</v>
      </c>
      <c r="Q8" s="157" t="str">
        <f t="shared" si="4"/>
        <v>TN</v>
      </c>
      <c r="V8" s="13"/>
      <c r="W8" s="13"/>
      <c r="X8" s="13"/>
      <c r="Y8" s="14"/>
      <c r="Z8" s="13"/>
    </row>
    <row r="9" spans="1:26" x14ac:dyDescent="0.3">
      <c r="A9" s="45"/>
      <c r="B9" s="36"/>
      <c r="C9" s="80" t="s">
        <v>337</v>
      </c>
      <c r="D9" s="17" t="s">
        <v>346</v>
      </c>
      <c r="E9" s="176" t="s">
        <v>339</v>
      </c>
      <c r="F9" s="177"/>
      <c r="G9" s="177"/>
      <c r="H9" s="177"/>
      <c r="I9" s="36"/>
      <c r="J9" s="37"/>
      <c r="K9" s="14"/>
      <c r="M9" s="61">
        <f t="shared" si="0"/>
        <v>5</v>
      </c>
      <c r="N9" s="20" t="str">
        <f t="shared" si="1"/>
        <v>N</v>
      </c>
      <c r="O9" s="155">
        <f t="shared" si="2"/>
        <v>0.96</v>
      </c>
      <c r="P9" s="156" t="str">
        <f t="shared" si="3"/>
        <v>FP</v>
      </c>
      <c r="Q9" s="157" t="str">
        <f t="shared" si="4"/>
        <v>FP</v>
      </c>
      <c r="V9" s="13"/>
      <c r="W9" s="13"/>
      <c r="X9" s="13"/>
      <c r="Y9" s="14"/>
      <c r="Z9" s="13"/>
    </row>
    <row r="10" spans="1:26" x14ac:dyDescent="0.3">
      <c r="A10" s="41"/>
      <c r="B10" s="39"/>
      <c r="C10" s="178" t="s">
        <v>341</v>
      </c>
      <c r="D10" s="179" t="s">
        <v>347</v>
      </c>
      <c r="E10" s="180" t="s">
        <v>343</v>
      </c>
      <c r="F10" s="181"/>
      <c r="G10" s="181"/>
      <c r="H10" s="182"/>
      <c r="I10" s="36"/>
      <c r="J10" s="37"/>
      <c r="K10" s="14"/>
      <c r="M10" s="61">
        <f t="shared" si="0"/>
        <v>6</v>
      </c>
      <c r="N10" s="20" t="str">
        <f t="shared" si="1"/>
        <v>N</v>
      </c>
      <c r="O10" s="155">
        <f t="shared" si="2"/>
        <v>0.21</v>
      </c>
      <c r="P10" s="156" t="str">
        <f t="shared" si="3"/>
        <v>TN</v>
      </c>
      <c r="Q10" s="157" t="str">
        <f t="shared" si="4"/>
        <v>TN</v>
      </c>
      <c r="V10" s="13"/>
      <c r="W10" s="13"/>
      <c r="X10" s="13"/>
      <c r="Y10" s="14"/>
      <c r="Z10" s="13"/>
    </row>
    <row r="11" spans="1:26" x14ac:dyDescent="0.3">
      <c r="A11" s="41"/>
      <c r="B11" s="183">
        <v>0.3</v>
      </c>
      <c r="C11" s="77">
        <v>1</v>
      </c>
      <c r="D11" s="20" t="s">
        <v>348</v>
      </c>
      <c r="E11" s="161">
        <v>0.96</v>
      </c>
      <c r="F11" s="181"/>
      <c r="G11" s="181"/>
      <c r="H11" s="182"/>
      <c r="I11" s="36"/>
      <c r="J11" s="37"/>
      <c r="K11" s="14"/>
      <c r="M11" s="61">
        <f t="shared" si="0"/>
        <v>7</v>
      </c>
      <c r="N11" s="20" t="str">
        <f t="shared" si="1"/>
        <v>Y</v>
      </c>
      <c r="O11" s="155">
        <f t="shared" si="2"/>
        <v>0.5</v>
      </c>
      <c r="P11" s="156" t="str">
        <f t="shared" si="3"/>
        <v>TP</v>
      </c>
      <c r="Q11" s="157" t="str">
        <f t="shared" si="4"/>
        <v>FN</v>
      </c>
      <c r="V11" s="13"/>
      <c r="W11" s="13"/>
      <c r="X11" s="13"/>
      <c r="Y11" s="14"/>
      <c r="Z11" s="13"/>
    </row>
    <row r="12" spans="1:26" x14ac:dyDescent="0.3">
      <c r="A12" s="38"/>
      <c r="B12" s="183">
        <v>0.55000000000000004</v>
      </c>
      <c r="C12" s="77">
        <f>C11+1</f>
        <v>2</v>
      </c>
      <c r="D12" s="20" t="s">
        <v>349</v>
      </c>
      <c r="E12" s="161">
        <v>0.13</v>
      </c>
      <c r="F12" s="181"/>
      <c r="G12" s="181"/>
      <c r="H12" s="182"/>
      <c r="I12" s="36"/>
      <c r="J12" s="37"/>
      <c r="K12" s="14"/>
      <c r="M12" s="61">
        <f t="shared" si="0"/>
        <v>8</v>
      </c>
      <c r="N12" s="20" t="str">
        <f t="shared" si="1"/>
        <v>N</v>
      </c>
      <c r="O12" s="155">
        <f t="shared" si="2"/>
        <v>0.28000000000000003</v>
      </c>
      <c r="P12" s="156" t="str">
        <f t="shared" si="3"/>
        <v>TN</v>
      </c>
      <c r="Q12" s="157" t="str">
        <f t="shared" si="4"/>
        <v>TN</v>
      </c>
      <c r="V12" s="13"/>
      <c r="W12" s="13"/>
      <c r="X12" s="13"/>
      <c r="Y12" s="14"/>
      <c r="Z12" s="13"/>
    </row>
    <row r="13" spans="1:26" x14ac:dyDescent="0.3">
      <c r="A13" s="38"/>
      <c r="B13" s="39"/>
      <c r="C13" s="77">
        <f t="shared" ref="C13:C22" si="5">C12+1</f>
        <v>3</v>
      </c>
      <c r="D13" s="20" t="s">
        <v>348</v>
      </c>
      <c r="E13" s="161">
        <v>0.37</v>
      </c>
      <c r="F13" s="181"/>
      <c r="G13" s="181"/>
      <c r="H13" s="182"/>
      <c r="I13" s="36"/>
      <c r="J13" s="37"/>
      <c r="K13" s="14"/>
      <c r="M13" s="61">
        <f t="shared" si="0"/>
        <v>9</v>
      </c>
      <c r="N13" s="20" t="str">
        <f t="shared" si="1"/>
        <v>N</v>
      </c>
      <c r="O13" s="155">
        <f t="shared" si="2"/>
        <v>0.79</v>
      </c>
      <c r="P13" s="156" t="str">
        <f t="shared" si="3"/>
        <v>FP</v>
      </c>
      <c r="Q13" s="157" t="str">
        <f t="shared" si="4"/>
        <v>FP</v>
      </c>
      <c r="V13" s="13"/>
      <c r="W13" s="13"/>
      <c r="X13" s="13"/>
      <c r="Y13" s="14"/>
      <c r="Z13" s="13"/>
    </row>
    <row r="14" spans="1:26" x14ac:dyDescent="0.3">
      <c r="A14" s="38"/>
      <c r="B14" s="39"/>
      <c r="C14" s="77">
        <f t="shared" si="5"/>
        <v>4</v>
      </c>
      <c r="D14" s="20" t="s">
        <v>349</v>
      </c>
      <c r="E14" s="161">
        <v>0.52</v>
      </c>
      <c r="F14" s="181"/>
      <c r="G14" s="181"/>
      <c r="H14" s="182"/>
      <c r="I14" s="36"/>
      <c r="J14" s="37"/>
      <c r="K14" s="14"/>
      <c r="M14" s="61">
        <f t="shared" si="0"/>
        <v>10</v>
      </c>
      <c r="N14" s="20" t="str">
        <f t="shared" si="1"/>
        <v>Y</v>
      </c>
      <c r="O14" s="155">
        <f t="shared" si="2"/>
        <v>0.91</v>
      </c>
      <c r="P14" s="156" t="str">
        <f t="shared" si="3"/>
        <v>TP</v>
      </c>
      <c r="Q14" s="157" t="str">
        <f t="shared" si="4"/>
        <v>TP</v>
      </c>
      <c r="V14" s="13"/>
      <c r="W14" s="13"/>
      <c r="X14" s="13"/>
      <c r="Y14" s="14"/>
      <c r="Z14" s="13"/>
    </row>
    <row r="15" spans="1:26" x14ac:dyDescent="0.3">
      <c r="A15" s="38"/>
      <c r="B15" s="39"/>
      <c r="C15" s="77">
        <f t="shared" si="5"/>
        <v>5</v>
      </c>
      <c r="D15" s="20" t="s">
        <v>349</v>
      </c>
      <c r="E15" s="161">
        <v>0.96</v>
      </c>
      <c r="F15" s="181"/>
      <c r="G15" s="181"/>
      <c r="H15" s="182"/>
      <c r="I15" s="36"/>
      <c r="J15" s="37"/>
      <c r="K15" s="14"/>
      <c r="M15" s="61">
        <f t="shared" si="0"/>
        <v>11</v>
      </c>
      <c r="N15" s="20" t="str">
        <f t="shared" si="1"/>
        <v>N</v>
      </c>
      <c r="O15" s="155">
        <f t="shared" si="2"/>
        <v>0.17</v>
      </c>
      <c r="P15" s="156" t="str">
        <f t="shared" si="3"/>
        <v>TN</v>
      </c>
      <c r="Q15" s="157" t="str">
        <f t="shared" si="4"/>
        <v>TN</v>
      </c>
      <c r="V15" s="13"/>
      <c r="W15" s="13"/>
      <c r="X15" s="13"/>
      <c r="Y15" s="14"/>
      <c r="Z15" s="13"/>
    </row>
    <row r="16" spans="1:26" x14ac:dyDescent="0.3">
      <c r="A16" s="38"/>
      <c r="B16" s="39"/>
      <c r="C16" s="77">
        <f t="shared" si="5"/>
        <v>6</v>
      </c>
      <c r="D16" s="20" t="s">
        <v>349</v>
      </c>
      <c r="E16" s="161">
        <v>0.21</v>
      </c>
      <c r="F16" s="181"/>
      <c r="G16" s="181"/>
      <c r="H16" s="182"/>
      <c r="I16" s="36"/>
      <c r="J16" s="37"/>
      <c r="K16" s="14"/>
      <c r="M16" s="65">
        <f t="shared" si="0"/>
        <v>12</v>
      </c>
      <c r="N16" s="22" t="str">
        <f t="shared" si="1"/>
        <v>Y</v>
      </c>
      <c r="O16" s="162">
        <f t="shared" si="2"/>
        <v>0.91</v>
      </c>
      <c r="P16" s="163" t="str">
        <f t="shared" si="3"/>
        <v>TP</v>
      </c>
      <c r="Q16" s="164" t="str">
        <f t="shared" si="4"/>
        <v>TP</v>
      </c>
      <c r="V16" s="13"/>
      <c r="W16" s="13"/>
      <c r="X16" s="13"/>
      <c r="Y16" s="14"/>
      <c r="Z16" s="13"/>
    </row>
    <row r="17" spans="1:26" x14ac:dyDescent="0.3">
      <c r="A17" s="45"/>
      <c r="B17" s="36"/>
      <c r="C17" s="77">
        <f t="shared" si="5"/>
        <v>7</v>
      </c>
      <c r="D17" s="20" t="s">
        <v>348</v>
      </c>
      <c r="E17" s="161">
        <v>0.5</v>
      </c>
      <c r="F17" s="181"/>
      <c r="G17" s="181"/>
      <c r="H17" s="182"/>
      <c r="I17" s="36"/>
      <c r="J17" s="37"/>
      <c r="K17" s="14"/>
      <c r="V17" s="13"/>
      <c r="W17" s="13"/>
      <c r="X17" s="13"/>
      <c r="Y17" s="14"/>
      <c r="Z17" s="13"/>
    </row>
    <row r="18" spans="1:26" x14ac:dyDescent="0.3">
      <c r="A18" s="45"/>
      <c r="B18" s="36"/>
      <c r="C18" s="77">
        <f t="shared" si="5"/>
        <v>8</v>
      </c>
      <c r="D18" s="20" t="s">
        <v>349</v>
      </c>
      <c r="E18" s="161">
        <v>0.28000000000000003</v>
      </c>
      <c r="F18" s="181"/>
      <c r="G18" s="181"/>
      <c r="H18" s="182"/>
      <c r="I18" s="36"/>
      <c r="J18" s="37"/>
      <c r="K18" s="14"/>
      <c r="M18" t="s">
        <v>350</v>
      </c>
      <c r="V18" s="13"/>
      <c r="W18" s="13"/>
      <c r="X18" s="13"/>
      <c r="Y18" s="14"/>
      <c r="Z18" s="13"/>
    </row>
    <row r="19" spans="1:26" x14ac:dyDescent="0.3">
      <c r="A19" s="45"/>
      <c r="B19" s="36"/>
      <c r="C19" s="77">
        <f t="shared" si="5"/>
        <v>9</v>
      </c>
      <c r="D19" s="20" t="s">
        <v>349</v>
      </c>
      <c r="E19" s="161">
        <v>0.79</v>
      </c>
      <c r="F19" s="181"/>
      <c r="G19" s="181"/>
      <c r="H19" s="182"/>
      <c r="I19" s="36"/>
      <c r="J19" s="37"/>
      <c r="K19" s="14"/>
      <c r="V19" s="13"/>
      <c r="W19" s="13"/>
      <c r="X19" s="13"/>
      <c r="Y19" s="14"/>
      <c r="Z19" s="13"/>
    </row>
    <row r="20" spans="1:26" ht="15" customHeight="1" x14ac:dyDescent="0.3">
      <c r="A20" s="45"/>
      <c r="B20" s="36"/>
      <c r="C20" s="77">
        <f t="shared" si="5"/>
        <v>10</v>
      </c>
      <c r="D20" s="20" t="s">
        <v>348</v>
      </c>
      <c r="E20" s="161">
        <v>0.91</v>
      </c>
      <c r="F20" s="181"/>
      <c r="G20" s="181"/>
      <c r="H20" s="182"/>
      <c r="I20" s="36"/>
      <c r="J20" s="37"/>
      <c r="K20" s="14"/>
      <c r="M20" t="s">
        <v>351</v>
      </c>
      <c r="V20" s="13"/>
      <c r="W20" s="13"/>
      <c r="X20" s="13"/>
      <c r="Y20" s="14"/>
      <c r="Z20" s="13"/>
    </row>
    <row r="21" spans="1:26" x14ac:dyDescent="0.3">
      <c r="A21" s="45"/>
      <c r="B21" s="36"/>
      <c r="C21" s="77">
        <f t="shared" si="5"/>
        <v>11</v>
      </c>
      <c r="D21" s="20" t="s">
        <v>349</v>
      </c>
      <c r="E21" s="161">
        <v>0.17</v>
      </c>
      <c r="F21" s="181"/>
      <c r="G21" s="181"/>
      <c r="H21" s="182"/>
      <c r="I21" s="36"/>
      <c r="J21" s="37"/>
      <c r="K21" s="14"/>
      <c r="M21" t="s">
        <v>352</v>
      </c>
      <c r="V21" s="13"/>
      <c r="W21" s="13"/>
      <c r="X21" s="13"/>
      <c r="Y21" s="14"/>
      <c r="Z21" s="13"/>
    </row>
    <row r="22" spans="1:26" x14ac:dyDescent="0.3">
      <c r="A22" s="45"/>
      <c r="B22" s="36"/>
      <c r="C22" s="82">
        <f t="shared" si="5"/>
        <v>12</v>
      </c>
      <c r="D22" s="22" t="s">
        <v>348</v>
      </c>
      <c r="E22" s="165">
        <v>0.91</v>
      </c>
      <c r="F22" s="36"/>
      <c r="G22" s="36"/>
      <c r="H22" s="36"/>
      <c r="I22" s="36"/>
      <c r="J22" s="37"/>
      <c r="K22" s="14"/>
      <c r="M22" t="s">
        <v>353</v>
      </c>
      <c r="S22" s="13"/>
      <c r="T22" s="13"/>
      <c r="U22" s="13"/>
      <c r="V22" s="13"/>
      <c r="W22" s="13"/>
      <c r="X22" s="13"/>
      <c r="Y22" s="14"/>
      <c r="Z22" s="13"/>
    </row>
    <row r="23" spans="1:26" x14ac:dyDescent="0.3">
      <c r="A23" s="45"/>
      <c r="B23" s="36"/>
      <c r="C23" s="36"/>
      <c r="D23" s="36"/>
      <c r="E23" s="36"/>
      <c r="F23" s="36"/>
      <c r="G23" s="36"/>
      <c r="H23" s="36"/>
      <c r="I23" s="36"/>
      <c r="J23" s="37"/>
      <c r="K23" s="14"/>
      <c r="M23" t="s">
        <v>354</v>
      </c>
      <c r="S23" s="13"/>
      <c r="T23" s="13"/>
      <c r="U23" s="13"/>
      <c r="V23" s="13"/>
      <c r="W23" s="13"/>
      <c r="X23" s="13"/>
      <c r="Y23" s="14"/>
      <c r="Z23" s="13"/>
    </row>
    <row r="24" spans="1:26" ht="15" customHeight="1" x14ac:dyDescent="0.3">
      <c r="A24" s="35" t="s">
        <v>173</v>
      </c>
      <c r="B24" s="36"/>
      <c r="C24" s="36" t="str">
        <f>"Calculate confusion matrices for discrimination thresholds of "&amp;B11 &amp;" and "&amp;B12&amp;"."</f>
        <v>Calculate confusion matrices for discrimination thresholds of 0.3 and 0.55.</v>
      </c>
      <c r="D24" s="36"/>
      <c r="E24" s="36"/>
      <c r="F24" s="36"/>
      <c r="G24" s="36"/>
      <c r="H24" s="36"/>
      <c r="I24" s="36"/>
      <c r="J24" s="37"/>
      <c r="K24" s="14"/>
      <c r="M24" t="s">
        <v>355</v>
      </c>
      <c r="S24" s="13"/>
      <c r="T24" s="13"/>
      <c r="U24" s="13"/>
      <c r="V24" s="13"/>
      <c r="W24" s="13"/>
      <c r="X24" s="13"/>
      <c r="Y24" s="14"/>
      <c r="Z24" s="13"/>
    </row>
    <row r="25" spans="1:26" ht="15" customHeight="1" thickBot="1" x14ac:dyDescent="0.35">
      <c r="A25" s="53"/>
      <c r="B25" s="54"/>
      <c r="C25" s="54"/>
      <c r="D25" s="54"/>
      <c r="E25" s="54"/>
      <c r="F25" s="54"/>
      <c r="G25" s="54"/>
      <c r="H25" s="54"/>
      <c r="I25" s="54"/>
      <c r="J25" s="55"/>
      <c r="K25" s="14"/>
      <c r="Y25" s="14"/>
      <c r="Z25" s="13"/>
    </row>
    <row r="26" spans="1:26" ht="15" customHeight="1" x14ac:dyDescent="0.3">
      <c r="K26" s="14"/>
      <c r="N26" s="57" t="s">
        <v>356</v>
      </c>
      <c r="O26" s="2"/>
      <c r="S26" s="13"/>
      <c r="T26" s="13"/>
      <c r="U26" s="13"/>
      <c r="V26" s="13"/>
      <c r="W26" s="13"/>
      <c r="X26" s="13"/>
      <c r="Y26" s="14"/>
      <c r="Z26" s="13"/>
    </row>
    <row r="27" spans="1:26" ht="15" customHeight="1" x14ac:dyDescent="0.3">
      <c r="K27" s="14"/>
      <c r="N27" s="2" t="s">
        <v>357</v>
      </c>
      <c r="O27" s="2"/>
      <c r="S27" s="13"/>
      <c r="T27" s="13"/>
      <c r="U27" s="13"/>
      <c r="V27" s="13"/>
      <c r="W27" s="13"/>
      <c r="X27" s="13"/>
      <c r="Y27" s="14"/>
      <c r="Z27" s="13"/>
    </row>
    <row r="28" spans="1:26" ht="15" customHeight="1" x14ac:dyDescent="0.3">
      <c r="K28" s="14"/>
      <c r="N28" s="110" t="s">
        <v>358</v>
      </c>
      <c r="O28" s="110" t="s">
        <v>359</v>
      </c>
      <c r="S28" s="13"/>
      <c r="T28" s="13"/>
      <c r="U28" s="13"/>
      <c r="V28" s="13"/>
      <c r="W28" s="13"/>
      <c r="X28" s="13"/>
      <c r="Y28" s="14"/>
      <c r="Z28" s="13"/>
    </row>
    <row r="29" spans="1:26" ht="15" customHeight="1" x14ac:dyDescent="0.3">
      <c r="K29" s="14"/>
      <c r="L29" s="774" t="s">
        <v>301</v>
      </c>
      <c r="M29" s="166" t="s">
        <v>358</v>
      </c>
      <c r="N29" s="167" t="s">
        <v>360</v>
      </c>
      <c r="O29" s="168" t="s">
        <v>361</v>
      </c>
      <c r="S29" s="13"/>
      <c r="T29" s="13"/>
      <c r="U29" s="13"/>
      <c r="V29" s="13"/>
      <c r="W29" s="13"/>
      <c r="X29" s="13"/>
      <c r="Y29" s="14"/>
      <c r="Z29" s="13"/>
    </row>
    <row r="30" spans="1:26" ht="19.95" customHeight="1" x14ac:dyDescent="0.3">
      <c r="K30" s="14"/>
      <c r="L30" s="774"/>
      <c r="M30" s="166" t="s">
        <v>359</v>
      </c>
      <c r="N30" s="169" t="s">
        <v>362</v>
      </c>
      <c r="O30" s="170" t="s">
        <v>363</v>
      </c>
      <c r="S30" s="13"/>
      <c r="T30" s="13"/>
      <c r="U30" s="13"/>
      <c r="V30" s="13"/>
      <c r="W30" s="13"/>
      <c r="X30" s="13"/>
      <c r="Y30" s="14"/>
      <c r="Z30" s="13"/>
    </row>
    <row r="31" spans="1:26" ht="19.95" customHeight="1" x14ac:dyDescent="0.3">
      <c r="K31" s="14"/>
      <c r="S31" s="13"/>
      <c r="T31" s="13"/>
      <c r="U31" s="13"/>
      <c r="V31" s="13"/>
      <c r="W31" s="13"/>
      <c r="X31" s="13"/>
      <c r="Y31" s="14"/>
      <c r="Z31" s="13"/>
    </row>
    <row r="32" spans="1:26" x14ac:dyDescent="0.3">
      <c r="K32" s="14"/>
      <c r="M32" t="s">
        <v>364</v>
      </c>
      <c r="S32" s="13"/>
      <c r="T32" s="13"/>
      <c r="U32" s="13"/>
      <c r="V32" s="13"/>
      <c r="W32" s="13"/>
      <c r="X32" s="13"/>
      <c r="Y32" s="14"/>
      <c r="Z32" s="13"/>
    </row>
    <row r="33" spans="1:26" x14ac:dyDescent="0.3">
      <c r="K33" s="14"/>
      <c r="S33" s="13"/>
      <c r="T33" s="13"/>
      <c r="U33" s="13"/>
      <c r="V33" s="13"/>
      <c r="W33" s="13"/>
      <c r="X33" s="13"/>
      <c r="Y33" s="14"/>
      <c r="Z33" s="13"/>
    </row>
    <row r="34" spans="1:26" x14ac:dyDescent="0.3">
      <c r="K34" s="14"/>
      <c r="M34" s="2" t="str">
        <f>"Threshold = "&amp;P4</f>
        <v>Threshold = 0.3</v>
      </c>
      <c r="N34" s="2"/>
      <c r="P34" s="2" t="str">
        <f>"Threshold = "&amp;Q4</f>
        <v>Threshold = 0.55</v>
      </c>
      <c r="Q34" s="2"/>
      <c r="S34" s="13"/>
      <c r="T34" s="13"/>
      <c r="U34" s="13"/>
      <c r="V34" s="13"/>
      <c r="W34" s="13"/>
      <c r="X34" s="13"/>
      <c r="Y34" s="14"/>
      <c r="Z34" s="13"/>
    </row>
    <row r="35" spans="1:26" x14ac:dyDescent="0.3">
      <c r="K35" s="14"/>
      <c r="M35" s="171">
        <f>COUNTIF($P$5:$P$16,N29)</f>
        <v>5</v>
      </c>
      <c r="N35" s="154">
        <f>COUNTIF($P$5:$P$16,O29)</f>
        <v>0</v>
      </c>
      <c r="P35" s="171">
        <f>COUNTIF($Q$5:$Q$16,N29)</f>
        <v>3</v>
      </c>
      <c r="Q35" s="154">
        <f>COUNTIF($Q$5:$Q$16,O29)</f>
        <v>2</v>
      </c>
      <c r="S35" s="13"/>
      <c r="T35" s="13"/>
      <c r="U35" s="13"/>
      <c r="V35" s="13"/>
      <c r="W35" s="13"/>
      <c r="X35" s="13"/>
      <c r="Y35" s="14"/>
      <c r="Z35" s="13"/>
    </row>
    <row r="36" spans="1:26" x14ac:dyDescent="0.3">
      <c r="K36" s="14"/>
      <c r="M36" s="172">
        <f>COUNTIF($P$5:$P$16,N30)</f>
        <v>3</v>
      </c>
      <c r="N36" s="164">
        <f>COUNTIF($P$5:$P$16,O30)</f>
        <v>4</v>
      </c>
      <c r="P36" s="172">
        <f>COUNTIF($Q$5:$Q$16,N30)</f>
        <v>2</v>
      </c>
      <c r="Q36" s="164">
        <f>COUNTIF($Q$5:$Q$16,O30)</f>
        <v>5</v>
      </c>
      <c r="S36" s="13"/>
      <c r="T36" s="13"/>
      <c r="U36" s="13"/>
      <c r="V36" s="13"/>
      <c r="W36" s="13"/>
      <c r="X36" s="13"/>
      <c r="Y36" s="14"/>
      <c r="Z36" s="13"/>
    </row>
    <row r="37" spans="1:26" x14ac:dyDescent="0.3">
      <c r="K37" s="14"/>
      <c r="S37" s="13"/>
      <c r="T37" s="13"/>
      <c r="U37" s="13"/>
      <c r="V37" s="13"/>
      <c r="W37" s="13"/>
      <c r="X37" s="13"/>
      <c r="Y37" s="14"/>
      <c r="Z37" s="13"/>
    </row>
    <row r="38" spans="1:26" x14ac:dyDescent="0.3">
      <c r="K38" s="14"/>
      <c r="S38" s="13"/>
      <c r="T38" s="13"/>
      <c r="U38" s="13"/>
      <c r="V38" s="13"/>
      <c r="W38" s="13"/>
      <c r="X38" s="13"/>
      <c r="Y38" s="14"/>
      <c r="Z38" s="13"/>
    </row>
    <row r="39" spans="1:26" x14ac:dyDescent="0.3">
      <c r="K39" s="14"/>
      <c r="L39" t="s">
        <v>365</v>
      </c>
      <c r="S39" s="13"/>
      <c r="T39" s="13"/>
      <c r="U39" s="13"/>
      <c r="V39" s="13"/>
      <c r="W39" s="13"/>
      <c r="X39" s="13"/>
      <c r="Y39" s="14"/>
      <c r="Z39" s="13"/>
    </row>
    <row r="40" spans="1:26" x14ac:dyDescent="0.3">
      <c r="A40" s="13"/>
      <c r="B40" s="13"/>
      <c r="K40" s="14"/>
      <c r="L40" t="s">
        <v>366</v>
      </c>
      <c r="S40" s="13"/>
      <c r="T40" s="13"/>
      <c r="U40" s="13"/>
      <c r="V40" s="13"/>
      <c r="W40" s="13"/>
      <c r="X40" s="13"/>
      <c r="Y40" s="14"/>
      <c r="Z40" s="13"/>
    </row>
    <row r="41" spans="1:26" x14ac:dyDescent="0.3">
      <c r="K41" s="14"/>
      <c r="L41" t="s">
        <v>367</v>
      </c>
      <c r="S41" s="13"/>
      <c r="T41" s="13"/>
      <c r="U41" s="13"/>
      <c r="V41" s="13"/>
      <c r="W41" s="13"/>
      <c r="X41" s="13"/>
      <c r="Y41" s="14"/>
      <c r="Z41" s="13"/>
    </row>
    <row r="42" spans="1:26" x14ac:dyDescent="0.3">
      <c r="K42" s="14"/>
      <c r="L42" t="s">
        <v>368</v>
      </c>
      <c r="S42" s="13"/>
      <c r="T42" s="13"/>
      <c r="U42" s="13"/>
      <c r="V42" s="13"/>
      <c r="W42" s="13"/>
      <c r="X42" s="13"/>
      <c r="Y42" s="14"/>
      <c r="Z42" s="13"/>
    </row>
    <row r="43" spans="1:26" x14ac:dyDescent="0.3">
      <c r="K43" s="14"/>
      <c r="W43" s="13"/>
      <c r="X43" s="13"/>
      <c r="Y43" s="14"/>
      <c r="Z43" s="13"/>
    </row>
    <row r="44" spans="1:26" x14ac:dyDescent="0.3">
      <c r="K44" s="14"/>
      <c r="S44" s="13"/>
      <c r="T44" s="13"/>
      <c r="U44" s="13"/>
      <c r="V44" s="13"/>
      <c r="W44" s="13"/>
      <c r="X44" s="13"/>
      <c r="Y44" s="14"/>
      <c r="Z44" s="13"/>
    </row>
    <row r="45" spans="1:26" x14ac:dyDescent="0.3">
      <c r="K45" s="14"/>
      <c r="S45" s="13"/>
      <c r="T45" s="13"/>
      <c r="U45" s="13"/>
      <c r="V45" s="13"/>
      <c r="W45" s="13"/>
      <c r="X45" s="13"/>
      <c r="Y45" s="14"/>
      <c r="Z45" s="13"/>
    </row>
    <row r="46" spans="1:26" x14ac:dyDescent="0.3">
      <c r="K46" s="14"/>
      <c r="S46" s="13"/>
      <c r="T46" s="13"/>
      <c r="U46" s="13"/>
      <c r="V46" s="13"/>
      <c r="W46" s="13"/>
      <c r="X46" s="13"/>
      <c r="Y46" s="14"/>
      <c r="Z46" s="13"/>
    </row>
    <row r="47" spans="1:26" x14ac:dyDescent="0.3">
      <c r="K47" s="14"/>
      <c r="S47" s="13"/>
      <c r="T47" s="13"/>
      <c r="U47" s="13"/>
      <c r="V47" s="13"/>
      <c r="W47" s="13"/>
      <c r="X47" s="13"/>
      <c r="Y47" s="14"/>
      <c r="Z47" s="13"/>
    </row>
    <row r="48" spans="1:26" x14ac:dyDescent="0.3">
      <c r="K48" s="14"/>
      <c r="S48" s="13"/>
      <c r="T48" s="13"/>
      <c r="U48" s="13"/>
      <c r="V48" s="13"/>
      <c r="W48" s="13"/>
      <c r="X48" s="13"/>
      <c r="Y48" s="14"/>
      <c r="Z48" s="13"/>
    </row>
    <row r="49" spans="11:26" x14ac:dyDescent="0.3">
      <c r="K49" s="14"/>
      <c r="S49" s="13"/>
      <c r="T49" s="13"/>
      <c r="U49" s="13"/>
      <c r="V49" s="13"/>
      <c r="W49" s="13"/>
      <c r="X49" s="13"/>
      <c r="Y49" s="14"/>
      <c r="Z49" s="13"/>
    </row>
    <row r="129" ht="19.95" customHeight="1" x14ac:dyDescent="0.3"/>
    <row r="130" ht="19.95" customHeight="1" x14ac:dyDescent="0.3"/>
  </sheetData>
  <mergeCells count="2">
    <mergeCell ref="L29:L30"/>
    <mergeCell ref="I1:J1"/>
  </mergeCells>
  <hyperlinks>
    <hyperlink ref="I1" location="TOC!A1" display="Return to TOC" xr:uid="{ACE44D77-C836-4069-AA67-E41BCC3EAF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Instructions</vt:lpstr>
      <vt:lpstr>TOC</vt:lpstr>
      <vt:lpstr>GLM_ExampleCalc</vt:lpstr>
      <vt:lpstr>GLM_DesignMatrix</vt:lpstr>
      <vt:lpstr>GLM_Offsets</vt:lpstr>
      <vt:lpstr>GLM_Quantiles</vt:lpstr>
      <vt:lpstr>GLM_DLC</vt:lpstr>
      <vt:lpstr>GLM_LRChart</vt:lpstr>
      <vt:lpstr>GLM_ConfMatrix</vt:lpstr>
      <vt:lpstr>GLM_Sensitivity</vt:lpstr>
      <vt:lpstr>Fisher_QuintilesTest</vt:lpstr>
      <vt:lpstr>Fisher_QuintilesTest2</vt:lpstr>
      <vt:lpstr>Fisher_Efficiency</vt:lpstr>
      <vt:lpstr>Fisher_RS5</vt:lpstr>
      <vt:lpstr>Fisher_RS7</vt:lpstr>
      <vt:lpstr>Fisher_CashflowRetro</vt:lpstr>
      <vt:lpstr>Fisher_CashflowLDD</vt:lpstr>
      <vt:lpstr>Fisher_AggDed1</vt:lpstr>
      <vt:lpstr>Fisher_AggDed2</vt:lpstr>
      <vt:lpstr>Fisher_UniTableM</vt:lpstr>
      <vt:lpstr>Fisher_ExpTableM</vt:lpstr>
      <vt:lpstr>Fisher_EstNetInsCharge</vt:lpstr>
      <vt:lpstr>Fisher_TblMBalEqDeriv</vt:lpstr>
      <vt:lpstr>Fisher_LtdTblMBalEqDeriv</vt:lpstr>
      <vt:lpstr>Fisher_TblLBalEqDeriv</vt:lpstr>
      <vt:lpstr>Fisher_Vert</vt:lpstr>
      <vt:lpstr>Fisher_Horiz</vt:lpstr>
      <vt:lpstr>Fisher_Ch3Q13</vt:lpstr>
      <vt:lpstr>Fisher_Ch3Q14</vt:lpstr>
      <vt:lpstr>Fisher_TableLEx</vt:lpstr>
      <vt:lpstr>Fisher_ICRLLEx</vt:lpstr>
      <vt:lpstr>Bahnemann_Ex5-4</vt:lpstr>
      <vt:lpstr>Bahnemann_Ex6-3</vt:lpstr>
      <vt:lpstr>Bahnemann_Consistency</vt:lpstr>
      <vt:lpstr>Bahnemann_StrDed</vt:lpstr>
      <vt:lpstr>Bahnemann_FranchDed</vt:lpstr>
      <vt:lpstr>2014_Q5</vt:lpstr>
      <vt:lpstr>2012_Q6</vt:lpstr>
      <vt:lpstr>2011_Q1</vt:lpstr>
      <vt:lpstr>ISO_StandardCSLC</vt:lpstr>
      <vt:lpstr>ISO_PACR_CSLC</vt:lpstr>
      <vt:lpstr>ISO_HistExp_CSLC</vt:lpstr>
      <vt:lpstr>ISO_CalcExpMod</vt:lpstr>
      <vt:lpstr>ISO_NoBasicPremiums</vt:lpstr>
      <vt:lpstr>Q5_2015</vt:lpstr>
      <vt:lpstr>Q2_2011</vt:lpstr>
      <vt:lpstr>Q5_2012</vt:lpstr>
      <vt:lpstr>NCCI_ExperienceEx</vt:lpstr>
      <vt:lpstr>Q1a_2018</vt:lpstr>
      <vt:lpstr>Q1b_2018</vt:lpstr>
      <vt:lpstr>Mahler_Rating</vt:lpstr>
      <vt:lpstr>NCCI_BasicPremFactor</vt:lpstr>
      <vt:lpstr>NCCI_BasicPremFactorPractice</vt:lpstr>
      <vt:lpstr>NCCI_InfoMergeEx</vt:lpstr>
      <vt:lpstr>NCCI_InfoSevPDF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Constable</dc:creator>
  <cp:lastModifiedBy>Jonathan Constable</cp:lastModifiedBy>
  <dcterms:created xsi:type="dcterms:W3CDTF">2024-05-15T11:03:15Z</dcterms:created>
  <dcterms:modified xsi:type="dcterms:W3CDTF">2024-07-13T21:42:25Z</dcterms:modified>
</cp:coreProperties>
</file>