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15015647-9DBD-40BD-8F18-3D65840A0545}" xr6:coauthVersionLast="47" xr6:coauthVersionMax="47" xr10:uidLastSave="{00000000-0000-0000-0000-000000000000}"/>
  <bookViews>
    <workbookView xWindow="-120" yWindow="-120" windowWidth="19440" windowHeight="15000" xr2:uid="{E5E47C2A-CB7B-4DFD-9733-DC985EEB6B82}"/>
  </bookViews>
  <sheets>
    <sheet name="TOC" sheetId="1" r:id="rId1"/>
    <sheet name="W-Fisher-RiskSharing1" sheetId="7" r:id="rId2"/>
    <sheet name="W-Fisher-RiskSharing2" sheetId="8" r:id="rId3"/>
    <sheet name="W-Fisher-RiskSharing3" sheetId="9" r:id="rId4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5" i="9" l="1"/>
  <c r="O34" i="9"/>
  <c r="O33" i="9"/>
  <c r="O32" i="9"/>
  <c r="O31" i="9"/>
  <c r="O30" i="9"/>
  <c r="O29" i="9"/>
  <c r="O78" i="9"/>
  <c r="O28" i="9"/>
  <c r="O27" i="9"/>
  <c r="O26" i="9"/>
  <c r="O25" i="9"/>
  <c r="N25" i="9"/>
  <c r="N26" i="9" s="1"/>
  <c r="C25" i="9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P24" i="9"/>
  <c r="Q24" i="9" s="1"/>
  <c r="R24" i="9" s="1"/>
  <c r="S67" i="9"/>
  <c r="V65" i="9"/>
  <c r="U65" i="9"/>
  <c r="S65" i="9"/>
  <c r="Q65" i="9"/>
  <c r="P65" i="9"/>
  <c r="V64" i="9"/>
  <c r="U64" i="9"/>
  <c r="S64" i="9"/>
  <c r="Q64" i="9"/>
  <c r="P64" i="9"/>
  <c r="V63" i="9"/>
  <c r="U63" i="9"/>
  <c r="S63" i="9"/>
  <c r="R63" i="9"/>
  <c r="Q63" i="9"/>
  <c r="P63" i="9"/>
  <c r="V62" i="9"/>
  <c r="U62" i="9"/>
  <c r="S62" i="9"/>
  <c r="Q62" i="9"/>
  <c r="P62" i="9"/>
  <c r="R62" i="9" s="1"/>
  <c r="V61" i="9"/>
  <c r="U61" i="9"/>
  <c r="S61" i="9"/>
  <c r="R61" i="9"/>
  <c r="Q61" i="9"/>
  <c r="P61" i="9"/>
  <c r="O11" i="9"/>
  <c r="V60" i="9"/>
  <c r="U60" i="9"/>
  <c r="S60" i="9"/>
  <c r="Q60" i="9"/>
  <c r="P60" i="9"/>
  <c r="R60" i="9" s="1"/>
  <c r="N10" i="9"/>
  <c r="V59" i="9"/>
  <c r="U59" i="9"/>
  <c r="S59" i="9"/>
  <c r="R59" i="9"/>
  <c r="Q59" i="9"/>
  <c r="P59" i="9"/>
  <c r="V58" i="9"/>
  <c r="U58" i="9"/>
  <c r="S58" i="9"/>
  <c r="Q58" i="9"/>
  <c r="P58" i="9"/>
  <c r="R58" i="9" s="1"/>
  <c r="O8" i="9"/>
  <c r="V57" i="9"/>
  <c r="U57" i="9"/>
  <c r="S57" i="9"/>
  <c r="Q57" i="9"/>
  <c r="P57" i="9"/>
  <c r="R57" i="9" s="1"/>
  <c r="O7" i="9"/>
  <c r="V56" i="9"/>
  <c r="U56" i="9"/>
  <c r="S56" i="9"/>
  <c r="Q56" i="9"/>
  <c r="P56" i="9"/>
  <c r="V55" i="9"/>
  <c r="U55" i="9"/>
  <c r="S55" i="9"/>
  <c r="Q55" i="9"/>
  <c r="P55" i="9"/>
  <c r="R55" i="9" s="1"/>
  <c r="N55" i="9"/>
  <c r="N56" i="9" s="1"/>
  <c r="N57" i="9" s="1"/>
  <c r="N58" i="9" s="1"/>
  <c r="N59" i="9" s="1"/>
  <c r="N60" i="9" s="1"/>
  <c r="N61" i="9" s="1"/>
  <c r="N62" i="9" s="1"/>
  <c r="N63" i="9" s="1"/>
  <c r="N64" i="9" s="1"/>
  <c r="N65" i="9" s="1"/>
  <c r="U54" i="9"/>
  <c r="S54" i="9"/>
  <c r="R54" i="9"/>
  <c r="O3" i="9"/>
  <c r="C13" i="8"/>
  <c r="C12" i="8"/>
  <c r="J22" i="8"/>
  <c r="L22" i="8" s="1"/>
  <c r="I22" i="8"/>
  <c r="J21" i="8"/>
  <c r="L21" i="8" s="1"/>
  <c r="I21" i="8"/>
  <c r="J20" i="8"/>
  <c r="L20" i="8" s="1"/>
  <c r="I20" i="8"/>
  <c r="J19" i="8"/>
  <c r="L19" i="8" s="1"/>
  <c r="I19" i="8"/>
  <c r="J18" i="8"/>
  <c r="L18" i="8" s="1"/>
  <c r="I18" i="8"/>
  <c r="J17" i="8"/>
  <c r="I17" i="8"/>
  <c r="C14" i="8"/>
  <c r="J8" i="8"/>
  <c r="J7" i="8"/>
  <c r="J6" i="8"/>
  <c r="I9" i="7"/>
  <c r="I8" i="7"/>
  <c r="I7" i="7"/>
  <c r="R65" i="9" l="1"/>
  <c r="O54" i="9"/>
  <c r="T54" i="9" s="1"/>
  <c r="R56" i="9"/>
  <c r="R64" i="9"/>
  <c r="N27" i="9"/>
  <c r="P26" i="9"/>
  <c r="P25" i="9"/>
  <c r="J23" i="8"/>
  <c r="J26" i="8" s="1"/>
  <c r="J30" i="8" s="1"/>
  <c r="H13" i="7"/>
  <c r="H12" i="7" s="1"/>
  <c r="W54" i="9" l="1"/>
  <c r="X54" i="9" s="1"/>
  <c r="Q25" i="9"/>
  <c r="R25" i="9" s="1"/>
  <c r="O55" i="9"/>
  <c r="O56" i="9"/>
  <c r="Q26" i="9"/>
  <c r="P27" i="9"/>
  <c r="N28" i="9"/>
  <c r="J29" i="8"/>
  <c r="P28" i="9" l="1"/>
  <c r="N29" i="9"/>
  <c r="R26" i="9"/>
  <c r="O57" i="9"/>
  <c r="Q27" i="9"/>
  <c r="R27" i="9" s="1"/>
  <c r="T56" i="9"/>
  <c r="W56" i="9" s="1"/>
  <c r="T55" i="9"/>
  <c r="W55" i="9" s="1"/>
  <c r="X55" i="9" s="1"/>
  <c r="X56" i="9" l="1"/>
  <c r="T57" i="9"/>
  <c r="W57" i="9"/>
  <c r="X57" i="9" s="1"/>
  <c r="P29" i="9"/>
  <c r="N30" i="9"/>
  <c r="Q28" i="9"/>
  <c r="R28" i="9" s="1"/>
  <c r="O58" i="9"/>
  <c r="T58" i="9" l="1"/>
  <c r="W58" i="9" s="1"/>
  <c r="X58" i="9" s="1"/>
  <c r="N31" i="9"/>
  <c r="P30" i="9"/>
  <c r="Q29" i="9"/>
  <c r="R29" i="9" s="1"/>
  <c r="O59" i="9"/>
  <c r="N32" i="9" l="1"/>
  <c r="P31" i="9"/>
  <c r="T59" i="9"/>
  <c r="W59" i="9" s="1"/>
  <c r="X59" i="9" s="1"/>
  <c r="Q30" i="9"/>
  <c r="R30" i="9" s="1"/>
  <c r="O60" i="9"/>
  <c r="T60" i="9" l="1"/>
  <c r="W60" i="9" s="1"/>
  <c r="X60" i="9" s="1"/>
  <c r="O61" i="9"/>
  <c r="Q31" i="9"/>
  <c r="R31" i="9" s="1"/>
  <c r="P32" i="9"/>
  <c r="N33" i="9"/>
  <c r="O62" i="9" l="1"/>
  <c r="Q32" i="9"/>
  <c r="R32" i="9" s="1"/>
  <c r="P33" i="9"/>
  <c r="N34" i="9"/>
  <c r="T61" i="9"/>
  <c r="W61" i="9" s="1"/>
  <c r="X61" i="9" s="1"/>
  <c r="N35" i="9" l="1"/>
  <c r="P35" i="9" s="1"/>
  <c r="P34" i="9"/>
  <c r="Q33" i="9"/>
  <c r="R33" i="9" s="1"/>
  <c r="O63" i="9"/>
  <c r="T62" i="9"/>
  <c r="W62" i="9" s="1"/>
  <c r="X62" i="9" s="1"/>
  <c r="T63" i="9" l="1"/>
  <c r="W63" i="9" s="1"/>
  <c r="X63" i="9" s="1"/>
  <c r="O64" i="9"/>
  <c r="Q34" i="9"/>
  <c r="R34" i="9" s="1"/>
  <c r="Q35" i="9"/>
  <c r="R35" i="9" s="1"/>
  <c r="O65" i="9"/>
  <c r="T65" i="9" l="1"/>
  <c r="W65" i="9"/>
  <c r="T64" i="9"/>
  <c r="W64" i="9" s="1"/>
  <c r="X64" i="9" s="1"/>
  <c r="X65" i="9" l="1"/>
  <c r="O77" i="9"/>
</calcChain>
</file>

<file path=xl/sharedStrings.xml><?xml version="1.0" encoding="utf-8"?>
<sst xmlns="http://schemas.openxmlformats.org/spreadsheetml/2006/main" count="170" uniqueCount="143">
  <si>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</si>
  <si>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</si>
  <si>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</si>
  <si>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</si>
  <si>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</si>
  <si>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</si>
  <si>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</si>
  <si>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</si>
  <si>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</si>
  <si>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Solution</t>
  </si>
  <si>
    <t>Problem Set 1 – Solutions</t>
  </si>
  <si>
    <t>Exam 8: Fisher – Risk Sharing</t>
  </si>
  <si>
    <t>W-Fisher-RiskSharing1</t>
  </si>
  <si>
    <t>Fisher.RiskSharing</t>
  </si>
  <si>
    <t>Source Text</t>
  </si>
  <si>
    <t>Calculate the expenses as a percentage of the guaranteed cost premium</t>
  </si>
  <si>
    <t>Loss Conversion Factor</t>
  </si>
  <si>
    <t>We're given</t>
  </si>
  <si>
    <t>Expected Loss Ratio</t>
  </si>
  <si>
    <t>c = Loss Conversion Factor</t>
  </si>
  <si>
    <t>Expense Ratio</t>
  </si>
  <si>
    <t>E = Expected Loss Ratio</t>
  </si>
  <si>
    <t>e = Expense Ratio</t>
  </si>
  <si>
    <t>Plugging these into the formula yields:</t>
  </si>
  <si>
    <t xml:space="preserve">Calculate the expense portion of the basic premium as a percentage of </t>
  </si>
  <si>
    <t>the guaranteed-cost premium.</t>
  </si>
  <si>
    <t xml:space="preserve">The formula for the expense portion of the basic premium as a percentage of the </t>
  </si>
  <si>
    <t>guaranteed cost premium is:</t>
  </si>
  <si>
    <t>Calculate the retrospective rating premium</t>
  </si>
  <si>
    <t>The retrospective rating formula is:</t>
  </si>
  <si>
    <t>Large Claims</t>
  </si>
  <si>
    <t>B =&gt;</t>
  </si>
  <si>
    <t>Basic Premium Amount</t>
  </si>
  <si>
    <t>c =&gt;</t>
  </si>
  <si>
    <t>B = Basic Premium Amount</t>
  </si>
  <si>
    <t>T =&gt;</t>
  </si>
  <si>
    <t>Tax Multiplier</t>
  </si>
  <si>
    <t>T = Tax Multiplier</t>
  </si>
  <si>
    <t>Per-Occurrence Limit</t>
  </si>
  <si>
    <t>Maximum ratable loss</t>
  </si>
  <si>
    <t>We need to calculate L, the ratable loss and then we may apply the formula.</t>
  </si>
  <si>
    <t>To find L we must read the claims information carefully and apply the per-occurrence limit and then the maximum ratable loss constraint.</t>
  </si>
  <si>
    <t>Evaluate each claim in turn and keep track of the cumulative claims so you can apply the maximum ratable loss condition.</t>
  </si>
  <si>
    <t>Calculate the retrospective rating premium.</t>
  </si>
  <si>
    <t>Amount Below</t>
  </si>
  <si>
    <t>Claim</t>
  </si>
  <si>
    <t>per-occurrence limit</t>
  </si>
  <si>
    <t>Comments</t>
  </si>
  <si>
    <t>We're told these are all individually below the per-occurrence limit.</t>
  </si>
  <si>
    <t>TOTAL</t>
  </si>
  <si>
    <t>Now cap the total at the maximum ratable loss if it exceeds it.</t>
  </si>
  <si>
    <t xml:space="preserve">Ratable Loss = </t>
  </si>
  <si>
    <t>&lt;= L</t>
  </si>
  <si>
    <t>Finally, apply the retrospective rating formula</t>
  </si>
  <si>
    <t xml:space="preserve">R = </t>
  </si>
  <si>
    <t xml:space="preserve">= </t>
  </si>
  <si>
    <t>W-Fisher-RiskSharing2</t>
  </si>
  <si>
    <t>Insurer Cash Flow</t>
  </si>
  <si>
    <t>The loss conversion factor is c = 1 + ULAE %, i.e.</t>
  </si>
  <si>
    <t>Columns (11) – (19) are cumulative figures to date</t>
  </si>
  <si>
    <t>Visualize the cash flow for both the policyholder and the insurer under an incurred retrospective rating plan.</t>
  </si>
  <si>
    <t>c =</t>
  </si>
  <si>
    <t>Time
(Years)</t>
  </si>
  <si>
    <t>(11)
Premium</t>
  </si>
  <si>
    <t>(12)
Primary Loss &amp; ALAE Paid</t>
  </si>
  <si>
    <t>(13)
Excess Loss &amp; ALAE Paid</t>
  </si>
  <si>
    <t>(14)
Total Loss &amp; ALAE Paid</t>
  </si>
  <si>
    <t>(15)
Total Commission</t>
  </si>
  <si>
    <t>(16)
Premium Tax</t>
  </si>
  <si>
    <t>(17)
General Expenses</t>
  </si>
  <si>
    <t>(18)
ULAE</t>
  </si>
  <si>
    <t>(19)
Cash Flow</t>
  </si>
  <si>
    <t>(20)
Incremental Cash Flow</t>
  </si>
  <si>
    <t>Now let's calculate the basic premium which should cover the converted expected excess loss and ALAE along with any fixed expenses.</t>
  </si>
  <si>
    <t>Pricing Assumptions</t>
  </si>
  <si>
    <t>Initial Premium</t>
  </si>
  <si>
    <t>The basic premium is the ( Expected Excess Loss &amp; ALAE multiplied by the loss conversion factor ) plus commission, general expenses, and UW profit.</t>
  </si>
  <si>
    <t>Expected Primary Loss &amp; ALAE</t>
  </si>
  <si>
    <t>B =</t>
  </si>
  <si>
    <t>Expected Excess Loss &amp; ALAE</t>
  </si>
  <si>
    <t>=</t>
  </si>
  <si>
    <t>&lt;= Basic Premium</t>
  </si>
  <si>
    <t>Commission</t>
  </si>
  <si>
    <t>General Expenses</t>
  </si>
  <si>
    <t>Underwriting Profit Provision</t>
  </si>
  <si>
    <t>T =</t>
  </si>
  <si>
    <t>ULAE</t>
  </si>
  <si>
    <t>Tax Rate</t>
  </si>
  <si>
    <t xml:space="preserve">To calculate the incurred retrospective rating premium we need  L, the ratable loss amount. </t>
  </si>
  <si>
    <t>We'll use the payment pattern to determine it at each point in time.</t>
  </si>
  <si>
    <t>There is no aggregate excess loss exposure.</t>
  </si>
  <si>
    <t>We're given the payment pattern, let's look at this information in more detail before working with it.</t>
  </si>
  <si>
    <t>1. This is a 1-year incurred retrospective rating plan; no premium adjustments will occur until 18 months have elapsed, and then are evaluated annually.</t>
  </si>
  <si>
    <t>2. The initial premium is paid immediately at the start, along with the commission.</t>
  </si>
  <si>
    <t>(11) = (8)</t>
  </si>
  <si>
    <t>3. We assume all losses are at ultimate after 7.5 years and that ALAE is included in the ratable loss.</t>
  </si>
  <si>
    <t>(12) = (2) * Expected Primary Loss &amp; ALAE</t>
  </si>
  <si>
    <t>(17) = (5) * General Expenses</t>
  </si>
  <si>
    <t>4. Since it's a 1-year policy, all general expenses happen within the first year. ULAE is accrued all the time the losses aren't at ultimate.</t>
  </si>
  <si>
    <t>(13) = (3) * Expected Excess Loss &amp; ALAE</t>
  </si>
  <si>
    <t>(18) = (Expected Primary and Excess Loss &amp; ALAE) * ULAE % * (6)</t>
  </si>
  <si>
    <t>(14) = (12) + (13)</t>
  </si>
  <si>
    <t>(19) = (11) - (14) - (15) - (16) - (17) - (18)</t>
  </si>
  <si>
    <t>(15) Commission is paid upfront then doesn't change.</t>
  </si>
  <si>
    <t>Payment Patterns</t>
  </si>
  <si>
    <t>Policyholder Cash Flow</t>
  </si>
  <si>
    <t>(1)
Primary Incurred Loss &amp; ALAE</t>
  </si>
  <si>
    <t>(2)
Primary Paid Loss &amp; ALAE</t>
  </si>
  <si>
    <t>(3)
Excess Paid Loss &amp; ALAE</t>
  </si>
  <si>
    <t>(4)
Total Paid Loss &amp; ALAE</t>
  </si>
  <si>
    <t>(5)
General Expenses</t>
  </si>
  <si>
    <t>(6)
ULAE</t>
  </si>
  <si>
    <t>Time (Years)</t>
  </si>
  <si>
    <t>(7)
Primary Incurred Loss &amp; ALAE
[Ratable Loss, L]</t>
  </si>
  <si>
    <t>(8)
Total Premium Paid</t>
  </si>
  <si>
    <t>(9)
Cumulative Cash Flow</t>
  </si>
  <si>
    <t>(10)
Incremental Cash Flow</t>
  </si>
  <si>
    <r>
      <rPr>
        <b/>
        <u/>
        <sz val="11"/>
        <color theme="1"/>
        <rFont val="Calibri"/>
        <family val="2"/>
        <scheme val="minor"/>
      </rPr>
      <t>Notes</t>
    </r>
    <r>
      <rPr>
        <sz val="11"/>
        <color theme="1"/>
        <rFont val="Calibri"/>
        <family val="2"/>
        <scheme val="minor"/>
      </rPr>
      <t>:</t>
    </r>
  </si>
  <si>
    <t>• Both the policyholder and insurer have negative cash flows after t = 2.5. The insurer has a negative cash flow because it is paying out on losses.</t>
  </si>
  <si>
    <t xml:space="preserve">    The policyholder has a negative cash flow because they exchanged a larger upfront premium (guaranteed cost premium) for a lower initial premium</t>
  </si>
  <si>
    <t xml:space="preserve">    with additional premium payments later and the potential to receive premium refunds if their experience was better than expected.</t>
  </si>
  <si>
    <t>• The additional premium payments from the policyholder adjust but do not completely offset the loss experience paid by the insurer at the time.</t>
  </si>
  <si>
    <t xml:space="preserve">First premium adjustment occurs at t = 1.5. Losses better than expected so </t>
  </si>
  <si>
    <t>the policyholder receives a partial premium refund from the insurer.</t>
  </si>
  <si>
    <r>
      <t xml:space="preserve">Subsequent evaluations (t </t>
    </r>
    <r>
      <rPr>
        <sz val="11"/>
        <color theme="1"/>
        <rFont val="Calibri"/>
        <family val="2"/>
      </rPr>
      <t xml:space="preserve">≥ </t>
    </r>
    <r>
      <rPr>
        <sz val="9.9"/>
        <color theme="1"/>
        <rFont val="Calibri"/>
        <family val="2"/>
      </rPr>
      <t>2.5)</t>
    </r>
    <r>
      <rPr>
        <sz val="11"/>
        <color theme="1"/>
        <rFont val="Calibri"/>
        <family val="2"/>
        <scheme val="minor"/>
      </rPr>
      <t xml:space="preserve"> show losses gradually deteriorating;</t>
    </r>
  </si>
  <si>
    <t>this requires additional premium payments to the insurer.</t>
  </si>
  <si>
    <t>(7) = (1) * Expected Primary Loss &amp; ALAE</t>
  </si>
  <si>
    <t>The incurred retrospective rating plan basic premium at each point in time and illustrate the cash flows from both the</t>
  </si>
  <si>
    <t>policyholder and insurer perspectives.</t>
  </si>
  <si>
    <t>(9) = -1 * (8)  as these are the cumulative payments made by the policyholder.</t>
  </si>
  <si>
    <t>(10) = [(9) current row] - [(9) prior row]</t>
  </si>
  <si>
    <t>Note</t>
  </si>
  <si>
    <t xml:space="preserve">As the CAS moves towards computer based testing, this type of problem (which is tedious to do by hand) becomes </t>
  </si>
  <si>
    <t xml:space="preserve">The ratable loss (column 7) is the primary incurred loss and ALAE after the consideration of any maximum or minimum ratable loss. </t>
  </si>
  <si>
    <t>much easier to test.</t>
  </si>
  <si>
    <r>
      <t xml:space="preserve">The requirement for the insured to make additional premium payments after the end of the policy period creates </t>
    </r>
    <r>
      <rPr>
        <u/>
        <sz val="11"/>
        <color theme="1"/>
        <rFont val="Calibri"/>
        <family val="2"/>
        <scheme val="minor"/>
      </rPr>
      <t>credit risk for the insurer</t>
    </r>
    <r>
      <rPr>
        <sz val="11"/>
        <color theme="1"/>
        <rFont val="Calibri"/>
        <family val="2"/>
        <scheme val="minor"/>
      </rPr>
      <t>.</t>
    </r>
  </si>
  <si>
    <t>Note:</t>
  </si>
  <si>
    <t>In the text, Fisher uses an unrounded value of T. Here we've rounded T to 3 decimal places for convenience.</t>
  </si>
  <si>
    <t>W-Fisher-RiskSharing3</t>
  </si>
  <si>
    <t>Visualize the cashflow for an incurred retrospective rating plan</t>
  </si>
  <si>
    <t>(8) This is the initial premium until 1.5 years have elapsed. Afterwards, use (8) = [ B + c * (7) ] * T</t>
  </si>
  <si>
    <t>Below we look at the cash flow from the insurer's perspective.</t>
  </si>
  <si>
    <t>(20) = [(19) current row] - [(19) prior row]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</si>
</sst>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0.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9.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5" xfId="1" applyFill="1" applyBorder="1" applyAlignment="1" applyProtection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4" borderId="0" xfId="0" applyFill="1" applyProtection="1">
      <protection locked="0"/>
    </xf>
    <xf numFmtId="0" fontId="2" fillId="0" borderId="0" xfId="0" applyFon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2" borderId="3" xfId="0" applyFont="1" applyFill="1" applyBorder="1" applyProtection="1"/>
    <xf numFmtId="0" fontId="0" fillId="2" borderId="4" xfId="0" applyFill="1" applyBorder="1" applyProtection="1"/>
    <xf numFmtId="0" fontId="6" fillId="2" borderId="4" xfId="0" applyFont="1" applyFill="1" applyBorder="1" applyProtection="1"/>
    <xf numFmtId="0" fontId="1" fillId="2" borderId="6" xfId="0" applyFont="1" applyFill="1" applyBorder="1" applyProtection="1"/>
    <xf numFmtId="0" fontId="0" fillId="2" borderId="0" xfId="0" applyFill="1" applyBorder="1" applyProtection="1"/>
    <xf numFmtId="0" fontId="0" fillId="2" borderId="7" xfId="0" applyFill="1" applyBorder="1" applyProtection="1"/>
    <xf numFmtId="3" fontId="10" fillId="2" borderId="6" xfId="0" applyNumberFormat="1" applyFont="1" applyFill="1" applyBorder="1" applyProtection="1"/>
    <xf numFmtId="3" fontId="10" fillId="2" borderId="0" xfId="0" applyNumberFormat="1" applyFont="1" applyFill="1" applyBorder="1" applyProtection="1"/>
    <xf numFmtId="3" fontId="0" fillId="2" borderId="0" xfId="0" applyNumberFormat="1" applyFill="1" applyBorder="1" applyProtection="1"/>
    <xf numFmtId="3" fontId="0" fillId="2" borderId="7" xfId="0" applyNumberFormat="1" applyFill="1" applyBorder="1" applyProtection="1"/>
    <xf numFmtId="3" fontId="9" fillId="2" borderId="6" xfId="0" applyNumberFormat="1" applyFont="1" applyFill="1" applyBorder="1" applyProtection="1"/>
    <xf numFmtId="0" fontId="10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left"/>
    </xf>
    <xf numFmtId="0" fontId="10" fillId="2" borderId="6" xfId="0" applyFont="1" applyFill="1" applyBorder="1" applyProtection="1"/>
    <xf numFmtId="0" fontId="9" fillId="2" borderId="6" xfId="0" applyFont="1" applyFill="1" applyBorder="1" applyProtection="1"/>
    <xf numFmtId="0" fontId="9" fillId="2" borderId="8" xfId="0" applyFont="1" applyFill="1" applyBorder="1" applyProtection="1"/>
    <xf numFmtId="3" fontId="10" fillId="2" borderId="9" xfId="0" applyNumberFormat="1" applyFont="1" applyFill="1" applyBorder="1" applyProtection="1"/>
    <xf numFmtId="0" fontId="10" fillId="2" borderId="9" xfId="0" applyFont="1" applyFill="1" applyBorder="1" applyProtection="1"/>
    <xf numFmtId="0" fontId="0" fillId="2" borderId="9" xfId="0" applyFill="1" applyBorder="1" applyProtection="1"/>
    <xf numFmtId="0" fontId="0" fillId="2" borderId="10" xfId="0" applyFill="1" applyBorder="1" applyProtection="1"/>
    <xf numFmtId="0" fontId="10" fillId="0" borderId="0" xfId="0" applyFont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 applyProtection="1">
      <protection locked="0"/>
    </xf>
    <xf numFmtId="3" fontId="10" fillId="0" borderId="0" xfId="0" applyNumberFormat="1" applyFont="1" applyAlignment="1" applyProtection="1">
      <alignment horizontal="center"/>
      <protection locked="0"/>
    </xf>
    <xf numFmtId="165" fontId="0" fillId="3" borderId="0" xfId="0" applyNumberFormat="1" applyFill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6" fontId="0" fillId="0" borderId="0" xfId="0" applyNumberFormat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6" fontId="0" fillId="0" borderId="13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3" fontId="12" fillId="0" borderId="0" xfId="0" applyNumberFormat="1" applyFont="1" applyAlignment="1" applyProtection="1">
      <alignment horizontal="left"/>
      <protection locked="0"/>
    </xf>
    <xf numFmtId="0" fontId="0" fillId="0" borderId="0" xfId="0" quotePrefix="1" applyAlignment="1" applyProtection="1">
      <alignment horizontal="right"/>
      <protection locked="0"/>
    </xf>
    <xf numFmtId="6" fontId="10" fillId="4" borderId="0" xfId="0" applyNumberFormat="1" applyFont="1" applyFill="1" applyAlignment="1" applyProtection="1">
      <alignment horizontal="left"/>
      <protection locked="0"/>
    </xf>
    <xf numFmtId="3" fontId="0" fillId="2" borderId="6" xfId="0" applyNumberFormat="1" applyFill="1" applyBorder="1" applyProtection="1"/>
    <xf numFmtId="0" fontId="0" fillId="2" borderId="0" xfId="0" applyFill="1" applyProtection="1"/>
    <xf numFmtId="3" fontId="1" fillId="2" borderId="6" xfId="0" applyNumberFormat="1" applyFont="1" applyFill="1" applyBorder="1" applyProtection="1"/>
    <xf numFmtId="3" fontId="12" fillId="2" borderId="0" xfId="0" applyNumberFormat="1" applyFont="1" applyFill="1" applyBorder="1" applyAlignment="1" applyProtection="1">
      <alignment horizontal="right"/>
    </xf>
    <xf numFmtId="6" fontId="0" fillId="2" borderId="0" xfId="0" applyNumberFormat="1" applyFill="1" applyBorder="1" applyAlignment="1" applyProtection="1">
      <alignment horizontal="left"/>
    </xf>
    <xf numFmtId="3" fontId="2" fillId="2" borderId="0" xfId="0" applyNumberFormat="1" applyFont="1" applyFill="1" applyBorder="1" applyProtection="1"/>
    <xf numFmtId="3" fontId="0" fillId="2" borderId="1" xfId="0" applyNumberFormat="1" applyFill="1" applyBorder="1" applyAlignment="1" applyProtection="1">
      <alignment horizontal="center"/>
    </xf>
    <xf numFmtId="0" fontId="0" fillId="2" borderId="6" xfId="0" applyFill="1" applyBorder="1" applyProtection="1"/>
    <xf numFmtId="165" fontId="0" fillId="2" borderId="0" xfId="0" applyNumberFormat="1" applyFill="1" applyBorder="1" applyAlignment="1" applyProtection="1">
      <alignment horizontal="left"/>
    </xf>
    <xf numFmtId="6" fontId="0" fillId="2" borderId="0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1" fillId="2" borderId="8" xfId="0" applyFont="1" applyFill="1" applyBorder="1" applyProtection="1"/>
    <xf numFmtId="0" fontId="0" fillId="0" borderId="0" xfId="0" applyAlignment="1" applyProtection="1">
      <alignment horizontal="right" vertical="top"/>
      <protection locked="0"/>
    </xf>
    <xf numFmtId="165" fontId="0" fillId="0" borderId="0" xfId="0" applyNumberFormat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6" fontId="0" fillId="0" borderId="14" xfId="0" applyNumberFormat="1" applyBorder="1" applyAlignment="1" applyProtection="1">
      <alignment horizontal="center"/>
      <protection locked="0"/>
    </xf>
    <xf numFmtId="6" fontId="0" fillId="4" borderId="14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Continuous"/>
      <protection locked="0"/>
    </xf>
    <xf numFmtId="6" fontId="0" fillId="0" borderId="0" xfId="0" applyNumberFormat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0" fontId="0" fillId="2" borderId="11" xfId="0" applyFill="1" applyBorder="1" applyAlignment="1" applyProtection="1">
      <alignment horizontal="center" wrapText="1"/>
    </xf>
    <xf numFmtId="164" fontId="0" fillId="2" borderId="0" xfId="0" applyNumberFormat="1" applyFill="1" applyBorder="1" applyAlignment="1" applyProtection="1">
      <alignment horizontal="center"/>
    </xf>
    <xf numFmtId="164" fontId="0" fillId="2" borderId="0" xfId="2" applyNumberFormat="1" applyFont="1" applyFill="1" applyBorder="1" applyAlignment="1" applyProtection="1">
      <alignment horizontal="center"/>
    </xf>
    <xf numFmtId="0" fontId="0" fillId="2" borderId="14" xfId="0" applyFill="1" applyBorder="1" applyProtection="1"/>
    <xf numFmtId="164" fontId="0" fillId="2" borderId="14" xfId="0" applyNumberFormat="1" applyFill="1" applyBorder="1" applyAlignment="1" applyProtection="1">
      <alignment horizontal="center"/>
    </xf>
    <xf numFmtId="0" fontId="0" fillId="2" borderId="8" xfId="0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horizontal="centerContinuous"/>
    </xf>
    <xf numFmtId="0" fontId="0" fillId="2" borderId="11" xfId="0" applyFill="1" applyBorder="1" applyAlignment="1" applyProtection="1">
      <alignment horizontal="centerContinuous"/>
    </xf>
    <xf numFmtId="0" fontId="0" fillId="2" borderId="2" xfId="0" applyFill="1" applyBorder="1" applyAlignment="1" applyProtection="1">
      <alignment horizontal="centerContinuous"/>
    </xf>
    <xf numFmtId="0" fontId="0" fillId="2" borderId="12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2" fontId="0" fillId="2" borderId="15" xfId="0" applyNumberFormat="1" applyFill="1" applyBorder="1" applyAlignment="1" applyProtection="1">
      <alignment horizontal="center"/>
    </xf>
    <xf numFmtId="9" fontId="0" fillId="2" borderId="16" xfId="0" applyNumberFormat="1" applyFill="1" applyBorder="1" applyAlignment="1" applyProtection="1">
      <alignment horizontal="center"/>
    </xf>
    <xf numFmtId="0" fontId="0" fillId="2" borderId="16" xfId="0" applyFill="1" applyBorder="1" applyProtection="1"/>
    <xf numFmtId="164" fontId="0" fillId="2" borderId="16" xfId="0" applyNumberFormat="1" applyFill="1" applyBorder="1" applyAlignment="1" applyProtection="1">
      <alignment horizontal="center"/>
    </xf>
    <xf numFmtId="0" fontId="0" fillId="2" borderId="17" xfId="0" applyFill="1" applyBorder="1" applyProtection="1"/>
    <xf numFmtId="2" fontId="0" fillId="2" borderId="18" xfId="0" applyNumberFormat="1" applyFill="1" applyBorder="1" applyAlignment="1" applyProtection="1">
      <alignment horizontal="center"/>
    </xf>
    <xf numFmtId="164" fontId="0" fillId="2" borderId="19" xfId="0" applyNumberFormat="1" applyFill="1" applyBorder="1" applyAlignment="1" applyProtection="1">
      <alignment horizontal="center"/>
    </xf>
    <xf numFmtId="2" fontId="0" fillId="2" borderId="20" xfId="0" applyNumberFormat="1" applyFill="1" applyBorder="1" applyAlignment="1" applyProtection="1">
      <alignment horizontal="center"/>
    </xf>
    <xf numFmtId="164" fontId="0" fillId="2" borderId="21" xfId="0" applyNumberFormat="1" applyFill="1" applyBorder="1" applyAlignment="1" applyProtection="1">
      <alignment horizontal="center"/>
    </xf>
    <xf numFmtId="2" fontId="0" fillId="2" borderId="22" xfId="0" applyNumberFormat="1" applyFill="1" applyBorder="1" applyAlignment="1" applyProtection="1">
      <alignment horizontal="center"/>
    </xf>
    <xf numFmtId="0" fontId="0" fillId="2" borderId="1" xfId="0" applyFill="1" applyBorder="1" applyProtection="1"/>
    <xf numFmtId="164" fontId="0" fillId="2" borderId="1" xfId="0" applyNumberFormat="1" applyFill="1" applyBorder="1" applyAlignment="1" applyProtection="1">
      <alignment horizontal="center"/>
    </xf>
    <xf numFmtId="164" fontId="0" fillId="2" borderId="23" xfId="0" applyNumberFormat="1" applyFill="1" applyBorder="1" applyAlignment="1" applyProtection="1">
      <alignment horizontal="center"/>
    </xf>
    <xf numFmtId="6" fontId="0" fillId="2" borderId="15" xfId="0" applyNumberFormat="1" applyFill="1" applyBorder="1" applyAlignment="1" applyProtection="1">
      <alignment horizontal="right"/>
    </xf>
    <xf numFmtId="6" fontId="0" fillId="2" borderId="18" xfId="0" applyNumberFormat="1" applyFill="1" applyBorder="1" applyAlignment="1" applyProtection="1">
      <alignment horizontal="right"/>
    </xf>
    <xf numFmtId="0" fontId="0" fillId="2" borderId="19" xfId="0" applyFill="1" applyBorder="1" applyProtection="1"/>
    <xf numFmtId="164" fontId="0" fillId="2" borderId="18" xfId="0" applyNumberFormat="1" applyFill="1" applyBorder="1" applyAlignment="1" applyProtection="1">
      <alignment horizontal="right"/>
    </xf>
    <xf numFmtId="164" fontId="0" fillId="2" borderId="22" xfId="0" applyNumberFormat="1" applyFill="1" applyBorder="1" applyAlignment="1" applyProtection="1">
      <alignment horizontal="right"/>
    </xf>
    <xf numFmtId="0" fontId="0" fillId="2" borderId="23" xfId="0" applyFill="1" applyBorder="1" applyProtection="1"/>
    <xf numFmtId="0" fontId="0" fillId="0" borderId="12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2" fontId="0" fillId="0" borderId="15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6" fontId="0" fillId="0" borderId="16" xfId="0" applyNumberFormat="1" applyBorder="1" applyAlignment="1" applyProtection="1">
      <alignment horizontal="center"/>
      <protection locked="0"/>
    </xf>
    <xf numFmtId="6" fontId="0" fillId="4" borderId="16" xfId="0" applyNumberFormat="1" applyFill="1" applyBorder="1" applyAlignment="1" applyProtection="1">
      <alignment horizontal="center"/>
      <protection locked="0"/>
    </xf>
    <xf numFmtId="6" fontId="0" fillId="4" borderId="17" xfId="0" applyNumberFormat="1" applyFill="1" applyBorder="1" applyAlignment="1" applyProtection="1">
      <alignment horizontal="center"/>
      <protection locked="0"/>
    </xf>
    <xf numFmtId="2" fontId="0" fillId="0" borderId="18" xfId="0" applyNumberFormat="1" applyBorder="1" applyAlignment="1" applyProtection="1">
      <alignment horizontal="center"/>
      <protection locked="0"/>
    </xf>
    <xf numFmtId="6" fontId="0" fillId="0" borderId="0" xfId="0" applyNumberFormat="1" applyBorder="1" applyAlignment="1" applyProtection="1">
      <alignment horizontal="center"/>
      <protection locked="0"/>
    </xf>
    <xf numFmtId="6" fontId="0" fillId="4" borderId="0" xfId="0" applyNumberFormat="1" applyFill="1" applyBorder="1" applyAlignment="1" applyProtection="1">
      <alignment horizontal="center"/>
      <protection locked="0"/>
    </xf>
    <xf numFmtId="6" fontId="0" fillId="4" borderId="19" xfId="0" applyNumberFormat="1" applyFill="1" applyBorder="1" applyAlignment="1" applyProtection="1">
      <alignment horizontal="center"/>
      <protection locked="0"/>
    </xf>
    <xf numFmtId="2" fontId="0" fillId="0" borderId="20" xfId="0" applyNumberFormat="1" applyBorder="1" applyAlignment="1" applyProtection="1">
      <alignment horizontal="center"/>
      <protection locked="0"/>
    </xf>
    <xf numFmtId="6" fontId="0" fillId="4" borderId="21" xfId="0" applyNumberFormat="1" applyFill="1" applyBorder="1" applyAlignment="1" applyProtection="1">
      <alignment horizontal="center"/>
      <protection locked="0"/>
    </xf>
    <xf numFmtId="2" fontId="0" fillId="0" borderId="22" xfId="0" applyNumberFormat="1" applyBorder="1" applyAlignment="1" applyProtection="1">
      <alignment horizontal="center"/>
      <protection locked="0"/>
    </xf>
    <xf numFmtId="6" fontId="0" fillId="0" borderId="1" xfId="0" applyNumberFormat="1" applyBorder="1" applyAlignment="1" applyProtection="1">
      <alignment horizontal="center"/>
      <protection locked="0"/>
    </xf>
    <xf numFmtId="6" fontId="0" fillId="4" borderId="1" xfId="0" applyNumberFormat="1" applyFill="1" applyBorder="1" applyAlignment="1" applyProtection="1">
      <alignment horizontal="center"/>
      <protection locked="0"/>
    </xf>
    <xf numFmtId="6" fontId="0" fillId="4" borderId="23" xfId="0" applyNumberFormat="1" applyFill="1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3" xfId="0" applyBorder="1" applyProtection="1">
      <protection locked="0"/>
    </xf>
    <xf numFmtId="6" fontId="0" fillId="4" borderId="17" xfId="0" applyNumberFormat="1" applyFill="1" applyBorder="1" applyProtection="1">
      <protection locked="0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55876</xdr:colOff>
      <xdr:row>3</xdr:row>
      <xdr:rowOff>26033</xdr:rowOff>
    </xdr:from>
    <xdr:ext cx="7993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1BCBB5C-4859-4E29-8B80-C9427A844973}"/>
                </a:ext>
              </a:extLst>
            </xdr:cNvPr>
            <xdr:cNvSpPr txBox="1"/>
          </xdr:nvSpPr>
          <xdr:spPr>
            <a:xfrm>
              <a:off x="7256776" y="597533"/>
              <a:ext cx="79932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31BCBB5C-4859-4E29-8B80-C9427A844973}"/>
                </a:ext>
              </a:extLst>
            </xdr:cNvPr>
            <xdr:cNvSpPr txBox="1"/>
          </xdr:nvSpPr>
          <xdr:spPr>
            <a:xfrm>
              <a:off x="7256776" y="597533"/>
              <a:ext cx="799321" cy="17222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𝑒−(𝑐−1)𝐸</a:t>
              </a:r>
              <a:endParaRPr lang="en-GB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395180</xdr:colOff>
      <xdr:row>2</xdr:row>
      <xdr:rowOff>18625</xdr:rowOff>
    </xdr:from>
    <xdr:ext cx="10427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B5A92E6-E390-4BAD-B8A1-6F4519057735}"/>
                </a:ext>
              </a:extLst>
            </xdr:cNvPr>
            <xdr:cNvSpPr txBox="1"/>
          </xdr:nvSpPr>
          <xdr:spPr>
            <a:xfrm>
              <a:off x="10310705" y="399625"/>
              <a:ext cx="10427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=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𝐵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𝑐𝐿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𝑇</m:t>
                    </m:r>
                  </m:oMath>
                </m:oMathPara>
              </a14:m>
              <a:endParaRPr lang="en-GB" sz="1100" b="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FB5A92E6-E390-4BAD-B8A1-6F4519057735}"/>
                </a:ext>
              </a:extLst>
            </xdr:cNvPr>
            <xdr:cNvSpPr txBox="1"/>
          </xdr:nvSpPr>
          <xdr:spPr>
            <a:xfrm>
              <a:off x="10310705" y="399625"/>
              <a:ext cx="10427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𝑅=(𝐵+𝑐𝐿)⋅𝑇</a:t>
              </a:r>
              <a:endParaRPr lang="en-GB" sz="1100" b="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79" t="s">
        <v>11</v>
      </c>
      <c r="B5" s="79"/>
      <c r="C5" s="79"/>
    </row>
    <row r="6" spans="1:3" ht="15" customHeight="1" x14ac:dyDescent="0.25">
      <c r="A6" s="79"/>
      <c r="B6" s="79"/>
      <c r="C6" s="79"/>
    </row>
    <row r="7" spans="1:3" ht="15" customHeight="1" x14ac:dyDescent="0.25"/>
    <row r="8" spans="1:3" ht="15" customHeight="1" x14ac:dyDescent="0.3">
      <c r="A8" s="80" t="s">
        <v>10</v>
      </c>
      <c r="B8" s="80"/>
      <c r="C8" s="80"/>
    </row>
    <row r="9" spans="1:3" ht="21" x14ac:dyDescent="0.35">
      <c r="A9" s="7"/>
      <c r="B9" s="7"/>
      <c r="C9" s="7"/>
    </row>
    <row r="10" spans="1:3" x14ac:dyDescent="0.25">
      <c r="A10" s="3" t="s">
        <v>0</v>
      </c>
      <c r="B10" s="3" t="s">
        <v>1</v>
      </c>
      <c r="C10" s="3" t="s">
        <v>2</v>
      </c>
    </row>
    <row r="11" spans="1:3" x14ac:dyDescent="0.25">
      <c r="A11" s="4">
        <v>1</v>
      </c>
      <c r="B11" s="2" t="s">
        <v>12</v>
      </c>
      <c r="C11" s="1" t="s">
        <v>15</v>
      </c>
    </row>
    <row r="12" spans="1:3" x14ac:dyDescent="0.25">
      <c r="A12" s="4">
        <v>2</v>
      </c>
      <c r="B12" s="2" t="s">
        <v>56</v>
      </c>
      <c r="C12" s="1" t="s">
        <v>28</v>
      </c>
    </row>
    <row r="13" spans="1:3" x14ac:dyDescent="0.25">
      <c r="A13" s="4">
        <v>3</v>
      </c>
      <c r="B13" s="2" t="s">
        <v>138</v>
      </c>
      <c r="C13" s="1" t="s">
        <v>139</v>
      </c>
    </row>
    <row r="14" spans="1:3" x14ac:dyDescent="0.25">
      <c r="A14" s="4"/>
    </row>
    <row r="15" spans="1:3" x14ac:dyDescent="0.25">
      <c r="A15" s="4"/>
    </row>
    <row r="16" spans="1:3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5"/>
    </row>
    <row r="20" spans="1:1" x14ac:dyDescent="0.25">
      <c r="A20" s="5"/>
    </row>
    <row r="21" spans="1:1" x14ac:dyDescent="0.25">
      <c r="A21" s="5"/>
    </row>
    <row r="22" spans="1:1" x14ac:dyDescent="0.25">
      <c r="A22" s="5"/>
    </row>
    <row r="23" spans="1:1" x14ac:dyDescent="0.25">
      <c r="A23" s="5"/>
    </row>
    <row r="24" spans="1:1" x14ac:dyDescent="0.25">
      <c r="A24" s="5"/>
    </row>
    <row r="25" spans="1:1" x14ac:dyDescent="0.25">
      <c r="A25" s="5"/>
    </row>
    <row r="26" spans="1:1" x14ac:dyDescent="0.25">
      <c r="A26" s="5"/>
    </row>
    <row r="27" spans="1:1" x14ac:dyDescent="0.25">
      <c r="A27" s="5"/>
    </row>
    <row r="28" spans="1:1" x14ac:dyDescent="0.25">
      <c r="A28" s="5"/>
    </row>
    <row r="29" spans="1:1" x14ac:dyDescent="0.25">
      <c r="A29" s="5"/>
    </row>
    <row r="30" spans="1:1" x14ac:dyDescent="0.25">
      <c r="A30" s="5"/>
    </row>
    <row r="31" spans="1:1" x14ac:dyDescent="0.25">
      <c r="A31" s="5"/>
    </row>
    <row r="32" spans="1:1" x14ac:dyDescent="0.25">
      <c r="A32" s="5"/>
    </row>
    <row r="33" spans="1:1" x14ac:dyDescent="0.25">
      <c r="A33" s="5"/>
    </row>
    <row r="34" spans="1: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  <row r="50" spans="1:1" x14ac:dyDescent="0.25">
      <c r="A50" s="5"/>
    </row>
    <row r="51" spans="1:1" x14ac:dyDescent="0.25">
      <c r="A51" s="5"/>
    </row>
    <row r="52" spans="1:1" x14ac:dyDescent="0.25">
      <c r="A52" s="5"/>
    </row>
    <row r="53" spans="1:1" x14ac:dyDescent="0.25">
      <c r="A53" s="5"/>
    </row>
    <row r="54" spans="1:1" x14ac:dyDescent="0.25">
      <c r="A54" s="5"/>
    </row>
    <row r="55" spans="1:1" x14ac:dyDescent="0.25">
      <c r="A55" s="5"/>
    </row>
    <row r="56" spans="1:1" x14ac:dyDescent="0.25">
      <c r="A56" s="5"/>
    </row>
    <row r="57" spans="1:1" x14ac:dyDescent="0.25">
      <c r="A57" s="5"/>
    </row>
    <row r="58" spans="1:1" x14ac:dyDescent="0.25">
      <c r="A58" s="5"/>
    </row>
    <row r="59" spans="1:1" x14ac:dyDescent="0.25">
      <c r="A59" s="5"/>
    </row>
    <row r="60" spans="1:1" x14ac:dyDescent="0.25">
      <c r="A60" s="5"/>
    </row>
    <row r="61" spans="1:1" x14ac:dyDescent="0.25">
      <c r="A61" s="5"/>
    </row>
    <row r="62" spans="1:1" x14ac:dyDescent="0.25">
      <c r="A62" s="5"/>
    </row>
    <row r="63" spans="1:1" x14ac:dyDescent="0.25">
      <c r="A63" s="5"/>
    </row>
    <row r="64" spans="1:1" x14ac:dyDescent="0.25">
      <c r="A64" s="5"/>
    </row>
    <row r="65" spans="1:1" x14ac:dyDescent="0.25">
      <c r="A65" s="5"/>
    </row>
    <row r="66" spans="1:1" x14ac:dyDescent="0.25">
      <c r="A66" s="5"/>
    </row>
    <row r="67" spans="1:1" x14ac:dyDescent="0.25">
      <c r="A67" s="5"/>
    </row>
    <row r="68" spans="1:1" x14ac:dyDescent="0.25">
      <c r="A68" s="5"/>
    </row>
    <row r="69" spans="1:1" x14ac:dyDescent="0.25">
      <c r="A69" s="5"/>
    </row>
    <row r="70" spans="1:1" x14ac:dyDescent="0.25">
      <c r="A70" s="5"/>
    </row>
    <row r="71" spans="1:1" x14ac:dyDescent="0.25">
      <c r="A71" s="5"/>
    </row>
    <row r="72" spans="1:1" x14ac:dyDescent="0.25">
      <c r="A72" s="5"/>
    </row>
    <row r="73" spans="1:1" x14ac:dyDescent="0.25">
      <c r="A73" s="5"/>
    </row>
    <row r="74" spans="1:1" x14ac:dyDescent="0.25">
      <c r="A74" s="5"/>
    </row>
    <row r="75" spans="1:1" x14ac:dyDescent="0.25">
      <c r="A75" s="5"/>
    </row>
    <row r="76" spans="1:1" x14ac:dyDescent="0.25">
      <c r="A76" s="5"/>
    </row>
    <row r="77" spans="1:1" x14ac:dyDescent="0.25">
      <c r="A77" s="5"/>
    </row>
    <row r="78" spans="1:1" x14ac:dyDescent="0.25">
      <c r="A78" s="5"/>
    </row>
    <row r="79" spans="1:1" x14ac:dyDescent="0.25">
      <c r="A79" s="5"/>
    </row>
    <row r="80" spans="1:1" x14ac:dyDescent="0.25">
      <c r="A80" s="5"/>
    </row>
    <row r="81" spans="1:1" x14ac:dyDescent="0.25">
      <c r="A81" s="5"/>
    </row>
    <row r="82" spans="1:1" x14ac:dyDescent="0.25">
      <c r="A82" s="5"/>
    </row>
    <row r="83" spans="1:1" x14ac:dyDescent="0.25">
      <c r="A83" s="5"/>
    </row>
    <row r="84" spans="1:1" x14ac:dyDescent="0.25">
      <c r="A84" s="5"/>
    </row>
    <row r="85" spans="1:1" x14ac:dyDescent="0.25">
      <c r="A85" s="5"/>
    </row>
    <row r="86" spans="1:1" x14ac:dyDescent="0.25">
      <c r="A86" s="5"/>
    </row>
    <row r="88" spans="1:1" x14ac:dyDescent="0.25">
      <c r="A88" s="5"/>
    </row>
    <row r="89" spans="1:1" x14ac:dyDescent="0.25">
      <c r="A89" s="5"/>
    </row>
    <row r="90" spans="1:1" x14ac:dyDescent="0.25">
      <c r="A90" s="5"/>
    </row>
    <row r="91" spans="1:1" x14ac:dyDescent="0.25">
      <c r="A91" s="5"/>
    </row>
    <row r="92" spans="1:1" x14ac:dyDescent="0.25">
      <c r="A92" s="5"/>
    </row>
    <row r="93" spans="1:1" x14ac:dyDescent="0.25">
      <c r="A93" s="5"/>
    </row>
    <row r="94" spans="1:1" x14ac:dyDescent="0.25">
      <c r="A94" s="5"/>
    </row>
    <row r="95" spans="1:1" x14ac:dyDescent="0.25">
      <c r="A95" s="5"/>
    </row>
    <row r="96" spans="1:1" x14ac:dyDescent="0.25">
      <c r="A96" s="5"/>
    </row>
    <row r="97" spans="1:1" x14ac:dyDescent="0.25">
      <c r="A97" s="5"/>
    </row>
    <row r="98" spans="1:1" x14ac:dyDescent="0.25">
      <c r="A98" s="5"/>
    </row>
    <row r="99" spans="1:1" x14ac:dyDescent="0.25">
      <c r="A99" s="5"/>
    </row>
    <row r="100" spans="1:1" x14ac:dyDescent="0.25">
      <c r="A100" s="5"/>
    </row>
    <row r="101" spans="1:1" x14ac:dyDescent="0.25">
      <c r="A101" s="5"/>
    </row>
    <row r="102" spans="1:1" x14ac:dyDescent="0.25">
      <c r="A102" s="5"/>
    </row>
    <row r="103" spans="1:1" x14ac:dyDescent="0.25">
      <c r="A103" s="5"/>
    </row>
    <row r="104" spans="1:1" x14ac:dyDescent="0.25">
      <c r="A104" s="5"/>
    </row>
    <row r="105" spans="1:1" x14ac:dyDescent="0.25">
      <c r="A105" s="5"/>
    </row>
    <row r="106" spans="1:1" x14ac:dyDescent="0.25">
      <c r="A106" s="5"/>
    </row>
    <row r="107" spans="1:1" x14ac:dyDescent="0.25">
      <c r="A107" s="5"/>
    </row>
    <row r="108" spans="1:1" x14ac:dyDescent="0.25">
      <c r="A108" s="5"/>
    </row>
    <row r="109" spans="1:1" x14ac:dyDescent="0.25">
      <c r="A109" s="5"/>
    </row>
    <row r="110" spans="1:1" x14ac:dyDescent="0.25">
      <c r="A110" s="5"/>
    </row>
    <row r="111" spans="1:1" x14ac:dyDescent="0.25">
      <c r="A111" s="5"/>
    </row>
    <row r="112" spans="1:1" x14ac:dyDescent="0.25">
      <c r="A112" s="5"/>
    </row>
    <row r="113" spans="1:1" x14ac:dyDescent="0.25">
      <c r="A113" s="5"/>
    </row>
    <row r="114" spans="1:1" x14ac:dyDescent="0.25">
      <c r="A114" s="5"/>
    </row>
    <row r="115" spans="1:1" x14ac:dyDescent="0.25">
      <c r="A115" s="5"/>
    </row>
    <row r="116" spans="1:1" x14ac:dyDescent="0.25">
      <c r="A116" s="5"/>
    </row>
    <row r="117" spans="1:1" x14ac:dyDescent="0.25">
      <c r="A117" s="5"/>
    </row>
    <row r="118" spans="1:1" x14ac:dyDescent="0.25">
      <c r="A118" s="5"/>
    </row>
    <row r="119" spans="1:1" x14ac:dyDescent="0.25">
      <c r="A119" s="5"/>
    </row>
    <row r="120" spans="1:1" x14ac:dyDescent="0.25">
      <c r="A120" s="5"/>
    </row>
    <row r="121" spans="1:1" x14ac:dyDescent="0.25">
      <c r="A121" s="5"/>
    </row>
    <row r="122" spans="1:1" x14ac:dyDescent="0.25">
      <c r="A122" s="5"/>
    </row>
    <row r="123" spans="1:1" x14ac:dyDescent="0.25">
      <c r="A123" s="5"/>
    </row>
    <row r="124" spans="1:1" x14ac:dyDescent="0.25">
      <c r="A124" s="5"/>
    </row>
    <row r="125" spans="1:1" x14ac:dyDescent="0.25">
      <c r="A125" s="5"/>
    </row>
    <row r="126" spans="1:1" x14ac:dyDescent="0.25">
      <c r="A126" s="5"/>
    </row>
    <row r="127" spans="1:1" x14ac:dyDescent="0.25">
      <c r="A127" s="5"/>
    </row>
    <row r="128" spans="1:1" x14ac:dyDescent="0.25">
      <c r="A128" s="5"/>
    </row>
    <row r="129" spans="1:1" x14ac:dyDescent="0.25">
      <c r="A129" s="5"/>
    </row>
    <row r="130" spans="1:1" x14ac:dyDescent="0.25">
      <c r="A130" s="5"/>
    </row>
  </sheetData>
  <sheetProtection algorithmName="SHA-512" hashValue="z5Kz20uiZRBi5Pe6Q1O+UOGaD1PkCXDIsuDkTAEqiFUZ7pk0TIwZA5CuByL+q1tzHDebikb+wxkyvVIO1mgcFA==" saltValue="z4F1sa/KM3ziT6tUxhHQtg==" spinCount="100000" sheet="1" objects="1" scenarios="1" formatCells="0" formatColumns="0" formatRows="0"/>
  <mergeCells count="2">
    <mergeCell ref="A5:C6"/>
    <mergeCell ref="A8:C8"/>
  </mergeCells>
  <hyperlinks>
    <hyperlink ref="A11" location="'W-Fisher-RiskSharing1'!A1" display="'W-Fisher-RiskSharing1'!A1" xr:uid="{DC971D5C-483B-4A01-B4E0-7E9F4C0FB7EB}"/>
    <hyperlink ref="A12" location="'W-Fisher-RiskSharing2'!A1" display="'W-Fisher-RiskSharing2'!A1" xr:uid="{9BEBFE29-1AE5-43DD-BABC-0CDF043D0674}"/>
    <hyperlink ref="A13" location="'W-Fisher-RiskSharing3'!A1" display="'W-Fisher-RiskSharing3'!A1" xr:uid="{74825BF8-E184-4D13-BCD7-0EDD570C1AFA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B560-720C-4A1E-B67C-6A5B00F4561A}">
  <sheetPr codeName="Sheet65"/>
  <dimension ref="A1:V100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21.28515625" style="10" customWidth="1"/>
    <col min="4" max="4" width="31.5703125" style="10" customWidth="1"/>
    <col min="5" max="5" width="5.7109375" style="10" customWidth="1"/>
    <col min="6" max="6" width="6" style="10" customWidth="1"/>
    <col min="7" max="7" width="2.7109375" style="10" customWidth="1"/>
    <col min="8" max="8" width="25.28515625" style="10" customWidth="1"/>
    <col min="9" max="9" width="15.7109375" style="10" customWidth="1"/>
    <col min="10" max="12" width="8.7109375" style="10" customWidth="1"/>
    <col min="13" max="20" width="5.7109375" style="10" customWidth="1"/>
    <col min="21" max="16384" width="9.140625" style="10"/>
  </cols>
  <sheetData>
    <row r="1" spans="1:22" x14ac:dyDescent="0.25">
      <c r="A1" s="17" t="s">
        <v>3</v>
      </c>
      <c r="B1" s="18"/>
      <c r="C1" s="18" t="s">
        <v>13</v>
      </c>
      <c r="D1" s="19"/>
      <c r="E1" s="18"/>
      <c r="F1" s="6" t="s">
        <v>8</v>
      </c>
      <c r="G1" s="8"/>
      <c r="H1" s="9" t="s">
        <v>9</v>
      </c>
      <c r="U1" s="8"/>
    </row>
    <row r="2" spans="1:22" x14ac:dyDescent="0.25">
      <c r="A2" s="20" t="s">
        <v>4</v>
      </c>
      <c r="B2" s="21"/>
      <c r="C2" s="21" t="s">
        <v>14</v>
      </c>
      <c r="D2" s="21"/>
      <c r="E2" s="21"/>
      <c r="F2" s="22"/>
      <c r="G2" s="8"/>
      <c r="U2" s="8"/>
    </row>
    <row r="3" spans="1:22" x14ac:dyDescent="0.25">
      <c r="A3" s="20" t="s">
        <v>5</v>
      </c>
      <c r="B3" s="21"/>
      <c r="C3" s="21" t="s">
        <v>15</v>
      </c>
      <c r="D3" s="21"/>
      <c r="E3" s="21"/>
      <c r="F3" s="22"/>
      <c r="G3" s="8"/>
      <c r="H3" s="10" t="s">
        <v>26</v>
      </c>
      <c r="U3" s="8"/>
    </row>
    <row r="4" spans="1:22" x14ac:dyDescent="0.25">
      <c r="A4" s="23"/>
      <c r="B4" s="24"/>
      <c r="C4" s="24"/>
      <c r="D4" s="24"/>
      <c r="E4" s="25"/>
      <c r="F4" s="26"/>
      <c r="G4" s="11"/>
      <c r="H4" s="10" t="s">
        <v>27</v>
      </c>
      <c r="U4" s="11"/>
      <c r="V4" s="12"/>
    </row>
    <row r="5" spans="1:22" ht="15" customHeight="1" x14ac:dyDescent="0.25">
      <c r="A5" s="27" t="s">
        <v>6</v>
      </c>
      <c r="B5" s="28"/>
      <c r="C5" s="28" t="s">
        <v>16</v>
      </c>
      <c r="D5" s="29">
        <v>1.1000000000000001</v>
      </c>
      <c r="E5" s="21"/>
      <c r="F5" s="22"/>
      <c r="G5" s="11"/>
      <c r="R5" s="12"/>
      <c r="S5" s="12"/>
      <c r="T5" s="12"/>
      <c r="U5" s="11"/>
      <c r="V5" s="12"/>
    </row>
    <row r="6" spans="1:22" x14ac:dyDescent="0.25">
      <c r="A6" s="30"/>
      <c r="B6" s="28"/>
      <c r="C6" s="28" t="s">
        <v>18</v>
      </c>
      <c r="D6" s="29">
        <v>0.7</v>
      </c>
      <c r="E6" s="21"/>
      <c r="F6" s="22"/>
      <c r="G6" s="11"/>
      <c r="H6" s="10" t="s">
        <v>17</v>
      </c>
      <c r="R6" s="12"/>
      <c r="S6" s="12"/>
      <c r="T6" s="12"/>
      <c r="U6" s="11"/>
      <c r="V6" s="12"/>
    </row>
    <row r="7" spans="1:22" ht="15" customHeight="1" x14ac:dyDescent="0.25">
      <c r="A7" s="30"/>
      <c r="B7" s="28"/>
      <c r="C7" s="28" t="s">
        <v>20</v>
      </c>
      <c r="D7" s="29">
        <v>0.2</v>
      </c>
      <c r="E7" s="21"/>
      <c r="F7" s="22"/>
      <c r="G7" s="11"/>
      <c r="H7" s="10" t="s">
        <v>19</v>
      </c>
      <c r="I7" s="13">
        <f>D5</f>
        <v>1.1000000000000001</v>
      </c>
      <c r="R7" s="12"/>
      <c r="S7" s="12"/>
      <c r="T7" s="12"/>
      <c r="U7" s="11"/>
      <c r="V7" s="12"/>
    </row>
    <row r="8" spans="1:22" ht="15" customHeight="1" x14ac:dyDescent="0.25">
      <c r="A8" s="27"/>
      <c r="B8" s="24"/>
      <c r="C8" s="28"/>
      <c r="D8" s="28"/>
      <c r="E8" s="21"/>
      <c r="F8" s="22"/>
      <c r="G8" s="11"/>
      <c r="H8" s="10" t="s">
        <v>21</v>
      </c>
      <c r="I8" s="13">
        <f>D6</f>
        <v>0.7</v>
      </c>
      <c r="R8" s="12"/>
      <c r="S8" s="12"/>
      <c r="T8" s="12"/>
      <c r="U8" s="11"/>
      <c r="V8" s="12"/>
    </row>
    <row r="9" spans="1:22" x14ac:dyDescent="0.25">
      <c r="A9" s="31" t="s">
        <v>7</v>
      </c>
      <c r="B9" s="24"/>
      <c r="C9" s="28" t="s">
        <v>24</v>
      </c>
      <c r="D9" s="28"/>
      <c r="E9" s="21"/>
      <c r="F9" s="22"/>
      <c r="G9" s="11"/>
      <c r="H9" s="10" t="s">
        <v>22</v>
      </c>
      <c r="I9" s="13">
        <f>D7</f>
        <v>0.2</v>
      </c>
      <c r="R9" s="12"/>
      <c r="S9" s="12"/>
      <c r="T9" s="12"/>
      <c r="U9" s="11"/>
      <c r="V9" s="12"/>
    </row>
    <row r="10" spans="1:22" ht="15.75" thickBot="1" x14ac:dyDescent="0.3">
      <c r="A10" s="32"/>
      <c r="B10" s="33"/>
      <c r="C10" s="34" t="s">
        <v>25</v>
      </c>
      <c r="D10" s="34"/>
      <c r="E10" s="35"/>
      <c r="F10" s="36"/>
      <c r="G10" s="11"/>
      <c r="R10" s="12"/>
      <c r="S10" s="12"/>
      <c r="T10" s="12"/>
      <c r="U10" s="11"/>
      <c r="V10" s="12"/>
    </row>
    <row r="11" spans="1:22" x14ac:dyDescent="0.25">
      <c r="A11" s="12"/>
      <c r="B11" s="12"/>
      <c r="G11" s="11"/>
      <c r="H11" s="10" t="s">
        <v>23</v>
      </c>
      <c r="R11" s="12"/>
      <c r="S11" s="12"/>
      <c r="T11" s="12"/>
      <c r="U11" s="11"/>
      <c r="V11" s="12"/>
    </row>
    <row r="12" spans="1:22" x14ac:dyDescent="0.25">
      <c r="A12" s="12"/>
      <c r="B12" s="12"/>
      <c r="G12" s="11"/>
      <c r="H12" s="14" t="str">
        <f>TEXT(H13,"0.0%")&amp;" = "&amp; I9&amp; " - ("&amp;I7&amp;" - 1)*"&amp;I8</f>
        <v>13.0% = 0.2 - (1.1 - 1)*0.7</v>
      </c>
      <c r="R12" s="12"/>
      <c r="S12" s="12"/>
      <c r="T12" s="12"/>
      <c r="U12" s="11"/>
      <c r="V12" s="12"/>
    </row>
    <row r="13" spans="1:22" x14ac:dyDescent="0.25">
      <c r="A13" s="12"/>
      <c r="B13" s="12"/>
      <c r="G13" s="11"/>
      <c r="H13" s="15">
        <f>I9-(I7-1)*I8</f>
        <v>0.12999999999999995</v>
      </c>
      <c r="R13" s="12"/>
      <c r="S13" s="12"/>
      <c r="T13" s="12"/>
      <c r="U13" s="11"/>
      <c r="V13" s="12"/>
    </row>
    <row r="14" spans="1:22" x14ac:dyDescent="0.25">
      <c r="A14" s="12"/>
      <c r="B14" s="12"/>
      <c r="G14" s="11"/>
      <c r="R14" s="12"/>
      <c r="S14" s="12"/>
      <c r="T14" s="12"/>
      <c r="U14" s="11"/>
      <c r="V14" s="12"/>
    </row>
    <row r="15" spans="1:22" x14ac:dyDescent="0.25">
      <c r="G15" s="11"/>
      <c r="R15" s="12"/>
      <c r="S15" s="12"/>
      <c r="T15" s="12"/>
      <c r="U15" s="11"/>
      <c r="V15" s="12"/>
    </row>
    <row r="16" spans="1:22" x14ac:dyDescent="0.25">
      <c r="G16" s="11"/>
      <c r="R16" s="12"/>
      <c r="S16" s="12"/>
      <c r="T16" s="12"/>
      <c r="U16" s="11"/>
      <c r="V16" s="12"/>
    </row>
    <row r="17" spans="7:22" x14ac:dyDescent="0.25">
      <c r="G17" s="11"/>
      <c r="R17" s="12"/>
      <c r="S17" s="12"/>
      <c r="T17" s="12"/>
      <c r="U17" s="11"/>
      <c r="V17" s="12"/>
    </row>
    <row r="18" spans="7:22" x14ac:dyDescent="0.25">
      <c r="G18" s="11"/>
      <c r="R18" s="12"/>
      <c r="S18" s="12"/>
      <c r="T18" s="12"/>
      <c r="U18" s="11"/>
      <c r="V18" s="12"/>
    </row>
    <row r="19" spans="7:22" ht="15" customHeight="1" x14ac:dyDescent="0.25">
      <c r="G19" s="11"/>
      <c r="R19" s="12"/>
      <c r="S19" s="12"/>
      <c r="T19" s="12"/>
      <c r="U19" s="11"/>
      <c r="V19" s="12"/>
    </row>
    <row r="20" spans="7:22" x14ac:dyDescent="0.25">
      <c r="G20" s="11"/>
      <c r="R20" s="12"/>
      <c r="S20" s="12"/>
      <c r="T20" s="12"/>
      <c r="U20" s="11"/>
      <c r="V20" s="12"/>
    </row>
    <row r="21" spans="7:22" x14ac:dyDescent="0.25">
      <c r="G21" s="11"/>
      <c r="R21" s="12"/>
      <c r="S21" s="12"/>
      <c r="T21" s="12"/>
      <c r="U21" s="11"/>
      <c r="V21" s="12"/>
    </row>
    <row r="22" spans="7:22" x14ac:dyDescent="0.25">
      <c r="G22" s="11"/>
      <c r="O22" s="12"/>
      <c r="P22" s="12"/>
      <c r="Q22" s="12"/>
      <c r="R22" s="12"/>
      <c r="S22" s="12"/>
      <c r="T22" s="12"/>
      <c r="U22" s="11"/>
      <c r="V22" s="12"/>
    </row>
    <row r="23" spans="7:22" ht="15" customHeight="1" x14ac:dyDescent="0.25">
      <c r="G23" s="11"/>
      <c r="O23" s="12"/>
      <c r="P23" s="12"/>
      <c r="Q23" s="12"/>
      <c r="R23" s="12"/>
      <c r="S23" s="12"/>
      <c r="T23" s="12"/>
      <c r="U23" s="11"/>
      <c r="V23" s="12"/>
    </row>
    <row r="24" spans="7:22" ht="15" customHeight="1" x14ac:dyDescent="0.25">
      <c r="G24" s="11"/>
      <c r="O24" s="12"/>
      <c r="P24" s="12"/>
      <c r="Q24" s="12"/>
      <c r="R24" s="12"/>
      <c r="S24" s="12"/>
      <c r="T24" s="12"/>
      <c r="U24" s="11"/>
      <c r="V24" s="12"/>
    </row>
    <row r="25" spans="7:22" ht="15" customHeight="1" x14ac:dyDescent="0.25">
      <c r="G25" s="11"/>
      <c r="O25" s="12"/>
      <c r="P25" s="12"/>
      <c r="Q25" s="12"/>
      <c r="R25" s="12"/>
      <c r="S25" s="12"/>
      <c r="T25" s="12"/>
      <c r="U25" s="11"/>
      <c r="V25" s="12"/>
    </row>
    <row r="26" spans="7:22" ht="15" customHeight="1" x14ac:dyDescent="0.25">
      <c r="G26" s="11"/>
      <c r="O26" s="12"/>
      <c r="P26" s="12"/>
      <c r="Q26" s="12"/>
      <c r="R26" s="12"/>
      <c r="S26" s="12"/>
      <c r="T26" s="12"/>
      <c r="U26" s="11"/>
      <c r="V26" s="12"/>
    </row>
    <row r="27" spans="7:22" ht="15" customHeight="1" x14ac:dyDescent="0.25">
      <c r="G27" s="11"/>
      <c r="O27" s="12"/>
      <c r="P27" s="12"/>
      <c r="Q27" s="12"/>
      <c r="R27" s="12"/>
      <c r="S27" s="12"/>
      <c r="T27" s="12"/>
      <c r="U27" s="11"/>
      <c r="V27" s="12"/>
    </row>
    <row r="28" spans="7:22" ht="15" customHeight="1" x14ac:dyDescent="0.25">
      <c r="G28" s="11"/>
      <c r="O28" s="12"/>
      <c r="P28" s="12"/>
      <c r="Q28" s="12"/>
      <c r="R28" s="12"/>
      <c r="S28" s="12"/>
      <c r="T28" s="12"/>
      <c r="U28" s="11"/>
      <c r="V28" s="12"/>
    </row>
    <row r="29" spans="7:22" x14ac:dyDescent="0.25">
      <c r="G29" s="11"/>
      <c r="O29" s="12"/>
      <c r="P29" s="12"/>
      <c r="Q29" s="12"/>
      <c r="R29" s="12"/>
      <c r="S29" s="12"/>
      <c r="T29" s="12"/>
      <c r="U29" s="11"/>
      <c r="V29" s="12"/>
    </row>
    <row r="30" spans="7:22" x14ac:dyDescent="0.25">
      <c r="G30" s="11"/>
      <c r="O30" s="12"/>
      <c r="P30" s="12"/>
      <c r="Q30" s="12"/>
      <c r="R30" s="12"/>
      <c r="S30" s="12"/>
      <c r="T30" s="12"/>
      <c r="U30" s="11"/>
      <c r="V30" s="12"/>
    </row>
    <row r="31" spans="7:22" x14ac:dyDescent="0.25">
      <c r="G31" s="11"/>
      <c r="O31" s="12"/>
      <c r="P31" s="12"/>
      <c r="Q31" s="12"/>
      <c r="R31" s="12"/>
      <c r="S31" s="12"/>
      <c r="T31" s="12"/>
      <c r="U31" s="11"/>
      <c r="V31" s="12"/>
    </row>
    <row r="32" spans="7:22" x14ac:dyDescent="0.25">
      <c r="G32" s="11"/>
      <c r="O32" s="12"/>
      <c r="P32" s="12"/>
      <c r="Q32" s="12"/>
      <c r="R32" s="12"/>
      <c r="S32" s="12"/>
      <c r="T32" s="12"/>
      <c r="U32" s="11"/>
      <c r="V32" s="12"/>
    </row>
    <row r="33" spans="1:22" x14ac:dyDescent="0.25">
      <c r="G33" s="11"/>
      <c r="O33" s="12"/>
      <c r="P33" s="12"/>
      <c r="Q33" s="12"/>
      <c r="R33" s="12"/>
      <c r="S33" s="12"/>
      <c r="T33" s="12"/>
      <c r="U33" s="11"/>
      <c r="V33" s="12"/>
    </row>
    <row r="34" spans="1:22" x14ac:dyDescent="0.25">
      <c r="G34" s="11"/>
      <c r="O34" s="12"/>
      <c r="P34" s="12"/>
      <c r="Q34" s="12"/>
      <c r="R34" s="12"/>
      <c r="S34" s="12"/>
      <c r="T34" s="12"/>
      <c r="U34" s="11"/>
      <c r="V34" s="12"/>
    </row>
    <row r="35" spans="1:22" x14ac:dyDescent="0.25">
      <c r="G35" s="11"/>
      <c r="O35" s="12"/>
      <c r="P35" s="12"/>
      <c r="Q35" s="12"/>
      <c r="R35" s="12"/>
      <c r="S35" s="12"/>
      <c r="T35" s="12"/>
      <c r="U35" s="11"/>
      <c r="V35" s="12"/>
    </row>
    <row r="36" spans="1:22" x14ac:dyDescent="0.25">
      <c r="G36" s="11"/>
      <c r="O36" s="12"/>
      <c r="P36" s="12"/>
      <c r="Q36" s="12"/>
      <c r="R36" s="12"/>
      <c r="S36" s="12"/>
      <c r="T36" s="12"/>
      <c r="U36" s="11"/>
      <c r="V36" s="12"/>
    </row>
    <row r="37" spans="1:22" x14ac:dyDescent="0.25">
      <c r="G37" s="11"/>
      <c r="O37" s="12"/>
      <c r="P37" s="12"/>
      <c r="Q37" s="12"/>
      <c r="R37" s="12"/>
      <c r="S37" s="12"/>
      <c r="T37" s="12"/>
      <c r="U37" s="11"/>
      <c r="V37" s="12"/>
    </row>
    <row r="38" spans="1:22" x14ac:dyDescent="0.25">
      <c r="G38" s="11"/>
      <c r="O38" s="12"/>
      <c r="P38" s="12"/>
      <c r="Q38" s="12"/>
      <c r="R38" s="12"/>
      <c r="S38" s="12"/>
      <c r="T38" s="12"/>
      <c r="U38" s="11"/>
      <c r="V38" s="12"/>
    </row>
    <row r="39" spans="1:22" x14ac:dyDescent="0.25">
      <c r="A39" s="12"/>
      <c r="B39" s="12"/>
      <c r="G39" s="11"/>
      <c r="O39" s="12"/>
      <c r="P39" s="12"/>
      <c r="Q39" s="12"/>
      <c r="R39" s="12"/>
      <c r="S39" s="12"/>
      <c r="T39" s="12"/>
      <c r="U39" s="11"/>
      <c r="V39" s="12"/>
    </row>
    <row r="40" spans="1:22" x14ac:dyDescent="0.25">
      <c r="G40" s="11"/>
      <c r="O40" s="12"/>
      <c r="P40" s="12"/>
      <c r="Q40" s="12"/>
      <c r="R40" s="12"/>
      <c r="S40" s="12"/>
      <c r="T40" s="12"/>
      <c r="U40" s="11"/>
      <c r="V40" s="12"/>
    </row>
    <row r="41" spans="1:22" x14ac:dyDescent="0.25">
      <c r="G41" s="11"/>
      <c r="O41" s="12"/>
      <c r="P41" s="12"/>
      <c r="Q41" s="12"/>
      <c r="R41" s="12"/>
      <c r="S41" s="12"/>
      <c r="T41" s="12"/>
      <c r="U41" s="11"/>
      <c r="V41" s="12"/>
    </row>
    <row r="42" spans="1:22" x14ac:dyDescent="0.25">
      <c r="G42" s="11"/>
      <c r="O42" s="12"/>
      <c r="P42" s="12"/>
      <c r="Q42" s="12"/>
      <c r="R42" s="12"/>
      <c r="S42" s="12"/>
      <c r="T42" s="12"/>
      <c r="U42" s="11"/>
      <c r="V42" s="12"/>
    </row>
    <row r="43" spans="1:22" x14ac:dyDescent="0.25">
      <c r="G43" s="11"/>
      <c r="O43" s="12"/>
      <c r="P43" s="12"/>
      <c r="Q43" s="12"/>
      <c r="R43" s="12"/>
      <c r="S43" s="12"/>
      <c r="T43" s="12"/>
      <c r="U43" s="11"/>
      <c r="V43" s="12"/>
    </row>
    <row r="44" spans="1:22" x14ac:dyDescent="0.25">
      <c r="G44" s="11"/>
      <c r="O44" s="12"/>
      <c r="P44" s="12"/>
      <c r="Q44" s="12"/>
      <c r="R44" s="12"/>
      <c r="S44" s="12"/>
      <c r="T44" s="12"/>
      <c r="U44" s="11"/>
      <c r="V44" s="12"/>
    </row>
    <row r="45" spans="1:22" x14ac:dyDescent="0.25">
      <c r="G45" s="11"/>
      <c r="O45" s="12"/>
      <c r="P45" s="12"/>
      <c r="Q45" s="12"/>
      <c r="R45" s="12"/>
      <c r="S45" s="12"/>
      <c r="T45" s="12"/>
      <c r="U45" s="11"/>
      <c r="V45" s="12"/>
    </row>
    <row r="46" spans="1:22" x14ac:dyDescent="0.25">
      <c r="G46" s="11"/>
      <c r="O46" s="12"/>
      <c r="P46" s="12"/>
      <c r="Q46" s="12"/>
      <c r="R46" s="12"/>
      <c r="S46" s="12"/>
      <c r="T46" s="12"/>
      <c r="U46" s="11"/>
      <c r="V46" s="12"/>
    </row>
    <row r="47" spans="1:22" x14ac:dyDescent="0.25">
      <c r="G47" s="11"/>
      <c r="O47" s="12"/>
      <c r="P47" s="12"/>
      <c r="Q47" s="12"/>
      <c r="R47" s="12"/>
      <c r="S47" s="12"/>
      <c r="T47" s="12"/>
      <c r="U47" s="11"/>
      <c r="V47" s="12"/>
    </row>
    <row r="48" spans="1:22" x14ac:dyDescent="0.25">
      <c r="G48" s="11"/>
      <c r="O48" s="12"/>
      <c r="P48" s="12"/>
      <c r="Q48" s="12"/>
      <c r="R48" s="12"/>
      <c r="S48" s="12"/>
      <c r="T48" s="12"/>
      <c r="U48" s="11"/>
      <c r="V48" s="12"/>
    </row>
    <row r="49" spans="7:22" x14ac:dyDescent="0.25">
      <c r="G49" s="11"/>
      <c r="O49" s="12"/>
      <c r="P49" s="12"/>
      <c r="Q49" s="12"/>
      <c r="R49" s="12"/>
      <c r="S49" s="12"/>
      <c r="T49" s="12"/>
      <c r="U49" s="11"/>
      <c r="V49" s="12"/>
    </row>
    <row r="95" spans="7:21" x14ac:dyDescent="0.25">
      <c r="G95" s="11"/>
      <c r="O95" s="12"/>
      <c r="P95" s="12"/>
      <c r="Q95" s="12"/>
      <c r="R95" s="12"/>
      <c r="S95" s="12"/>
      <c r="T95" s="12"/>
      <c r="U95" s="11"/>
    </row>
    <row r="96" spans="7:21" x14ac:dyDescent="0.25">
      <c r="G96" s="11"/>
      <c r="O96" s="12"/>
      <c r="P96" s="12"/>
      <c r="Q96" s="12"/>
      <c r="R96" s="12"/>
      <c r="S96" s="12"/>
      <c r="T96" s="12"/>
      <c r="U96" s="11"/>
    </row>
    <row r="97" spans="1:21" x14ac:dyDescent="0.25">
      <c r="G97" s="11"/>
      <c r="O97" s="12"/>
      <c r="P97" s="12"/>
      <c r="Q97" s="12"/>
      <c r="R97" s="12"/>
      <c r="S97" s="12"/>
      <c r="T97" s="12"/>
      <c r="U97" s="11"/>
    </row>
    <row r="98" spans="1:21" x14ac:dyDescent="0.25">
      <c r="G98" s="11"/>
      <c r="O98" s="12"/>
      <c r="P98" s="12"/>
      <c r="Q98" s="12"/>
      <c r="R98" s="12"/>
      <c r="S98" s="12"/>
      <c r="T98" s="12"/>
      <c r="U98" s="11"/>
    </row>
    <row r="99" spans="1:21" x14ac:dyDescent="0.25">
      <c r="G99" s="11"/>
      <c r="O99" s="12"/>
      <c r="P99" s="12"/>
      <c r="Q99" s="12"/>
      <c r="R99" s="12"/>
      <c r="S99" s="12"/>
      <c r="T99" s="12"/>
      <c r="U99" s="11"/>
    </row>
    <row r="100" spans="1:2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</sheetData>
  <sheetProtection algorithmName="SHA-512" hashValue="3ViNyAlhmA+SkTWLQqCNEtm4Bvu6eaCYCCyuSPxOSgNLW2YJYkQ+ZO1R8nhdqgg+UTlUi3fanAPuyFg+ZTfUDw==" saltValue="OhLEavw3mcnfXiVSna7Qow==" spinCount="100000" sheet="1" objects="1" scenarios="1" formatCells="0" formatColumns="0" formatRows="0"/>
  <hyperlinks>
    <hyperlink ref="F1" location="TOC!A1" display="Return to TOC" xr:uid="{808DAB59-E1E0-4DC8-BC8B-23722EC82A1E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C964-B9D1-42FB-BE16-1F04DA77E84E}">
  <sheetPr codeName="Sheet66"/>
  <dimension ref="A1:W15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21.28515625" style="10" customWidth="1"/>
    <col min="4" max="4" width="31.5703125" style="10" customWidth="1"/>
    <col min="5" max="5" width="5.7109375" style="10" customWidth="1"/>
    <col min="6" max="6" width="11.7109375" style="10" bestFit="1" customWidth="1"/>
    <col min="7" max="7" width="5.7109375" style="10" customWidth="1"/>
    <col min="8" max="8" width="2.7109375" style="10" customWidth="1"/>
    <col min="9" max="9" width="25.28515625" style="10" customWidth="1"/>
    <col min="10" max="10" width="18.28515625" style="10" customWidth="1"/>
    <col min="11" max="11" width="4.28515625" style="10" customWidth="1"/>
    <col min="12" max="12" width="10.5703125" style="10" customWidth="1"/>
    <col min="13" max="13" width="8.7109375" style="10" customWidth="1"/>
    <col min="14" max="17" width="5.7109375" style="10" customWidth="1"/>
    <col min="18" max="18" width="9.5703125" style="10" customWidth="1"/>
    <col min="19" max="20" width="5.7109375" style="10" customWidth="1"/>
    <col min="21" max="21" width="10.28515625" style="10" customWidth="1"/>
    <col min="22" max="16384" width="9.140625" style="10"/>
  </cols>
  <sheetData>
    <row r="1" spans="1:23" x14ac:dyDescent="0.25">
      <c r="A1" s="17" t="s">
        <v>3</v>
      </c>
      <c r="B1" s="18"/>
      <c r="C1" s="18" t="s">
        <v>13</v>
      </c>
      <c r="D1" s="19"/>
      <c r="E1" s="18"/>
      <c r="F1" s="18"/>
      <c r="G1" s="6" t="s">
        <v>8</v>
      </c>
      <c r="H1" s="37"/>
      <c r="I1" s="9" t="s">
        <v>9</v>
      </c>
      <c r="V1" s="8"/>
    </row>
    <row r="2" spans="1:23" x14ac:dyDescent="0.25">
      <c r="A2" s="20" t="s">
        <v>4</v>
      </c>
      <c r="B2" s="21"/>
      <c r="C2" s="21" t="s">
        <v>14</v>
      </c>
      <c r="D2" s="21"/>
      <c r="E2" s="21"/>
      <c r="F2" s="21"/>
      <c r="G2" s="22"/>
      <c r="H2" s="37"/>
      <c r="V2" s="8"/>
    </row>
    <row r="3" spans="1:23" x14ac:dyDescent="0.25">
      <c r="A3" s="20" t="s">
        <v>5</v>
      </c>
      <c r="B3" s="21"/>
      <c r="C3" s="21" t="s">
        <v>28</v>
      </c>
      <c r="D3" s="21"/>
      <c r="E3" s="21"/>
      <c r="F3" s="21"/>
      <c r="G3" s="22"/>
      <c r="H3" s="37"/>
      <c r="I3" s="38" t="s">
        <v>29</v>
      </c>
      <c r="J3" s="39"/>
      <c r="K3" s="40"/>
      <c r="V3" s="8"/>
    </row>
    <row r="4" spans="1:23" x14ac:dyDescent="0.25">
      <c r="A4" s="51"/>
      <c r="B4" s="25"/>
      <c r="C4" s="25"/>
      <c r="D4" s="25"/>
      <c r="E4" s="25"/>
      <c r="F4" s="52"/>
      <c r="G4" s="26"/>
      <c r="H4" s="41"/>
      <c r="V4" s="11"/>
      <c r="W4" s="12"/>
    </row>
    <row r="5" spans="1:23" ht="15" customHeight="1" x14ac:dyDescent="0.25">
      <c r="A5" s="53" t="s">
        <v>6</v>
      </c>
      <c r="B5" s="54" t="s">
        <v>31</v>
      </c>
      <c r="C5" s="21" t="s">
        <v>32</v>
      </c>
      <c r="D5" s="55">
        <v>150000</v>
      </c>
      <c r="E5" s="56">
        <v>15</v>
      </c>
      <c r="F5" s="57" t="s">
        <v>30</v>
      </c>
      <c r="G5" s="22"/>
      <c r="H5" s="41"/>
      <c r="I5" s="10" t="s">
        <v>17</v>
      </c>
      <c r="S5" s="12"/>
      <c r="T5" s="12"/>
      <c r="U5" s="12"/>
      <c r="V5" s="11"/>
      <c r="W5" s="12"/>
    </row>
    <row r="6" spans="1:23" x14ac:dyDescent="0.25">
      <c r="A6" s="58"/>
      <c r="B6" s="54" t="s">
        <v>33</v>
      </c>
      <c r="C6" s="21" t="s">
        <v>16</v>
      </c>
      <c r="D6" s="59">
        <v>1.1000000000000001</v>
      </c>
      <c r="E6" s="56">
        <v>10</v>
      </c>
      <c r="F6" s="60">
        <v>15000</v>
      </c>
      <c r="G6" s="22"/>
      <c r="H6" s="41"/>
      <c r="I6" s="10" t="s">
        <v>34</v>
      </c>
      <c r="J6" s="13" t="str">
        <f>TEXT(D5,"$0,000")</f>
        <v>$150,000</v>
      </c>
      <c r="S6" s="12"/>
      <c r="T6" s="12"/>
      <c r="U6" s="12"/>
      <c r="V6" s="11"/>
      <c r="W6" s="12"/>
    </row>
    <row r="7" spans="1:23" ht="15" customHeight="1" x14ac:dyDescent="0.25">
      <c r="A7" s="58"/>
      <c r="B7" s="54" t="s">
        <v>35</v>
      </c>
      <c r="C7" s="21" t="s">
        <v>36</v>
      </c>
      <c r="D7" s="61">
        <v>1.0309999999999999</v>
      </c>
      <c r="E7" s="56">
        <v>25000</v>
      </c>
      <c r="F7" s="60">
        <v>25000</v>
      </c>
      <c r="G7" s="22"/>
      <c r="H7" s="41"/>
      <c r="I7" s="10" t="s">
        <v>19</v>
      </c>
      <c r="J7" s="42">
        <f>D6</f>
        <v>1.1000000000000001</v>
      </c>
      <c r="S7" s="12"/>
      <c r="T7" s="12"/>
      <c r="U7" s="12"/>
      <c r="V7" s="11"/>
      <c r="W7" s="12"/>
    </row>
    <row r="8" spans="1:23" ht="15" customHeight="1" x14ac:dyDescent="0.25">
      <c r="A8" s="53"/>
      <c r="B8" s="25"/>
      <c r="C8" s="21"/>
      <c r="D8" s="21"/>
      <c r="E8" s="21"/>
      <c r="F8" s="60">
        <v>50000</v>
      </c>
      <c r="G8" s="22"/>
      <c r="H8" s="41"/>
      <c r="I8" s="10" t="s">
        <v>37</v>
      </c>
      <c r="J8" s="13">
        <f>D7</f>
        <v>1.0309999999999999</v>
      </c>
      <c r="S8" s="12"/>
      <c r="T8" s="12"/>
      <c r="U8" s="12"/>
      <c r="V8" s="11"/>
      <c r="W8" s="12"/>
    </row>
    <row r="9" spans="1:23" x14ac:dyDescent="0.25">
      <c r="A9" s="58"/>
      <c r="B9" s="25"/>
      <c r="C9" s="21" t="s">
        <v>38</v>
      </c>
      <c r="D9" s="55">
        <v>100000</v>
      </c>
      <c r="E9" s="21"/>
      <c r="F9" s="60">
        <v>100000</v>
      </c>
      <c r="G9" s="22"/>
      <c r="H9" s="41"/>
      <c r="S9" s="12"/>
      <c r="T9" s="12"/>
      <c r="U9" s="12"/>
      <c r="V9" s="11"/>
      <c r="W9" s="12"/>
    </row>
    <row r="10" spans="1:23" x14ac:dyDescent="0.25">
      <c r="A10" s="51"/>
      <c r="B10" s="25"/>
      <c r="C10" s="21" t="s">
        <v>39</v>
      </c>
      <c r="D10" s="55">
        <v>500000</v>
      </c>
      <c r="E10" s="21"/>
      <c r="F10" s="60">
        <v>1000000</v>
      </c>
      <c r="G10" s="22"/>
      <c r="H10" s="41"/>
      <c r="I10" s="10" t="s">
        <v>40</v>
      </c>
      <c r="S10" s="12"/>
      <c r="T10" s="12"/>
      <c r="U10" s="12"/>
      <c r="V10" s="11"/>
      <c r="W10" s="12"/>
    </row>
    <row r="11" spans="1:23" x14ac:dyDescent="0.25">
      <c r="A11" s="51"/>
      <c r="B11" s="25"/>
      <c r="C11" s="21"/>
      <c r="D11" s="21"/>
      <c r="E11" s="21"/>
      <c r="F11" s="21"/>
      <c r="G11" s="22"/>
      <c r="H11" s="41"/>
      <c r="S11" s="12"/>
      <c r="T11" s="12"/>
      <c r="U11" s="12"/>
      <c r="V11" s="11"/>
      <c r="W11" s="12"/>
    </row>
    <row r="12" spans="1:23" x14ac:dyDescent="0.25">
      <c r="A12" s="51"/>
      <c r="B12" s="21"/>
      <c r="C12" s="21" t="str">
        <f>"There are "&amp;E5&amp;" claims on the policy. "</f>
        <v xml:space="preserve">There are 15 claims on the policy. </v>
      </c>
      <c r="D12" s="21"/>
      <c r="E12" s="21"/>
      <c r="F12" s="21"/>
      <c r="G12" s="22"/>
      <c r="H12" s="41"/>
      <c r="I12" s="10" t="s">
        <v>41</v>
      </c>
      <c r="S12" s="12"/>
      <c r="T12" s="12"/>
      <c r="U12" s="12"/>
      <c r="V12" s="11"/>
      <c r="W12" s="12"/>
    </row>
    <row r="13" spans="1:23" x14ac:dyDescent="0.25">
      <c r="A13" s="58"/>
      <c r="B13" s="21"/>
      <c r="C13" s="21" t="str">
        <f>E6&amp;" of those claims are below the per-occurrence limit and total "&amp;TEXT(E7,"$0,000")&amp;"."</f>
        <v>10 of those claims are below the per-occurrence limit and total $25,000.</v>
      </c>
      <c r="D13" s="21"/>
      <c r="E13" s="21"/>
      <c r="F13" s="21"/>
      <c r="G13" s="22"/>
      <c r="H13" s="41"/>
      <c r="S13" s="12"/>
      <c r="T13" s="12"/>
      <c r="U13" s="12"/>
      <c r="V13" s="11"/>
      <c r="W13" s="12"/>
    </row>
    <row r="14" spans="1:23" x14ac:dyDescent="0.25">
      <c r="A14" s="51"/>
      <c r="B14" s="21"/>
      <c r="C14" s="21" t="str">
        <f>"The other "&amp;E5-E6&amp; " claims have the following values:"</f>
        <v>The other 5 claims have the following values:</v>
      </c>
      <c r="D14" s="21"/>
      <c r="E14" s="21"/>
      <c r="F14" s="21"/>
      <c r="G14" s="22"/>
      <c r="H14" s="41"/>
      <c r="I14" s="10" t="s">
        <v>42</v>
      </c>
      <c r="S14" s="12"/>
      <c r="T14" s="12"/>
      <c r="U14" s="12"/>
      <c r="V14" s="11"/>
      <c r="W14" s="12"/>
    </row>
    <row r="15" spans="1:23" x14ac:dyDescent="0.25">
      <c r="A15" s="51"/>
      <c r="B15" s="21"/>
      <c r="C15" s="21"/>
      <c r="D15" s="21"/>
      <c r="E15" s="21"/>
      <c r="F15" s="21"/>
      <c r="G15" s="22"/>
      <c r="H15" s="41"/>
      <c r="J15" s="8" t="s">
        <v>44</v>
      </c>
      <c r="S15" s="12"/>
      <c r="T15" s="12"/>
      <c r="U15" s="12"/>
      <c r="V15" s="11"/>
      <c r="W15" s="12"/>
    </row>
    <row r="16" spans="1:23" ht="15.75" thickBot="1" x14ac:dyDescent="0.3">
      <c r="A16" s="62" t="s">
        <v>7</v>
      </c>
      <c r="B16" s="35"/>
      <c r="C16" s="35" t="s">
        <v>43</v>
      </c>
      <c r="D16" s="35"/>
      <c r="E16" s="35"/>
      <c r="F16" s="35"/>
      <c r="G16" s="36"/>
      <c r="H16" s="41"/>
      <c r="I16" s="43" t="s">
        <v>45</v>
      </c>
      <c r="J16" s="43" t="s">
        <v>46</v>
      </c>
      <c r="L16" s="39" t="s">
        <v>47</v>
      </c>
      <c r="S16" s="12"/>
      <c r="T16" s="12"/>
      <c r="U16" s="12"/>
      <c r="V16" s="11"/>
      <c r="W16" s="12"/>
    </row>
    <row r="17" spans="8:23" x14ac:dyDescent="0.25">
      <c r="H17" s="41"/>
      <c r="I17" s="8" t="str">
        <f>"First "&amp;E6&amp;" claims"</f>
        <v>First 10 claims</v>
      </c>
      <c r="J17" s="44">
        <f>E7</f>
        <v>25000</v>
      </c>
      <c r="L17" s="10" t="s">
        <v>48</v>
      </c>
      <c r="S17" s="12"/>
      <c r="T17" s="12"/>
      <c r="U17" s="12"/>
      <c r="V17" s="11"/>
      <c r="W17" s="12"/>
    </row>
    <row r="18" spans="8:23" x14ac:dyDescent="0.25">
      <c r="H18" s="41"/>
      <c r="I18" s="8" t="str">
        <f>TEXT(F6,"$0,000")</f>
        <v>$15,000</v>
      </c>
      <c r="J18" s="44">
        <f>MIN(F6,$D$9)</f>
        <v>15000</v>
      </c>
      <c r="L18" s="10" t="str">
        <f>IF(J18=$D$9,"Capped by per-occurrence limit","")</f>
        <v/>
      </c>
      <c r="S18" s="12"/>
      <c r="T18" s="12"/>
      <c r="U18" s="12"/>
      <c r="V18" s="11"/>
      <c r="W18" s="12"/>
    </row>
    <row r="19" spans="8:23" ht="15" customHeight="1" x14ac:dyDescent="0.25">
      <c r="H19" s="41"/>
      <c r="I19" s="8" t="str">
        <f>TEXT(F7,"$0,000")</f>
        <v>$25,000</v>
      </c>
      <c r="J19" s="44">
        <f>MIN(F7,$D$9)</f>
        <v>25000</v>
      </c>
      <c r="L19" s="10" t="str">
        <f t="shared" ref="L19:L22" si="0">IF(J19=$D$9,"Capped by per-occurrence limit","")</f>
        <v/>
      </c>
      <c r="S19" s="12"/>
      <c r="T19" s="12"/>
      <c r="U19" s="12"/>
      <c r="V19" s="11"/>
      <c r="W19" s="12"/>
    </row>
    <row r="20" spans="8:23" x14ac:dyDescent="0.25">
      <c r="H20" s="41"/>
      <c r="I20" s="8" t="str">
        <f>TEXT(F8,"$0,000")</f>
        <v>$50,000</v>
      </c>
      <c r="J20" s="44">
        <f>MIN(F8,$D$9)</f>
        <v>50000</v>
      </c>
      <c r="L20" s="10" t="str">
        <f t="shared" si="0"/>
        <v/>
      </c>
      <c r="S20" s="12"/>
      <c r="T20" s="12"/>
      <c r="U20" s="12"/>
      <c r="V20" s="11"/>
      <c r="W20" s="12"/>
    </row>
    <row r="21" spans="8:23" x14ac:dyDescent="0.25">
      <c r="H21" s="41"/>
      <c r="I21" s="8" t="str">
        <f>TEXT(F9,"$0,000")</f>
        <v>$100,000</v>
      </c>
      <c r="J21" s="44">
        <f>MIN(F9,$D$9)</f>
        <v>100000</v>
      </c>
      <c r="L21" s="10" t="str">
        <f t="shared" si="0"/>
        <v>Capped by per-occurrence limit</v>
      </c>
      <c r="S21" s="12"/>
      <c r="T21" s="12"/>
      <c r="U21" s="12"/>
      <c r="V21" s="11"/>
      <c r="W21" s="12"/>
    </row>
    <row r="22" spans="8:23" x14ac:dyDescent="0.25">
      <c r="H22" s="41"/>
      <c r="I22" s="8" t="str">
        <f>TEXT(F10,"$0,000")</f>
        <v>$1,000,000</v>
      </c>
      <c r="J22" s="44">
        <f>MIN(F10,$D$9)</f>
        <v>100000</v>
      </c>
      <c r="L22" s="10" t="str">
        <f t="shared" si="0"/>
        <v>Capped by per-occurrence limit</v>
      </c>
      <c r="P22" s="12"/>
      <c r="Q22" s="12"/>
      <c r="R22" s="12"/>
      <c r="S22" s="12"/>
      <c r="T22" s="12"/>
      <c r="U22" s="12"/>
      <c r="V22" s="11"/>
      <c r="W22" s="12"/>
    </row>
    <row r="23" spans="8:23" ht="15" customHeight="1" thickBot="1" x14ac:dyDescent="0.3">
      <c r="H23" s="41"/>
      <c r="I23" s="45" t="s">
        <v>49</v>
      </c>
      <c r="J23" s="46">
        <f>SUM(J17:J22)</f>
        <v>315000</v>
      </c>
      <c r="P23" s="12"/>
      <c r="Q23" s="12"/>
      <c r="R23" s="12"/>
      <c r="S23" s="12"/>
      <c r="T23" s="12"/>
      <c r="U23" s="12"/>
      <c r="V23" s="11"/>
      <c r="W23" s="12"/>
    </row>
    <row r="24" spans="8:23" ht="15" customHeight="1" x14ac:dyDescent="0.25">
      <c r="H24" s="41"/>
      <c r="P24" s="12"/>
      <c r="Q24" s="12"/>
      <c r="R24" s="12"/>
      <c r="S24" s="12"/>
      <c r="T24" s="12"/>
      <c r="U24" s="12"/>
      <c r="V24" s="11"/>
      <c r="W24" s="12"/>
    </row>
    <row r="25" spans="8:23" ht="15" customHeight="1" x14ac:dyDescent="0.25">
      <c r="H25" s="41"/>
      <c r="I25" s="10" t="s">
        <v>50</v>
      </c>
      <c r="P25" s="12"/>
      <c r="Q25" s="12"/>
      <c r="R25" s="12"/>
      <c r="S25" s="12"/>
      <c r="T25" s="12"/>
      <c r="U25" s="12"/>
      <c r="V25" s="11"/>
      <c r="W25" s="12"/>
    </row>
    <row r="26" spans="8:23" ht="15" customHeight="1" x14ac:dyDescent="0.25">
      <c r="H26" s="41"/>
      <c r="I26" s="47" t="s">
        <v>51</v>
      </c>
      <c r="J26" s="44">
        <f>MIN(J23,D10)</f>
        <v>315000</v>
      </c>
      <c r="L26" s="48" t="s">
        <v>52</v>
      </c>
      <c r="P26" s="12"/>
      <c r="Q26" s="12"/>
      <c r="R26" s="12"/>
      <c r="S26" s="12"/>
      <c r="T26" s="12"/>
      <c r="U26" s="12"/>
      <c r="V26" s="11"/>
      <c r="W26" s="12"/>
    </row>
    <row r="27" spans="8:23" ht="15" customHeight="1" x14ac:dyDescent="0.25">
      <c r="H27" s="41"/>
      <c r="P27" s="12"/>
      <c r="Q27" s="12"/>
      <c r="R27" s="12"/>
      <c r="S27" s="12"/>
      <c r="T27" s="12"/>
      <c r="U27" s="12"/>
      <c r="V27" s="11"/>
      <c r="W27" s="12"/>
    </row>
    <row r="28" spans="8:23" ht="15" customHeight="1" x14ac:dyDescent="0.25">
      <c r="H28" s="41"/>
      <c r="I28" s="10" t="s">
        <v>53</v>
      </c>
      <c r="P28" s="12"/>
      <c r="Q28" s="12"/>
      <c r="R28" s="12"/>
      <c r="S28" s="12"/>
      <c r="T28" s="12"/>
      <c r="U28" s="12"/>
      <c r="V28" s="11"/>
      <c r="W28" s="12"/>
    </row>
    <row r="29" spans="8:23" x14ac:dyDescent="0.25">
      <c r="H29" s="41"/>
      <c r="I29" s="47" t="s">
        <v>54</v>
      </c>
      <c r="J29" s="10" t="str">
        <f>"( "&amp;D5 &amp;" + " &amp;D6 &amp;" * "&amp;J26&amp;" ) * "&amp;D7</f>
        <v>( 150000 + 1.1 * 315000 ) * 1.031</v>
      </c>
      <c r="P29" s="12"/>
      <c r="Q29" s="12"/>
      <c r="R29" s="12"/>
      <c r="S29" s="12"/>
      <c r="T29" s="12"/>
      <c r="U29" s="12"/>
      <c r="V29" s="11"/>
      <c r="W29" s="12"/>
    </row>
    <row r="30" spans="8:23" x14ac:dyDescent="0.25">
      <c r="H30" s="41"/>
      <c r="I30" s="49" t="s">
        <v>55</v>
      </c>
      <c r="J30" s="50">
        <f>ROUND((D5+D6*J26)*D7,0)</f>
        <v>511892</v>
      </c>
      <c r="P30" s="12"/>
      <c r="Q30" s="12"/>
      <c r="R30" s="12"/>
      <c r="S30" s="12"/>
      <c r="T30" s="12"/>
      <c r="U30" s="12"/>
      <c r="V30" s="11"/>
      <c r="W30" s="12"/>
    </row>
    <row r="31" spans="8:23" x14ac:dyDescent="0.25">
      <c r="H31" s="41"/>
      <c r="P31" s="12"/>
      <c r="Q31" s="12"/>
      <c r="R31" s="12"/>
      <c r="S31" s="12"/>
      <c r="T31" s="12"/>
      <c r="U31" s="12"/>
      <c r="V31" s="11"/>
      <c r="W31" s="12"/>
    </row>
    <row r="32" spans="8:23" x14ac:dyDescent="0.25">
      <c r="H32" s="11"/>
      <c r="P32" s="12"/>
      <c r="Q32" s="12"/>
      <c r="R32" s="12"/>
      <c r="S32" s="12"/>
      <c r="T32" s="12"/>
      <c r="U32" s="12"/>
      <c r="V32" s="11"/>
      <c r="W32" s="12"/>
    </row>
    <row r="33" spans="1:23" x14ac:dyDescent="0.25">
      <c r="H33" s="11"/>
      <c r="P33" s="12"/>
      <c r="Q33" s="12"/>
      <c r="R33" s="12"/>
      <c r="S33" s="12"/>
      <c r="T33" s="12"/>
      <c r="U33" s="12"/>
      <c r="V33" s="11"/>
      <c r="W33" s="12"/>
    </row>
    <row r="34" spans="1:23" x14ac:dyDescent="0.25">
      <c r="H34" s="11"/>
      <c r="P34" s="12"/>
      <c r="Q34" s="12"/>
      <c r="R34" s="12"/>
      <c r="S34" s="12"/>
      <c r="T34" s="12"/>
      <c r="U34" s="12"/>
      <c r="V34" s="11"/>
      <c r="W34" s="12"/>
    </row>
    <row r="35" spans="1:23" x14ac:dyDescent="0.25">
      <c r="H35" s="11"/>
      <c r="P35" s="12"/>
      <c r="Q35" s="12"/>
      <c r="R35" s="12"/>
      <c r="S35" s="12"/>
      <c r="T35" s="12"/>
      <c r="U35" s="12"/>
      <c r="V35" s="11"/>
      <c r="W35" s="12"/>
    </row>
    <row r="36" spans="1:23" x14ac:dyDescent="0.25">
      <c r="H36" s="11"/>
      <c r="P36" s="12"/>
      <c r="Q36" s="12"/>
      <c r="R36" s="12"/>
      <c r="S36" s="12"/>
      <c r="T36" s="12"/>
      <c r="U36" s="12"/>
      <c r="V36" s="11"/>
      <c r="W36" s="12"/>
    </row>
    <row r="37" spans="1:23" x14ac:dyDescent="0.25">
      <c r="H37" s="11"/>
      <c r="P37" s="12"/>
      <c r="Q37" s="12"/>
      <c r="R37" s="12"/>
      <c r="S37" s="12"/>
      <c r="T37" s="12"/>
      <c r="U37" s="12"/>
      <c r="V37" s="11"/>
      <c r="W37" s="12"/>
    </row>
    <row r="38" spans="1:23" x14ac:dyDescent="0.25">
      <c r="H38" s="11"/>
      <c r="P38" s="12"/>
      <c r="Q38" s="12"/>
      <c r="R38" s="12"/>
      <c r="S38" s="12"/>
      <c r="T38" s="12"/>
      <c r="U38" s="12"/>
      <c r="V38" s="11"/>
      <c r="W38" s="12"/>
    </row>
    <row r="39" spans="1:23" x14ac:dyDescent="0.25">
      <c r="A39" s="12"/>
      <c r="B39" s="12"/>
      <c r="H39" s="11"/>
      <c r="P39" s="12"/>
      <c r="Q39" s="12"/>
      <c r="R39" s="12"/>
      <c r="S39" s="12"/>
      <c r="T39" s="12"/>
      <c r="U39" s="12"/>
      <c r="V39" s="11"/>
      <c r="W39" s="12"/>
    </row>
    <row r="40" spans="1:23" x14ac:dyDescent="0.25">
      <c r="H40" s="11"/>
      <c r="P40" s="12"/>
      <c r="Q40" s="12"/>
      <c r="R40" s="12"/>
      <c r="S40" s="12"/>
      <c r="T40" s="12"/>
      <c r="U40" s="12"/>
      <c r="V40" s="11"/>
      <c r="W40" s="12"/>
    </row>
    <row r="41" spans="1:23" x14ac:dyDescent="0.25">
      <c r="H41" s="11"/>
      <c r="P41" s="12"/>
      <c r="Q41" s="12"/>
      <c r="R41" s="12"/>
      <c r="S41" s="12"/>
      <c r="T41" s="12"/>
      <c r="U41" s="12"/>
      <c r="V41" s="11"/>
      <c r="W41" s="12"/>
    </row>
    <row r="42" spans="1:23" x14ac:dyDescent="0.25">
      <c r="H42" s="11"/>
      <c r="P42" s="12"/>
      <c r="Q42" s="12"/>
      <c r="R42" s="12"/>
      <c r="S42" s="12"/>
      <c r="T42" s="12"/>
      <c r="U42" s="12"/>
      <c r="V42" s="11"/>
      <c r="W42" s="12"/>
    </row>
    <row r="43" spans="1:23" x14ac:dyDescent="0.25">
      <c r="H43" s="11"/>
      <c r="P43" s="12"/>
      <c r="Q43" s="12"/>
      <c r="R43" s="12"/>
      <c r="S43" s="12"/>
      <c r="T43" s="12"/>
      <c r="U43" s="12"/>
      <c r="V43" s="11"/>
      <c r="W43" s="12"/>
    </row>
    <row r="44" spans="1:23" x14ac:dyDescent="0.25">
      <c r="H44" s="11"/>
      <c r="P44" s="12"/>
      <c r="Q44" s="12"/>
      <c r="R44" s="12"/>
      <c r="S44" s="12"/>
      <c r="T44" s="12"/>
      <c r="U44" s="12"/>
      <c r="V44" s="11"/>
      <c r="W44" s="12"/>
    </row>
    <row r="45" spans="1:23" x14ac:dyDescent="0.25">
      <c r="H45" s="11"/>
      <c r="P45" s="12"/>
      <c r="Q45" s="12"/>
      <c r="R45" s="12"/>
      <c r="S45" s="12"/>
      <c r="T45" s="12"/>
      <c r="U45" s="12"/>
      <c r="V45" s="11"/>
      <c r="W45" s="12"/>
    </row>
    <row r="46" spans="1:23" x14ac:dyDescent="0.25">
      <c r="H46" s="11"/>
      <c r="P46" s="12"/>
      <c r="Q46" s="12"/>
      <c r="R46" s="12"/>
      <c r="S46" s="12"/>
      <c r="T46" s="12"/>
      <c r="U46" s="12"/>
      <c r="V46" s="11"/>
      <c r="W46" s="12"/>
    </row>
    <row r="47" spans="1:23" x14ac:dyDescent="0.25">
      <c r="H47" s="11"/>
      <c r="P47" s="12"/>
      <c r="Q47" s="12"/>
      <c r="R47" s="12"/>
      <c r="S47" s="12"/>
      <c r="T47" s="12"/>
      <c r="U47" s="12"/>
      <c r="V47" s="11"/>
      <c r="W47" s="12"/>
    </row>
    <row r="48" spans="1:23" x14ac:dyDescent="0.25">
      <c r="H48" s="11"/>
      <c r="P48" s="12"/>
      <c r="Q48" s="12"/>
      <c r="R48" s="12"/>
      <c r="S48" s="12"/>
      <c r="T48" s="12"/>
      <c r="U48" s="12"/>
      <c r="V48" s="11"/>
      <c r="W48" s="12"/>
    </row>
    <row r="49" spans="8:23" x14ac:dyDescent="0.25">
      <c r="H49" s="11"/>
      <c r="P49" s="12"/>
      <c r="Q49" s="12"/>
      <c r="R49" s="12"/>
      <c r="S49" s="12"/>
      <c r="T49" s="12"/>
      <c r="U49" s="12"/>
      <c r="V49" s="11"/>
      <c r="W49" s="12"/>
    </row>
    <row r="151" spans="8:22" x14ac:dyDescent="0.25">
      <c r="H151" s="11"/>
      <c r="V151" s="11"/>
    </row>
    <row r="152" spans="8:22" x14ac:dyDescent="0.25">
      <c r="H152" s="11"/>
      <c r="V152" s="11"/>
    </row>
    <row r="153" spans="8:22" x14ac:dyDescent="0.25">
      <c r="H153" s="11"/>
      <c r="V153" s="11"/>
    </row>
    <row r="154" spans="8:22" x14ac:dyDescent="0.25">
      <c r="H154" s="11"/>
      <c r="V154" s="11"/>
    </row>
    <row r="155" spans="8:22" x14ac:dyDescent="0.25">
      <c r="H155" s="11"/>
      <c r="V155" s="11"/>
    </row>
    <row r="156" spans="8:22" x14ac:dyDescent="0.25">
      <c r="H156" s="11"/>
      <c r="V156" s="11"/>
    </row>
    <row r="157" spans="8:22" x14ac:dyDescent="0.25">
      <c r="H157" s="11"/>
      <c r="V157" s="11"/>
    </row>
    <row r="158" spans="8:22" x14ac:dyDescent="0.25">
      <c r="H158" s="11"/>
      <c r="V158" s="11"/>
    </row>
  </sheetData>
  <sheetProtection algorithmName="SHA-512" hashValue="DmTUW4UYl7EdV/7BEW5DlvJ5g0pPPTaE4c83KtgWjG1ackquXyWhWf1N0lwWRJEdZLTK0T/GxDfBWGqqbrf1Eg==" saltValue="wGbxF4ZZZ9sL2sUoSkaTEg==" spinCount="100000" sheet="1" objects="1" scenarios="1" formatCells="0" formatColumns="0" formatRows="0"/>
  <hyperlinks>
    <hyperlink ref="G1" location="TOC!A1" display="Return to TOC" xr:uid="{4EF578E4-1F17-4B7E-9D11-3EE3B39ED00D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D096-3A96-4095-9041-88FDD821160C}">
  <sheetPr codeName="Sheet68"/>
  <dimension ref="A1:AO78"/>
  <sheetViews>
    <sheetView zoomScaleNormal="100" workbookViewId="0"/>
  </sheetViews>
  <sheetFormatPr defaultColWidth="9.140625" defaultRowHeight="15" x14ac:dyDescent="0.25"/>
  <cols>
    <col min="1" max="1" width="10.7109375" style="10" customWidth="1"/>
    <col min="2" max="2" width="4.7109375" style="10" customWidth="1"/>
    <col min="3" max="3" width="12.5703125" style="10" customWidth="1"/>
    <col min="4" max="4" width="17.140625" style="10" customWidth="1"/>
    <col min="5" max="5" width="15.28515625" style="10" customWidth="1"/>
    <col min="6" max="6" width="11.7109375" style="10" customWidth="1"/>
    <col min="7" max="7" width="11.7109375" style="10" bestFit="1" customWidth="1"/>
    <col min="8" max="8" width="11" style="10" bestFit="1" customWidth="1"/>
    <col min="9" max="9" width="12" style="10" customWidth="1"/>
    <col min="10" max="10" width="9.5703125" style="10" customWidth="1"/>
    <col min="11" max="11" width="9.140625" style="10" customWidth="1"/>
    <col min="12" max="12" width="4.85546875" style="10" customWidth="1"/>
    <col min="13" max="13" width="2.7109375" style="10" customWidth="1"/>
    <col min="14" max="14" width="14.7109375" style="10" customWidth="1"/>
    <col min="15" max="15" width="18.28515625" style="10" customWidth="1"/>
    <col min="16" max="17" width="13.7109375" style="10" customWidth="1"/>
    <col min="18" max="18" width="11.85546875" style="10" customWidth="1"/>
    <col min="19" max="19" width="12.28515625" style="10" customWidth="1"/>
    <col min="20" max="20" width="9.28515625" style="10" customWidth="1"/>
    <col min="21" max="21" width="10" style="10" customWidth="1"/>
    <col min="22" max="22" width="8.28515625" style="10" bestFit="1" customWidth="1"/>
    <col min="23" max="23" width="10.85546875" style="10" customWidth="1"/>
    <col min="24" max="24" width="12.42578125" style="10" customWidth="1"/>
    <col min="25" max="25" width="11.42578125" style="10" customWidth="1"/>
    <col min="26" max="26" width="4.7109375" style="10" customWidth="1"/>
    <col min="27" max="28" width="9.140625" style="10"/>
    <col min="29" max="29" width="11.28515625" style="10" bestFit="1" customWidth="1"/>
    <col min="30" max="30" width="13.140625" style="10" customWidth="1"/>
    <col min="31" max="31" width="12.85546875" style="10" customWidth="1"/>
    <col min="32" max="32" width="11.85546875" style="10" customWidth="1"/>
    <col min="33" max="33" width="11.7109375" style="10" customWidth="1"/>
    <col min="34" max="34" width="10.140625" style="10" bestFit="1" customWidth="1"/>
    <col min="35" max="35" width="9.28515625" style="10" customWidth="1"/>
    <col min="36" max="36" width="10.140625" style="10" bestFit="1" customWidth="1"/>
    <col min="37" max="37" width="11.28515625" style="10" bestFit="1" customWidth="1"/>
    <col min="38" max="38" width="11.7109375" style="10" customWidth="1"/>
    <col min="39" max="40" width="4.42578125" style="10" customWidth="1"/>
    <col min="41" max="16384" width="9.140625" style="10"/>
  </cols>
  <sheetData>
    <row r="1" spans="1:27" x14ac:dyDescent="0.25">
      <c r="A1" s="17" t="s">
        <v>3</v>
      </c>
      <c r="B1" s="18"/>
      <c r="C1" s="18" t="s">
        <v>13</v>
      </c>
      <c r="D1" s="19"/>
      <c r="E1" s="18"/>
      <c r="F1" s="18"/>
      <c r="G1" s="18"/>
      <c r="H1" s="18"/>
      <c r="I1" s="18"/>
      <c r="J1" s="18"/>
      <c r="K1" s="18"/>
      <c r="L1" s="6" t="s">
        <v>8</v>
      </c>
      <c r="M1" s="8"/>
      <c r="N1" s="9" t="s">
        <v>9</v>
      </c>
      <c r="AA1" s="8"/>
    </row>
    <row r="2" spans="1:27" x14ac:dyDescent="0.25">
      <c r="A2" s="20" t="s">
        <v>4</v>
      </c>
      <c r="B2" s="21"/>
      <c r="C2" s="21" t="s">
        <v>14</v>
      </c>
      <c r="D2" s="21"/>
      <c r="E2" s="21"/>
      <c r="F2" s="21"/>
      <c r="G2" s="21"/>
      <c r="H2" s="21"/>
      <c r="I2" s="21"/>
      <c r="J2" s="21"/>
      <c r="K2" s="21"/>
      <c r="L2" s="22"/>
      <c r="M2" s="8"/>
      <c r="N2" s="10" t="s">
        <v>58</v>
      </c>
      <c r="AA2" s="8"/>
    </row>
    <row r="3" spans="1:27" ht="45" customHeight="1" x14ac:dyDescent="0.25">
      <c r="A3" s="71" t="s">
        <v>5</v>
      </c>
      <c r="B3" s="72"/>
      <c r="C3" s="72" t="s">
        <v>60</v>
      </c>
      <c r="D3" s="21"/>
      <c r="E3" s="21"/>
      <c r="F3" s="21"/>
      <c r="G3" s="21"/>
      <c r="H3" s="21"/>
      <c r="I3" s="21"/>
      <c r="J3" s="21"/>
      <c r="K3" s="21"/>
      <c r="L3" s="22"/>
      <c r="M3" s="8"/>
      <c r="N3" s="63" t="s">
        <v>61</v>
      </c>
      <c r="O3" s="64">
        <f>1+C12</f>
        <v>1.1000000000000001</v>
      </c>
      <c r="AA3" s="8"/>
    </row>
    <row r="4" spans="1:27" x14ac:dyDescent="0.25">
      <c r="A4" s="51"/>
      <c r="B4" s="25"/>
      <c r="C4" s="25"/>
      <c r="D4" s="25"/>
      <c r="E4" s="25"/>
      <c r="F4" s="25"/>
      <c r="G4" s="21"/>
      <c r="H4" s="25"/>
      <c r="I4" s="25"/>
      <c r="J4" s="25"/>
      <c r="K4" s="25"/>
      <c r="L4" s="26"/>
      <c r="M4" s="11"/>
      <c r="N4" s="10" t="s">
        <v>73</v>
      </c>
      <c r="AA4" s="11"/>
    </row>
    <row r="5" spans="1:27" ht="15" customHeight="1" x14ac:dyDescent="0.25">
      <c r="A5" s="53" t="s">
        <v>6</v>
      </c>
      <c r="B5" s="54"/>
      <c r="C5" s="81" t="s">
        <v>74</v>
      </c>
      <c r="D5" s="82"/>
      <c r="E5" s="83"/>
      <c r="F5" s="21"/>
      <c r="G5" s="21"/>
      <c r="H5" s="21"/>
      <c r="I5" s="21"/>
      <c r="J5" s="21"/>
      <c r="K5" s="21"/>
      <c r="L5" s="22"/>
      <c r="M5" s="11"/>
      <c r="AA5" s="11"/>
    </row>
    <row r="6" spans="1:27" x14ac:dyDescent="0.25">
      <c r="A6" s="58"/>
      <c r="B6" s="54"/>
      <c r="C6" s="99">
        <v>1100000</v>
      </c>
      <c r="D6" s="88" t="s">
        <v>75</v>
      </c>
      <c r="E6" s="90"/>
      <c r="F6" s="21"/>
      <c r="G6" s="21"/>
      <c r="H6" s="21"/>
      <c r="I6" s="21"/>
      <c r="J6" s="21"/>
      <c r="K6" s="21"/>
      <c r="L6" s="22"/>
      <c r="M6" s="11"/>
      <c r="N6" s="10" t="s">
        <v>76</v>
      </c>
      <c r="AA6" s="11"/>
    </row>
    <row r="7" spans="1:27" ht="15" customHeight="1" x14ac:dyDescent="0.25">
      <c r="A7" s="58"/>
      <c r="B7" s="54"/>
      <c r="C7" s="100">
        <v>600000</v>
      </c>
      <c r="D7" s="21" t="s">
        <v>77</v>
      </c>
      <c r="E7" s="101"/>
      <c r="F7" s="21"/>
      <c r="G7" s="21"/>
      <c r="H7" s="21"/>
      <c r="I7" s="21"/>
      <c r="J7" s="21"/>
      <c r="K7" s="21"/>
      <c r="L7" s="22"/>
      <c r="M7" s="11"/>
      <c r="N7" s="47" t="s">
        <v>78</v>
      </c>
      <c r="O7" s="10" t="str">
        <f>TEXT(C8,"$0,000") &amp;" * (1 + "&amp;TEXT(C12,"0.0%")&amp;") + "&amp;TEXT(C9,"$0,000")&amp; " + "&amp;TEXT(C10,"$0,000")&amp;" + "&amp;TEXT(C11,"$0,000")</f>
        <v>$300,000 * (1 + 10.0%) + $55,000 + $15,000 + $5,000</v>
      </c>
      <c r="AA7" s="11"/>
    </row>
    <row r="8" spans="1:27" ht="15" customHeight="1" x14ac:dyDescent="0.25">
      <c r="A8" s="53"/>
      <c r="B8" s="25"/>
      <c r="C8" s="100">
        <v>300000</v>
      </c>
      <c r="D8" s="21" t="s">
        <v>79</v>
      </c>
      <c r="E8" s="101"/>
      <c r="F8" s="21"/>
      <c r="G8" s="21"/>
      <c r="H8" s="21"/>
      <c r="I8" s="21"/>
      <c r="J8" s="21"/>
      <c r="K8" s="21"/>
      <c r="L8" s="22"/>
      <c r="M8" s="11"/>
      <c r="N8" s="49" t="s">
        <v>80</v>
      </c>
      <c r="O8" s="14" t="str">
        <f>TEXT(C8*(1+C12)+C9+C10+C11,"$0,000")</f>
        <v>$405,000</v>
      </c>
      <c r="P8" s="48" t="s">
        <v>81</v>
      </c>
      <c r="AA8" s="11"/>
    </row>
    <row r="9" spans="1:27" x14ac:dyDescent="0.25">
      <c r="A9" s="58"/>
      <c r="B9" s="25"/>
      <c r="C9" s="100">
        <v>55000</v>
      </c>
      <c r="D9" s="21" t="s">
        <v>82</v>
      </c>
      <c r="E9" s="101"/>
      <c r="F9" s="21"/>
      <c r="G9" s="21"/>
      <c r="H9" s="21"/>
      <c r="I9" s="21"/>
      <c r="J9" s="21"/>
      <c r="K9" s="21"/>
      <c r="L9" s="22"/>
      <c r="M9" s="11"/>
      <c r="AA9" s="11"/>
    </row>
    <row r="10" spans="1:27" x14ac:dyDescent="0.25">
      <c r="A10" s="51"/>
      <c r="B10" s="25"/>
      <c r="C10" s="100">
        <v>15000</v>
      </c>
      <c r="D10" s="21" t="s">
        <v>83</v>
      </c>
      <c r="E10" s="101"/>
      <c r="F10" s="21"/>
      <c r="G10" s="21"/>
      <c r="H10" s="21"/>
      <c r="I10" s="21"/>
      <c r="J10" s="21"/>
      <c r="K10" s="21"/>
      <c r="L10" s="22"/>
      <c r="M10" s="11"/>
      <c r="N10" s="10" t="str">
        <f>"The tax multiplier, T, is  1 / (1 - " &amp;TEXT(C13,"0.0%") &amp;")"</f>
        <v>The tax multiplier, T, is  1 / (1 - 3.0%)</v>
      </c>
      <c r="AA10" s="11"/>
    </row>
    <row r="11" spans="1:27" x14ac:dyDescent="0.25">
      <c r="A11" s="51"/>
      <c r="B11" s="25"/>
      <c r="C11" s="100">
        <v>5000</v>
      </c>
      <c r="D11" s="21" t="s">
        <v>84</v>
      </c>
      <c r="E11" s="101"/>
      <c r="F11" s="21"/>
      <c r="G11" s="21"/>
      <c r="H11" s="21"/>
      <c r="I11" s="21"/>
      <c r="J11" s="21"/>
      <c r="K11" s="21"/>
      <c r="L11" s="22"/>
      <c r="M11" s="11"/>
      <c r="N11" s="47" t="s">
        <v>85</v>
      </c>
      <c r="O11" s="65">
        <f>ROUND(1/(1-C13),3)</f>
        <v>1.0309999999999999</v>
      </c>
      <c r="AA11" s="11"/>
    </row>
    <row r="12" spans="1:27" x14ac:dyDescent="0.25">
      <c r="A12" s="51"/>
      <c r="B12" s="21"/>
      <c r="C12" s="102">
        <v>0.1</v>
      </c>
      <c r="D12" s="21" t="s">
        <v>86</v>
      </c>
      <c r="E12" s="101"/>
      <c r="F12" s="21"/>
      <c r="G12" s="21"/>
      <c r="H12" s="21"/>
      <c r="I12" s="21"/>
      <c r="J12" s="21"/>
      <c r="K12" s="21"/>
      <c r="L12" s="22"/>
      <c r="M12" s="11"/>
      <c r="AA12" s="11"/>
    </row>
    <row r="13" spans="1:27" x14ac:dyDescent="0.25">
      <c r="A13" s="51"/>
      <c r="B13" s="21"/>
      <c r="C13" s="103">
        <v>0.03</v>
      </c>
      <c r="D13" s="96" t="s">
        <v>87</v>
      </c>
      <c r="E13" s="104"/>
      <c r="F13" s="21"/>
      <c r="G13" s="21"/>
      <c r="H13" s="21"/>
      <c r="I13" s="21"/>
      <c r="J13" s="21"/>
      <c r="K13" s="21"/>
      <c r="L13" s="22"/>
      <c r="M13" s="11"/>
      <c r="N13" s="10" t="s">
        <v>88</v>
      </c>
      <c r="AA13" s="11"/>
    </row>
    <row r="14" spans="1:27" x14ac:dyDescent="0.25">
      <c r="A14" s="5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  <c r="M14" s="11"/>
      <c r="N14" s="10" t="s">
        <v>89</v>
      </c>
      <c r="AA14" s="11"/>
    </row>
    <row r="15" spans="1:27" x14ac:dyDescent="0.25">
      <c r="A15" s="58"/>
      <c r="B15" s="21"/>
      <c r="C15" s="21" t="s">
        <v>90</v>
      </c>
      <c r="D15" s="21"/>
      <c r="E15" s="21"/>
      <c r="F15" s="21"/>
      <c r="G15" s="21"/>
      <c r="H15" s="21"/>
      <c r="I15" s="21"/>
      <c r="J15" s="21"/>
      <c r="K15" s="21"/>
      <c r="L15" s="22"/>
      <c r="M15" s="11"/>
      <c r="N15" s="10" t="s">
        <v>91</v>
      </c>
      <c r="AA15" s="11"/>
    </row>
    <row r="16" spans="1:27" x14ac:dyDescent="0.25">
      <c r="A16" s="5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2"/>
      <c r="M16" s="11"/>
      <c r="N16" s="10" t="s">
        <v>92</v>
      </c>
      <c r="AA16" s="11"/>
    </row>
    <row r="17" spans="1:41" x14ac:dyDescent="0.25">
      <c r="A17" s="5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2"/>
      <c r="M17" s="11"/>
      <c r="N17" s="10" t="s">
        <v>93</v>
      </c>
      <c r="AA17" s="11"/>
    </row>
    <row r="18" spans="1:41" x14ac:dyDescent="0.25">
      <c r="A18" s="5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2"/>
      <c r="M18" s="11"/>
      <c r="N18" s="10" t="s">
        <v>95</v>
      </c>
      <c r="AA18" s="11"/>
    </row>
    <row r="19" spans="1:41" x14ac:dyDescent="0.25">
      <c r="A19" s="5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2"/>
      <c r="M19" s="11"/>
      <c r="N19" s="66" t="s">
        <v>98</v>
      </c>
      <c r="AA19" s="11"/>
    </row>
    <row r="20" spans="1:41" x14ac:dyDescent="0.25">
      <c r="A20" s="5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2"/>
      <c r="M20" s="11"/>
      <c r="AA20" s="11"/>
    </row>
    <row r="21" spans="1:41" x14ac:dyDescent="0.25">
      <c r="A21" s="58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2"/>
      <c r="M21" s="11"/>
      <c r="AA21" s="11"/>
    </row>
    <row r="22" spans="1:41" x14ac:dyDescent="0.25">
      <c r="A22" s="58"/>
      <c r="B22" s="21"/>
      <c r="C22" s="81" t="s">
        <v>104</v>
      </c>
      <c r="D22" s="82"/>
      <c r="E22" s="82"/>
      <c r="F22" s="82"/>
      <c r="G22" s="82"/>
      <c r="H22" s="82"/>
      <c r="I22" s="82"/>
      <c r="J22" s="82"/>
      <c r="K22" s="83"/>
      <c r="L22" s="22"/>
      <c r="M22" s="11"/>
      <c r="N22" s="9" t="s">
        <v>105</v>
      </c>
      <c r="AA22" s="11"/>
    </row>
    <row r="23" spans="1:41" ht="60" x14ac:dyDescent="0.25">
      <c r="A23" s="58"/>
      <c r="B23" s="21"/>
      <c r="C23" s="84" t="s">
        <v>62</v>
      </c>
      <c r="D23" s="73" t="s">
        <v>75</v>
      </c>
      <c r="E23" s="73" t="s">
        <v>106</v>
      </c>
      <c r="F23" s="73" t="s">
        <v>107</v>
      </c>
      <c r="G23" s="73" t="s">
        <v>108</v>
      </c>
      <c r="H23" s="73" t="s">
        <v>109</v>
      </c>
      <c r="I23" s="73" t="s">
        <v>82</v>
      </c>
      <c r="J23" s="73" t="s">
        <v>110</v>
      </c>
      <c r="K23" s="85" t="s">
        <v>111</v>
      </c>
      <c r="L23" s="22"/>
      <c r="M23" s="11"/>
      <c r="N23" s="105" t="s">
        <v>112</v>
      </c>
      <c r="O23" s="106" t="s">
        <v>113</v>
      </c>
      <c r="P23" s="106" t="s">
        <v>114</v>
      </c>
      <c r="Q23" s="106" t="s">
        <v>115</v>
      </c>
      <c r="R23" s="107" t="s">
        <v>116</v>
      </c>
      <c r="S23" s="105" t="s">
        <v>47</v>
      </c>
      <c r="T23" s="39"/>
      <c r="U23" s="39"/>
      <c r="V23" s="39"/>
      <c r="W23" s="39"/>
      <c r="X23" s="39"/>
      <c r="Y23" s="40"/>
      <c r="AA23" s="11"/>
    </row>
    <row r="24" spans="1:41" ht="15" customHeight="1" x14ac:dyDescent="0.25">
      <c r="A24" s="58"/>
      <c r="B24" s="21"/>
      <c r="C24" s="86">
        <v>0</v>
      </c>
      <c r="D24" s="87">
        <v>1</v>
      </c>
      <c r="E24" s="88"/>
      <c r="F24" s="88"/>
      <c r="G24" s="88"/>
      <c r="H24" s="88"/>
      <c r="I24" s="87">
        <v>1</v>
      </c>
      <c r="J24" s="89">
        <v>0.25</v>
      </c>
      <c r="K24" s="90"/>
      <c r="L24" s="22"/>
      <c r="M24" s="11"/>
      <c r="N24" s="108">
        <v>0</v>
      </c>
      <c r="O24" s="109">
        <v>0</v>
      </c>
      <c r="P24" s="110">
        <f t="shared" ref="P24:P35" si="0">ROUND(IF(N24&lt;1.5,$C$6,($O$8+$O$3*O24)*$O$11),0)</f>
        <v>1100000</v>
      </c>
      <c r="Q24" s="111">
        <f>-P24</f>
        <v>-1100000</v>
      </c>
      <c r="R24" s="112">
        <f>Q24</f>
        <v>-1100000</v>
      </c>
      <c r="S24" s="123"/>
      <c r="T24" s="124"/>
      <c r="U24" s="124"/>
      <c r="V24" s="124"/>
      <c r="W24" s="124"/>
      <c r="X24" s="124"/>
      <c r="Y24" s="125"/>
      <c r="AA24" s="11"/>
    </row>
    <row r="25" spans="1:41" ht="15" customHeight="1" x14ac:dyDescent="0.25">
      <c r="A25" s="58"/>
      <c r="B25" s="21"/>
      <c r="C25" s="91">
        <f>C24+0.25</f>
        <v>0.25</v>
      </c>
      <c r="D25" s="21"/>
      <c r="E25" s="74">
        <v>0.107</v>
      </c>
      <c r="F25" s="74">
        <v>2.1000000000000001E-2</v>
      </c>
      <c r="G25" s="74">
        <v>1E-3</v>
      </c>
      <c r="H25" s="74">
        <v>1.4E-2</v>
      </c>
      <c r="I25" s="75"/>
      <c r="J25" s="74">
        <v>0.438</v>
      </c>
      <c r="K25" s="92">
        <v>7.2999999999999995E-2</v>
      </c>
      <c r="L25" s="22"/>
      <c r="M25" s="11"/>
      <c r="N25" s="113">
        <f>N24+0.25</f>
        <v>0.25</v>
      </c>
      <c r="O25" s="114">
        <f t="shared" ref="O25:O35" si="1">E25*$C$7</f>
        <v>64200</v>
      </c>
      <c r="P25" s="114">
        <f t="shared" si="0"/>
        <v>1100000</v>
      </c>
      <c r="Q25" s="115">
        <f t="shared" ref="Q25:Q35" si="2">-P25</f>
        <v>-1100000</v>
      </c>
      <c r="R25" s="116">
        <f>Q25-Q24</f>
        <v>0</v>
      </c>
      <c r="S25" s="126"/>
      <c r="T25" s="127"/>
      <c r="U25" s="127"/>
      <c r="V25" s="127"/>
      <c r="W25" s="127"/>
      <c r="X25" s="127"/>
      <c r="Y25" s="128"/>
      <c r="AA25" s="11"/>
    </row>
    <row r="26" spans="1:41" ht="15" customHeight="1" x14ac:dyDescent="0.25">
      <c r="A26" s="58"/>
      <c r="B26" s="21"/>
      <c r="C26" s="91">
        <f t="shared" ref="C26:C28" si="3">C25+0.25</f>
        <v>0.5</v>
      </c>
      <c r="D26" s="21"/>
      <c r="E26" s="74">
        <v>0.26300000000000001</v>
      </c>
      <c r="F26" s="74">
        <v>7.1999999999999995E-2</v>
      </c>
      <c r="G26" s="74">
        <v>5.0000000000000001E-3</v>
      </c>
      <c r="H26" s="74">
        <v>0.05</v>
      </c>
      <c r="I26" s="21"/>
      <c r="J26" s="74">
        <v>0.625</v>
      </c>
      <c r="K26" s="92">
        <v>0.16200000000000001</v>
      </c>
      <c r="L26" s="22"/>
      <c r="M26" s="11"/>
      <c r="N26" s="113">
        <f t="shared" ref="N26:N28" si="4">N25+0.25</f>
        <v>0.5</v>
      </c>
      <c r="O26" s="114">
        <f t="shared" si="1"/>
        <v>157800</v>
      </c>
      <c r="P26" s="114">
        <f t="shared" si="0"/>
        <v>1100000</v>
      </c>
      <c r="Q26" s="115">
        <f t="shared" si="2"/>
        <v>-1100000</v>
      </c>
      <c r="R26" s="116">
        <f t="shared" ref="R26:R35" si="5">Q26-Q25</f>
        <v>0</v>
      </c>
      <c r="S26" s="126"/>
      <c r="T26" s="127"/>
      <c r="U26" s="127"/>
      <c r="V26" s="127"/>
      <c r="W26" s="127"/>
      <c r="X26" s="127"/>
      <c r="Y26" s="128"/>
      <c r="AA26" s="11"/>
    </row>
    <row r="27" spans="1:41" ht="15" customHeight="1" x14ac:dyDescent="0.25">
      <c r="A27" s="58"/>
      <c r="B27" s="21"/>
      <c r="C27" s="91">
        <f t="shared" si="3"/>
        <v>0.75</v>
      </c>
      <c r="D27" s="21"/>
      <c r="E27" s="74">
        <v>0.45400000000000001</v>
      </c>
      <c r="F27" s="74">
        <v>0.14499999999999999</v>
      </c>
      <c r="G27" s="74">
        <v>0.02</v>
      </c>
      <c r="H27" s="74">
        <v>0.10299999999999999</v>
      </c>
      <c r="I27" s="21"/>
      <c r="J27" s="74">
        <v>0.81299999999999994</v>
      </c>
      <c r="K27" s="92">
        <v>0.26500000000000001</v>
      </c>
      <c r="L27" s="22"/>
      <c r="M27" s="11"/>
      <c r="N27" s="113">
        <f t="shared" si="4"/>
        <v>0.75</v>
      </c>
      <c r="O27" s="114">
        <f t="shared" si="1"/>
        <v>272400</v>
      </c>
      <c r="P27" s="114">
        <f t="shared" si="0"/>
        <v>1100000</v>
      </c>
      <c r="Q27" s="115">
        <f t="shared" si="2"/>
        <v>-1100000</v>
      </c>
      <c r="R27" s="116">
        <f t="shared" si="5"/>
        <v>0</v>
      </c>
      <c r="S27" s="126"/>
      <c r="T27" s="127"/>
      <c r="U27" s="127"/>
      <c r="V27" s="127"/>
      <c r="W27" s="127"/>
      <c r="X27" s="127"/>
      <c r="Y27" s="128"/>
      <c r="AA27" s="11"/>
    </row>
    <row r="28" spans="1:41" ht="15" customHeight="1" x14ac:dyDescent="0.25">
      <c r="A28" s="58"/>
      <c r="B28" s="21"/>
      <c r="C28" s="93">
        <f t="shared" si="3"/>
        <v>1</v>
      </c>
      <c r="D28" s="76"/>
      <c r="E28" s="77">
        <v>0.65500000000000003</v>
      </c>
      <c r="F28" s="77">
        <v>0.23400000000000001</v>
      </c>
      <c r="G28" s="77">
        <v>0.05</v>
      </c>
      <c r="H28" s="77">
        <v>0.17299999999999999</v>
      </c>
      <c r="I28" s="76"/>
      <c r="J28" s="77">
        <v>1</v>
      </c>
      <c r="K28" s="94">
        <v>0.38</v>
      </c>
      <c r="L28" s="22"/>
      <c r="M28" s="11"/>
      <c r="N28" s="117">
        <f t="shared" si="4"/>
        <v>1</v>
      </c>
      <c r="O28" s="67">
        <f t="shared" si="1"/>
        <v>393000</v>
      </c>
      <c r="P28" s="67">
        <f t="shared" si="0"/>
        <v>1100000</v>
      </c>
      <c r="Q28" s="68">
        <f t="shared" si="2"/>
        <v>-1100000</v>
      </c>
      <c r="R28" s="118">
        <f t="shared" si="5"/>
        <v>0</v>
      </c>
      <c r="S28" s="126"/>
      <c r="T28" s="127"/>
      <c r="U28" s="127"/>
      <c r="V28" s="127"/>
      <c r="W28" s="127"/>
      <c r="X28" s="127"/>
      <c r="Y28" s="128"/>
      <c r="AA28" s="11"/>
    </row>
    <row r="29" spans="1:41" x14ac:dyDescent="0.25">
      <c r="A29" s="58"/>
      <c r="B29" s="21"/>
      <c r="C29" s="91">
        <f>C28+0.5</f>
        <v>1.5</v>
      </c>
      <c r="D29" s="21"/>
      <c r="E29" s="74">
        <v>0.77300000000000002</v>
      </c>
      <c r="F29" s="74">
        <v>0.40899999999999997</v>
      </c>
      <c r="G29" s="74">
        <v>0.15</v>
      </c>
      <c r="H29" s="74">
        <v>0.32300000000000001</v>
      </c>
      <c r="I29" s="21"/>
      <c r="J29" s="21"/>
      <c r="K29" s="92">
        <v>0.49199999999999999</v>
      </c>
      <c r="L29" s="22"/>
      <c r="M29" s="11"/>
      <c r="N29" s="113">
        <f>N28+0.5</f>
        <v>1.5</v>
      </c>
      <c r="O29" s="114">
        <f t="shared" si="1"/>
        <v>463800</v>
      </c>
      <c r="P29" s="114">
        <f t="shared" si="0"/>
        <v>943551</v>
      </c>
      <c r="Q29" s="115">
        <f t="shared" si="2"/>
        <v>-943551</v>
      </c>
      <c r="R29" s="116">
        <f t="shared" si="5"/>
        <v>156449</v>
      </c>
      <c r="S29" s="126" t="s">
        <v>122</v>
      </c>
      <c r="T29" s="127"/>
      <c r="U29" s="127"/>
      <c r="V29" s="127"/>
      <c r="W29" s="127"/>
      <c r="X29" s="127"/>
      <c r="Y29" s="128"/>
      <c r="AA29" s="11"/>
      <c r="AB29" s="12"/>
      <c r="AO29" s="11"/>
    </row>
    <row r="30" spans="1:41" x14ac:dyDescent="0.25">
      <c r="A30" s="58"/>
      <c r="B30" s="21"/>
      <c r="C30" s="91">
        <f>C29+1</f>
        <v>2.5</v>
      </c>
      <c r="D30" s="21"/>
      <c r="E30" s="74">
        <v>0.879</v>
      </c>
      <c r="F30" s="74">
        <v>0.63500000000000001</v>
      </c>
      <c r="G30" s="74">
        <v>0.35</v>
      </c>
      <c r="H30" s="74">
        <v>0.54</v>
      </c>
      <c r="I30" s="21"/>
      <c r="J30" s="21"/>
      <c r="K30" s="92">
        <v>0.65500000000000003</v>
      </c>
      <c r="L30" s="22"/>
      <c r="M30" s="11"/>
      <c r="N30" s="113">
        <f>N29+1</f>
        <v>2.5</v>
      </c>
      <c r="O30" s="114">
        <f t="shared" si="1"/>
        <v>527400</v>
      </c>
      <c r="P30" s="114">
        <f t="shared" si="0"/>
        <v>1015679</v>
      </c>
      <c r="Q30" s="115">
        <f t="shared" si="2"/>
        <v>-1015679</v>
      </c>
      <c r="R30" s="116">
        <f t="shared" si="5"/>
        <v>-72128</v>
      </c>
      <c r="S30" s="126" t="s">
        <v>123</v>
      </c>
      <c r="T30" s="127"/>
      <c r="U30" s="127"/>
      <c r="V30" s="127"/>
      <c r="W30" s="127"/>
      <c r="X30" s="127"/>
      <c r="Y30" s="128"/>
      <c r="AA30" s="11"/>
      <c r="AB30" s="12"/>
      <c r="AO30" s="11"/>
    </row>
    <row r="31" spans="1:41" x14ac:dyDescent="0.25">
      <c r="A31" s="58"/>
      <c r="B31" s="21"/>
      <c r="C31" s="91">
        <f t="shared" ref="C31:C35" si="6">C30+1</f>
        <v>3.5</v>
      </c>
      <c r="D31" s="21"/>
      <c r="E31" s="74">
        <v>0.93899999999999995</v>
      </c>
      <c r="F31" s="74">
        <v>0.79800000000000004</v>
      </c>
      <c r="G31" s="74">
        <v>0.6</v>
      </c>
      <c r="H31" s="74">
        <v>0.73199999999999998</v>
      </c>
      <c r="I31" s="21"/>
      <c r="J31" s="21"/>
      <c r="K31" s="92">
        <v>0.79900000000000004</v>
      </c>
      <c r="L31" s="22"/>
      <c r="M31" s="11"/>
      <c r="N31" s="113">
        <f t="shared" ref="N31:N35" si="7">N30+1</f>
        <v>3.5</v>
      </c>
      <c r="O31" s="114">
        <f t="shared" si="1"/>
        <v>563400</v>
      </c>
      <c r="P31" s="114">
        <f t="shared" si="0"/>
        <v>1056507</v>
      </c>
      <c r="Q31" s="115">
        <f t="shared" si="2"/>
        <v>-1056507</v>
      </c>
      <c r="R31" s="116">
        <f t="shared" si="5"/>
        <v>-40828</v>
      </c>
      <c r="S31" s="126"/>
      <c r="T31" s="127"/>
      <c r="U31" s="127"/>
      <c r="V31" s="127"/>
      <c r="W31" s="127"/>
      <c r="X31" s="127"/>
      <c r="Y31" s="128"/>
      <c r="AA31" s="11"/>
      <c r="AB31" s="12"/>
      <c r="AO31" s="11"/>
    </row>
    <row r="32" spans="1:41" x14ac:dyDescent="0.25">
      <c r="A32" s="58"/>
      <c r="B32" s="21"/>
      <c r="C32" s="91">
        <f t="shared" si="6"/>
        <v>4.5</v>
      </c>
      <c r="D32" s="21"/>
      <c r="E32" s="74">
        <v>0.97399999999999998</v>
      </c>
      <c r="F32" s="74">
        <v>0.90400000000000003</v>
      </c>
      <c r="G32" s="74">
        <v>0.8</v>
      </c>
      <c r="H32" s="74">
        <v>0.86899999999999999</v>
      </c>
      <c r="I32" s="21"/>
      <c r="J32" s="21"/>
      <c r="K32" s="92">
        <v>0.90200000000000002</v>
      </c>
      <c r="L32" s="22"/>
      <c r="M32" s="11"/>
      <c r="N32" s="113">
        <f t="shared" si="7"/>
        <v>4.5</v>
      </c>
      <c r="O32" s="114">
        <f t="shared" si="1"/>
        <v>584400</v>
      </c>
      <c r="P32" s="114">
        <f t="shared" si="0"/>
        <v>1080323</v>
      </c>
      <c r="Q32" s="115">
        <f t="shared" si="2"/>
        <v>-1080323</v>
      </c>
      <c r="R32" s="116">
        <f t="shared" si="5"/>
        <v>-23816</v>
      </c>
      <c r="S32" s="126" t="s">
        <v>124</v>
      </c>
      <c r="T32" s="127"/>
      <c r="U32" s="127"/>
      <c r="V32" s="127"/>
      <c r="W32" s="127"/>
      <c r="X32" s="127"/>
      <c r="Y32" s="128"/>
      <c r="AA32" s="11"/>
      <c r="AB32" s="12"/>
      <c r="AO32" s="11"/>
    </row>
    <row r="33" spans="1:41" x14ac:dyDescent="0.25">
      <c r="A33" s="58"/>
      <c r="B33" s="21"/>
      <c r="C33" s="91">
        <f t="shared" si="6"/>
        <v>5.5</v>
      </c>
      <c r="D33" s="21"/>
      <c r="E33" s="74">
        <v>0.98899999999999999</v>
      </c>
      <c r="F33" s="74">
        <v>0.95599999999999996</v>
      </c>
      <c r="G33" s="74">
        <v>0.9</v>
      </c>
      <c r="H33" s="74">
        <v>0.93700000000000006</v>
      </c>
      <c r="I33" s="21"/>
      <c r="J33" s="21"/>
      <c r="K33" s="92">
        <v>0.95299999999999996</v>
      </c>
      <c r="L33" s="22"/>
      <c r="M33" s="11"/>
      <c r="N33" s="113">
        <f t="shared" si="7"/>
        <v>5.5</v>
      </c>
      <c r="O33" s="114">
        <f t="shared" si="1"/>
        <v>593400</v>
      </c>
      <c r="P33" s="114">
        <f t="shared" si="0"/>
        <v>1090530</v>
      </c>
      <c r="Q33" s="115">
        <f t="shared" si="2"/>
        <v>-1090530</v>
      </c>
      <c r="R33" s="116">
        <f t="shared" si="5"/>
        <v>-10207</v>
      </c>
      <c r="S33" s="126" t="s">
        <v>125</v>
      </c>
      <c r="T33" s="127"/>
      <c r="U33" s="127"/>
      <c r="V33" s="127"/>
      <c r="W33" s="127"/>
      <c r="X33" s="127"/>
      <c r="Y33" s="128"/>
      <c r="AA33" s="11"/>
      <c r="AB33" s="12"/>
      <c r="AO33" s="11"/>
    </row>
    <row r="34" spans="1:41" x14ac:dyDescent="0.25">
      <c r="A34" s="58"/>
      <c r="B34" s="21"/>
      <c r="C34" s="91">
        <f t="shared" si="6"/>
        <v>6.5</v>
      </c>
      <c r="D34" s="21"/>
      <c r="E34" s="74">
        <v>0.997</v>
      </c>
      <c r="F34" s="74">
        <v>0.97699999999999998</v>
      </c>
      <c r="G34" s="74">
        <v>0.95</v>
      </c>
      <c r="H34" s="74">
        <v>0.96799999999999997</v>
      </c>
      <c r="I34" s="21"/>
      <c r="J34" s="21"/>
      <c r="K34" s="92">
        <v>0.97599999999999998</v>
      </c>
      <c r="L34" s="22"/>
      <c r="M34" s="11"/>
      <c r="N34" s="113">
        <f t="shared" si="7"/>
        <v>6.5</v>
      </c>
      <c r="O34" s="114">
        <f t="shared" si="1"/>
        <v>598200</v>
      </c>
      <c r="P34" s="114">
        <f t="shared" si="0"/>
        <v>1095974</v>
      </c>
      <c r="Q34" s="115">
        <f t="shared" si="2"/>
        <v>-1095974</v>
      </c>
      <c r="R34" s="116">
        <f t="shared" si="5"/>
        <v>-5444</v>
      </c>
      <c r="S34" s="126"/>
      <c r="T34" s="127"/>
      <c r="U34" s="127"/>
      <c r="V34" s="127"/>
      <c r="W34" s="127"/>
      <c r="X34" s="127"/>
      <c r="Y34" s="128"/>
      <c r="AA34" s="11"/>
      <c r="AB34" s="12"/>
      <c r="AO34" s="11"/>
    </row>
    <row r="35" spans="1:41" x14ac:dyDescent="0.25">
      <c r="A35" s="58"/>
      <c r="B35" s="21"/>
      <c r="C35" s="95">
        <f t="shared" si="6"/>
        <v>7.5</v>
      </c>
      <c r="D35" s="96"/>
      <c r="E35" s="97">
        <v>1</v>
      </c>
      <c r="F35" s="97">
        <v>1</v>
      </c>
      <c r="G35" s="97">
        <v>1</v>
      </c>
      <c r="H35" s="97">
        <v>1</v>
      </c>
      <c r="I35" s="96"/>
      <c r="J35" s="96"/>
      <c r="K35" s="98">
        <v>1</v>
      </c>
      <c r="L35" s="22"/>
      <c r="M35" s="11"/>
      <c r="N35" s="119">
        <f t="shared" si="7"/>
        <v>7.5</v>
      </c>
      <c r="O35" s="120">
        <f t="shared" si="1"/>
        <v>600000</v>
      </c>
      <c r="P35" s="120">
        <f t="shared" si="0"/>
        <v>1098015</v>
      </c>
      <c r="Q35" s="121">
        <f t="shared" si="2"/>
        <v>-1098015</v>
      </c>
      <c r="R35" s="122">
        <f t="shared" si="5"/>
        <v>-2041</v>
      </c>
      <c r="S35" s="129"/>
      <c r="T35" s="130"/>
      <c r="U35" s="130"/>
      <c r="V35" s="130"/>
      <c r="W35" s="130"/>
      <c r="X35" s="130"/>
      <c r="Y35" s="131"/>
      <c r="AA35" s="11"/>
      <c r="AB35" s="12"/>
      <c r="AO35" s="11"/>
    </row>
    <row r="36" spans="1:41" x14ac:dyDescent="0.25">
      <c r="A36" s="58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2"/>
      <c r="M36" s="11"/>
      <c r="U36" s="12"/>
      <c r="V36" s="12"/>
      <c r="W36" s="12"/>
      <c r="X36" s="12"/>
      <c r="Y36" s="12"/>
      <c r="Z36" s="12"/>
      <c r="AA36" s="11"/>
      <c r="AB36" s="12"/>
      <c r="AO36" s="11"/>
    </row>
    <row r="37" spans="1:41" x14ac:dyDescent="0.25">
      <c r="A37" s="58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2"/>
      <c r="M37" s="11"/>
      <c r="N37" s="10" t="s">
        <v>126</v>
      </c>
      <c r="U37" s="12"/>
      <c r="V37" s="12"/>
      <c r="W37" s="12"/>
      <c r="X37" s="12"/>
      <c r="Y37" s="12"/>
      <c r="Z37" s="12"/>
      <c r="AA37" s="11"/>
      <c r="AB37" s="12"/>
      <c r="AO37" s="11"/>
    </row>
    <row r="38" spans="1:41" x14ac:dyDescent="0.25">
      <c r="A38" s="20" t="s">
        <v>7</v>
      </c>
      <c r="B38" s="21"/>
      <c r="C38" s="21" t="s">
        <v>127</v>
      </c>
      <c r="D38" s="21"/>
      <c r="E38" s="21"/>
      <c r="F38" s="21"/>
      <c r="G38" s="21"/>
      <c r="H38" s="21"/>
      <c r="I38" s="21"/>
      <c r="J38" s="21"/>
      <c r="K38" s="21"/>
      <c r="L38" s="22"/>
      <c r="M38" s="11"/>
      <c r="N38" t="s">
        <v>140</v>
      </c>
      <c r="U38" s="12"/>
      <c r="V38" s="12"/>
      <c r="W38" s="12"/>
      <c r="X38" s="12"/>
      <c r="Y38" s="12"/>
      <c r="Z38" s="12"/>
      <c r="AA38" s="11"/>
      <c r="AB38" s="12"/>
      <c r="AO38" s="11"/>
    </row>
    <row r="39" spans="1:41" x14ac:dyDescent="0.25">
      <c r="A39" s="51"/>
      <c r="B39" s="25"/>
      <c r="C39" s="21" t="s">
        <v>128</v>
      </c>
      <c r="D39" s="21"/>
      <c r="E39" s="21"/>
      <c r="F39" s="21"/>
      <c r="G39" s="21"/>
      <c r="H39" s="21"/>
      <c r="I39" s="21"/>
      <c r="J39" s="21"/>
      <c r="K39" s="21"/>
      <c r="L39" s="22"/>
      <c r="M39" s="11"/>
      <c r="N39" s="10" t="s">
        <v>129</v>
      </c>
      <c r="U39" s="12"/>
      <c r="V39" s="12"/>
      <c r="W39" s="12"/>
      <c r="X39" s="12"/>
      <c r="Y39" s="12"/>
      <c r="Z39" s="12"/>
      <c r="AA39" s="11"/>
      <c r="AB39" s="12"/>
      <c r="AO39" s="11"/>
    </row>
    <row r="40" spans="1:41" x14ac:dyDescent="0.25">
      <c r="A40" s="58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2"/>
      <c r="M40" s="11"/>
      <c r="N40" s="10" t="s">
        <v>130</v>
      </c>
      <c r="U40" s="12"/>
      <c r="V40" s="12"/>
      <c r="W40" s="12"/>
      <c r="X40" s="12"/>
      <c r="Y40" s="12"/>
      <c r="Z40" s="12"/>
      <c r="AA40" s="11"/>
      <c r="AB40" s="12"/>
      <c r="AO40" s="11"/>
    </row>
    <row r="41" spans="1:41" x14ac:dyDescent="0.25">
      <c r="A41" s="58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2"/>
      <c r="M41" s="11"/>
      <c r="U41" s="12"/>
      <c r="V41" s="12"/>
      <c r="W41" s="12"/>
      <c r="X41" s="12"/>
      <c r="Y41" s="12"/>
      <c r="Z41" s="12"/>
      <c r="AA41" s="11"/>
      <c r="AB41" s="12"/>
      <c r="AO41" s="11"/>
    </row>
    <row r="42" spans="1:41" x14ac:dyDescent="0.25">
      <c r="A42" s="20" t="s">
        <v>131</v>
      </c>
      <c r="B42" s="21"/>
      <c r="C42" s="21" t="s">
        <v>132</v>
      </c>
      <c r="D42" s="21"/>
      <c r="E42" s="21"/>
      <c r="F42" s="21"/>
      <c r="G42" s="21"/>
      <c r="H42" s="21"/>
      <c r="I42" s="21"/>
      <c r="J42" s="21"/>
      <c r="K42" s="21"/>
      <c r="L42" s="22"/>
      <c r="M42" s="11"/>
      <c r="N42" s="10" t="s">
        <v>133</v>
      </c>
      <c r="U42" s="12"/>
      <c r="V42" s="12"/>
      <c r="W42" s="12"/>
      <c r="X42" s="12"/>
      <c r="Y42" s="12"/>
      <c r="Z42" s="12"/>
      <c r="AA42" s="11"/>
      <c r="AB42" s="12"/>
      <c r="AO42" s="11"/>
    </row>
    <row r="43" spans="1:41" ht="15.75" thickBot="1" x14ac:dyDescent="0.3">
      <c r="A43" s="78"/>
      <c r="B43" s="35"/>
      <c r="C43" s="35" t="s">
        <v>134</v>
      </c>
      <c r="D43" s="35"/>
      <c r="E43" s="35"/>
      <c r="F43" s="35"/>
      <c r="G43" s="35"/>
      <c r="H43" s="35"/>
      <c r="I43" s="35"/>
      <c r="J43" s="35"/>
      <c r="K43" s="35"/>
      <c r="L43" s="36"/>
      <c r="M43" s="11"/>
      <c r="U43" s="12"/>
      <c r="V43" s="12"/>
      <c r="W43" s="12"/>
      <c r="X43" s="12"/>
      <c r="Y43" s="12"/>
      <c r="Z43" s="12"/>
      <c r="AA43" s="11"/>
      <c r="AB43" s="12"/>
      <c r="AO43" s="11"/>
    </row>
    <row r="44" spans="1:41" x14ac:dyDescent="0.25">
      <c r="M44" s="11"/>
      <c r="N44" s="10" t="s">
        <v>135</v>
      </c>
      <c r="U44" s="12"/>
      <c r="V44" s="12"/>
      <c r="W44" s="12"/>
      <c r="X44" s="12"/>
      <c r="Y44" s="12"/>
      <c r="Z44" s="12"/>
      <c r="AA44" s="11"/>
      <c r="AB44" s="12"/>
      <c r="AO44" s="11"/>
    </row>
    <row r="45" spans="1:41" x14ac:dyDescent="0.25">
      <c r="M45" s="11"/>
      <c r="U45" s="12"/>
      <c r="V45" s="12"/>
      <c r="W45" s="12"/>
      <c r="X45" s="12"/>
      <c r="Y45" s="12"/>
      <c r="Z45" s="12"/>
      <c r="AA45" s="11"/>
      <c r="AB45" s="12"/>
      <c r="AO45" s="11"/>
    </row>
    <row r="46" spans="1:41" x14ac:dyDescent="0.25">
      <c r="M46" s="11"/>
      <c r="N46" s="9" t="s">
        <v>136</v>
      </c>
      <c r="U46" s="12"/>
      <c r="V46" s="12"/>
      <c r="W46" s="12"/>
      <c r="X46" s="12"/>
      <c r="Y46" s="12"/>
      <c r="Z46" s="12"/>
      <c r="AA46" s="11"/>
      <c r="AB46" s="12"/>
      <c r="AO46" s="11"/>
    </row>
    <row r="47" spans="1:41" x14ac:dyDescent="0.25">
      <c r="M47" s="11"/>
      <c r="N47" s="10" t="s">
        <v>137</v>
      </c>
      <c r="U47" s="12"/>
      <c r="V47" s="12"/>
      <c r="W47" s="12"/>
      <c r="X47" s="12"/>
      <c r="Y47" s="12"/>
      <c r="Z47" s="12"/>
      <c r="AA47" s="11"/>
      <c r="AB47" s="12"/>
      <c r="AO47" s="11"/>
    </row>
    <row r="48" spans="1:41" x14ac:dyDescent="0.25">
      <c r="M48" s="11"/>
      <c r="U48" s="12"/>
      <c r="V48" s="12"/>
      <c r="W48" s="12"/>
      <c r="X48" s="12"/>
      <c r="Y48" s="12"/>
      <c r="Z48" s="12"/>
      <c r="AA48" s="11"/>
      <c r="AB48" s="12"/>
      <c r="AO48" s="11"/>
    </row>
    <row r="49" spans="13:41" x14ac:dyDescent="0.25">
      <c r="M49" s="11"/>
      <c r="N49" s="10" t="s">
        <v>141</v>
      </c>
      <c r="U49" s="12"/>
      <c r="V49" s="12"/>
      <c r="W49" s="12"/>
      <c r="X49" s="12"/>
      <c r="Y49" s="12"/>
      <c r="Z49" s="12"/>
      <c r="AA49" s="11"/>
      <c r="AB49" s="12"/>
      <c r="AO49" s="11"/>
    </row>
    <row r="51" spans="13:41" x14ac:dyDescent="0.25">
      <c r="N51" s="9" t="s">
        <v>57</v>
      </c>
      <c r="AA51" s="8"/>
    </row>
    <row r="52" spans="13:41" x14ac:dyDescent="0.25">
      <c r="O52" s="69" t="s">
        <v>59</v>
      </c>
      <c r="P52" s="69"/>
      <c r="Q52" s="69"/>
      <c r="R52" s="69"/>
      <c r="S52" s="69"/>
      <c r="T52" s="69"/>
      <c r="U52" s="69"/>
      <c r="AA52" s="8"/>
    </row>
    <row r="53" spans="13:41" ht="45" x14ac:dyDescent="0.25">
      <c r="N53" s="105" t="s">
        <v>62</v>
      </c>
      <c r="O53" s="106" t="s">
        <v>63</v>
      </c>
      <c r="P53" s="106" t="s">
        <v>64</v>
      </c>
      <c r="Q53" s="106" t="s">
        <v>65</v>
      </c>
      <c r="R53" s="106" t="s">
        <v>66</v>
      </c>
      <c r="S53" s="106" t="s">
        <v>67</v>
      </c>
      <c r="T53" s="106" t="s">
        <v>68</v>
      </c>
      <c r="U53" s="106" t="s">
        <v>69</v>
      </c>
      <c r="V53" s="106" t="s">
        <v>70</v>
      </c>
      <c r="W53" s="106" t="s">
        <v>71</v>
      </c>
      <c r="X53" s="107" t="s">
        <v>72</v>
      </c>
      <c r="AA53" s="8"/>
    </row>
    <row r="54" spans="13:41" x14ac:dyDescent="0.25">
      <c r="N54" s="108">
        <v>0</v>
      </c>
      <c r="O54" s="110">
        <f t="shared" ref="O54:O65" si="8">P24</f>
        <v>1100000</v>
      </c>
      <c r="P54" s="110">
        <v>0</v>
      </c>
      <c r="Q54" s="110">
        <v>0</v>
      </c>
      <c r="R54" s="110">
        <f>P54+Q54</f>
        <v>0</v>
      </c>
      <c r="S54" s="110">
        <f>$C$9</f>
        <v>55000</v>
      </c>
      <c r="T54" s="110">
        <f>$C$13*O54</f>
        <v>33000</v>
      </c>
      <c r="U54" s="110">
        <f>$C$10*J24</f>
        <v>3750</v>
      </c>
      <c r="V54" s="110">
        <v>0</v>
      </c>
      <c r="W54" s="111">
        <f>O54-R54-S54-T54-U54-V54</f>
        <v>1008250</v>
      </c>
      <c r="X54" s="132">
        <f>W54</f>
        <v>1008250</v>
      </c>
      <c r="AA54" s="11"/>
    </row>
    <row r="55" spans="13:41" x14ac:dyDescent="0.25">
      <c r="N55" s="113">
        <f>N54+0.25</f>
        <v>0.25</v>
      </c>
      <c r="O55" s="114">
        <f t="shared" si="8"/>
        <v>1100000</v>
      </c>
      <c r="P55" s="114">
        <f t="shared" ref="P55:P65" si="9">$C$7*F25</f>
        <v>12600</v>
      </c>
      <c r="Q55" s="114">
        <f t="shared" ref="Q55:Q65" si="10">$C$8*G25</f>
        <v>300</v>
      </c>
      <c r="R55" s="114">
        <f t="shared" ref="R55:R65" si="11">P55+Q55</f>
        <v>12900</v>
      </c>
      <c r="S55" s="114">
        <f t="shared" ref="S55:S65" si="12">$C$9</f>
        <v>55000</v>
      </c>
      <c r="T55" s="114">
        <f t="shared" ref="T55:T65" si="13">$C$13*O55</f>
        <v>33000</v>
      </c>
      <c r="U55" s="114">
        <f>$C$10*J25</f>
        <v>6570</v>
      </c>
      <c r="V55" s="114">
        <f t="shared" ref="V55:V65" si="14">($C$7+$C$8)*$C$12*K25</f>
        <v>6570</v>
      </c>
      <c r="W55" s="115">
        <f>O55-R55-S55-T55-U55-V55</f>
        <v>985960</v>
      </c>
      <c r="X55" s="116">
        <f>W55-W54</f>
        <v>-22290</v>
      </c>
      <c r="AA55" s="11"/>
    </row>
    <row r="56" spans="13:41" x14ac:dyDescent="0.25">
      <c r="N56" s="113">
        <f t="shared" ref="N56:N58" si="15">N55+0.25</f>
        <v>0.5</v>
      </c>
      <c r="O56" s="114">
        <f t="shared" si="8"/>
        <v>1100000</v>
      </c>
      <c r="P56" s="114">
        <f t="shared" si="9"/>
        <v>43200</v>
      </c>
      <c r="Q56" s="114">
        <f t="shared" si="10"/>
        <v>1500</v>
      </c>
      <c r="R56" s="114">
        <f t="shared" si="11"/>
        <v>44700</v>
      </c>
      <c r="S56" s="114">
        <f t="shared" si="12"/>
        <v>55000</v>
      </c>
      <c r="T56" s="114">
        <f t="shared" si="13"/>
        <v>33000</v>
      </c>
      <c r="U56" s="114">
        <f>$C$10*J26</f>
        <v>9375</v>
      </c>
      <c r="V56" s="114">
        <f t="shared" si="14"/>
        <v>14580</v>
      </c>
      <c r="W56" s="115">
        <f t="shared" ref="W56:W65" si="16">O56-R56-S56-T56-U56-V56</f>
        <v>943345</v>
      </c>
      <c r="X56" s="116">
        <f t="shared" ref="X56:X65" si="17">W56-W55</f>
        <v>-42615</v>
      </c>
      <c r="AA56" s="11"/>
    </row>
    <row r="57" spans="13:41" x14ac:dyDescent="0.25">
      <c r="N57" s="113">
        <f t="shared" si="15"/>
        <v>0.75</v>
      </c>
      <c r="O57" s="114">
        <f t="shared" si="8"/>
        <v>1100000</v>
      </c>
      <c r="P57" s="114">
        <f t="shared" si="9"/>
        <v>87000</v>
      </c>
      <c r="Q57" s="114">
        <f t="shared" si="10"/>
        <v>6000</v>
      </c>
      <c r="R57" s="114">
        <f t="shared" si="11"/>
        <v>93000</v>
      </c>
      <c r="S57" s="114">
        <f t="shared" si="12"/>
        <v>55000</v>
      </c>
      <c r="T57" s="114">
        <f t="shared" si="13"/>
        <v>33000</v>
      </c>
      <c r="U57" s="114">
        <f>$C$10*J27</f>
        <v>12195</v>
      </c>
      <c r="V57" s="114">
        <f t="shared" si="14"/>
        <v>23850</v>
      </c>
      <c r="W57" s="115">
        <f t="shared" si="16"/>
        <v>882955</v>
      </c>
      <c r="X57" s="116">
        <f t="shared" si="17"/>
        <v>-60390</v>
      </c>
      <c r="AA57" s="11"/>
    </row>
    <row r="58" spans="13:41" x14ac:dyDescent="0.25">
      <c r="N58" s="113">
        <f t="shared" si="15"/>
        <v>1</v>
      </c>
      <c r="O58" s="114">
        <f t="shared" si="8"/>
        <v>1100000</v>
      </c>
      <c r="P58" s="114">
        <f t="shared" si="9"/>
        <v>140400</v>
      </c>
      <c r="Q58" s="114">
        <f t="shared" si="10"/>
        <v>15000</v>
      </c>
      <c r="R58" s="114">
        <f t="shared" si="11"/>
        <v>155400</v>
      </c>
      <c r="S58" s="114">
        <f t="shared" si="12"/>
        <v>55000</v>
      </c>
      <c r="T58" s="114">
        <f t="shared" si="13"/>
        <v>33000</v>
      </c>
      <c r="U58" s="114">
        <f t="shared" ref="U58:U65" si="18">$C$10*$J$28</f>
        <v>15000</v>
      </c>
      <c r="V58" s="114">
        <f t="shared" si="14"/>
        <v>34200</v>
      </c>
      <c r="W58" s="115">
        <f t="shared" si="16"/>
        <v>807400</v>
      </c>
      <c r="X58" s="116">
        <f t="shared" si="17"/>
        <v>-75555</v>
      </c>
      <c r="AA58" s="11"/>
    </row>
    <row r="59" spans="13:41" x14ac:dyDescent="0.25">
      <c r="N59" s="113">
        <f>N58+0.5</f>
        <v>1.5</v>
      </c>
      <c r="O59" s="114">
        <f t="shared" si="8"/>
        <v>943551</v>
      </c>
      <c r="P59" s="114">
        <f t="shared" si="9"/>
        <v>245399.99999999997</v>
      </c>
      <c r="Q59" s="114">
        <f t="shared" si="10"/>
        <v>45000</v>
      </c>
      <c r="R59" s="114">
        <f t="shared" si="11"/>
        <v>290400</v>
      </c>
      <c r="S59" s="114">
        <f t="shared" si="12"/>
        <v>55000</v>
      </c>
      <c r="T59" s="114">
        <f t="shared" si="13"/>
        <v>28306.53</v>
      </c>
      <c r="U59" s="114">
        <f t="shared" si="18"/>
        <v>15000</v>
      </c>
      <c r="V59" s="114">
        <f t="shared" si="14"/>
        <v>44280</v>
      </c>
      <c r="W59" s="115">
        <f t="shared" si="16"/>
        <v>510564.47</v>
      </c>
      <c r="X59" s="116">
        <f t="shared" si="17"/>
        <v>-296835.53000000003</v>
      </c>
      <c r="AA59" s="11"/>
    </row>
    <row r="60" spans="13:41" x14ac:dyDescent="0.25">
      <c r="N60" s="113">
        <f>N59+1</f>
        <v>2.5</v>
      </c>
      <c r="O60" s="114">
        <f t="shared" si="8"/>
        <v>1015679</v>
      </c>
      <c r="P60" s="114">
        <f t="shared" si="9"/>
        <v>381000</v>
      </c>
      <c r="Q60" s="114">
        <f t="shared" si="10"/>
        <v>105000</v>
      </c>
      <c r="R60" s="114">
        <f t="shared" si="11"/>
        <v>486000</v>
      </c>
      <c r="S60" s="114">
        <f t="shared" si="12"/>
        <v>55000</v>
      </c>
      <c r="T60" s="114">
        <f t="shared" si="13"/>
        <v>30470.37</v>
      </c>
      <c r="U60" s="114">
        <f t="shared" si="18"/>
        <v>15000</v>
      </c>
      <c r="V60" s="114">
        <f t="shared" si="14"/>
        <v>58950</v>
      </c>
      <c r="W60" s="115">
        <f t="shared" si="16"/>
        <v>370258.63</v>
      </c>
      <c r="X60" s="116">
        <f t="shared" si="17"/>
        <v>-140305.83999999997</v>
      </c>
      <c r="AA60" s="11"/>
    </row>
    <row r="61" spans="13:41" x14ac:dyDescent="0.25">
      <c r="N61" s="113">
        <f t="shared" ref="N61:N65" si="19">N60+1</f>
        <v>3.5</v>
      </c>
      <c r="O61" s="114">
        <f t="shared" si="8"/>
        <v>1056507</v>
      </c>
      <c r="P61" s="114">
        <f t="shared" si="9"/>
        <v>478800</v>
      </c>
      <c r="Q61" s="114">
        <f t="shared" si="10"/>
        <v>180000</v>
      </c>
      <c r="R61" s="114">
        <f t="shared" si="11"/>
        <v>658800</v>
      </c>
      <c r="S61" s="114">
        <f t="shared" si="12"/>
        <v>55000</v>
      </c>
      <c r="T61" s="114">
        <f t="shared" si="13"/>
        <v>31695.21</v>
      </c>
      <c r="U61" s="114">
        <f t="shared" si="18"/>
        <v>15000</v>
      </c>
      <c r="V61" s="114">
        <f t="shared" si="14"/>
        <v>71910</v>
      </c>
      <c r="W61" s="115">
        <f t="shared" si="16"/>
        <v>224101.78999999998</v>
      </c>
      <c r="X61" s="116">
        <f t="shared" si="17"/>
        <v>-146156.84000000003</v>
      </c>
      <c r="AA61" s="11"/>
    </row>
    <row r="62" spans="13:41" x14ac:dyDescent="0.25">
      <c r="N62" s="113">
        <f t="shared" si="19"/>
        <v>4.5</v>
      </c>
      <c r="O62" s="114">
        <f t="shared" si="8"/>
        <v>1080323</v>
      </c>
      <c r="P62" s="114">
        <f t="shared" si="9"/>
        <v>542400</v>
      </c>
      <c r="Q62" s="114">
        <f t="shared" si="10"/>
        <v>240000</v>
      </c>
      <c r="R62" s="114">
        <f t="shared" si="11"/>
        <v>782400</v>
      </c>
      <c r="S62" s="114">
        <f t="shared" si="12"/>
        <v>55000</v>
      </c>
      <c r="T62" s="114">
        <f t="shared" si="13"/>
        <v>32409.69</v>
      </c>
      <c r="U62" s="114">
        <f t="shared" si="18"/>
        <v>15000</v>
      </c>
      <c r="V62" s="114">
        <f t="shared" si="14"/>
        <v>81180</v>
      </c>
      <c r="W62" s="115">
        <f t="shared" si="16"/>
        <v>114333.31</v>
      </c>
      <c r="X62" s="116">
        <f t="shared" si="17"/>
        <v>-109768.47999999998</v>
      </c>
      <c r="AA62" s="11"/>
    </row>
    <row r="63" spans="13:41" x14ac:dyDescent="0.25">
      <c r="N63" s="113">
        <f t="shared" si="19"/>
        <v>5.5</v>
      </c>
      <c r="O63" s="114">
        <f t="shared" si="8"/>
        <v>1090530</v>
      </c>
      <c r="P63" s="114">
        <f t="shared" si="9"/>
        <v>573600</v>
      </c>
      <c r="Q63" s="114">
        <f t="shared" si="10"/>
        <v>270000</v>
      </c>
      <c r="R63" s="114">
        <f t="shared" si="11"/>
        <v>843600</v>
      </c>
      <c r="S63" s="114">
        <f t="shared" si="12"/>
        <v>55000</v>
      </c>
      <c r="T63" s="114">
        <f t="shared" si="13"/>
        <v>32715.899999999998</v>
      </c>
      <c r="U63" s="114">
        <f t="shared" si="18"/>
        <v>15000</v>
      </c>
      <c r="V63" s="114">
        <f t="shared" si="14"/>
        <v>85770</v>
      </c>
      <c r="W63" s="115">
        <f t="shared" si="16"/>
        <v>58444.100000000006</v>
      </c>
      <c r="X63" s="116">
        <f t="shared" si="17"/>
        <v>-55889.209999999992</v>
      </c>
      <c r="AA63" s="11"/>
    </row>
    <row r="64" spans="13:41" x14ac:dyDescent="0.25">
      <c r="N64" s="113">
        <f t="shared" si="19"/>
        <v>6.5</v>
      </c>
      <c r="O64" s="114">
        <f t="shared" si="8"/>
        <v>1095974</v>
      </c>
      <c r="P64" s="114">
        <f t="shared" si="9"/>
        <v>586200</v>
      </c>
      <c r="Q64" s="114">
        <f t="shared" si="10"/>
        <v>285000</v>
      </c>
      <c r="R64" s="114">
        <f t="shared" si="11"/>
        <v>871200</v>
      </c>
      <c r="S64" s="114">
        <f t="shared" si="12"/>
        <v>55000</v>
      </c>
      <c r="T64" s="114">
        <f t="shared" si="13"/>
        <v>32879.22</v>
      </c>
      <c r="U64" s="114">
        <f t="shared" si="18"/>
        <v>15000</v>
      </c>
      <c r="V64" s="114">
        <f t="shared" si="14"/>
        <v>87840</v>
      </c>
      <c r="W64" s="115">
        <f t="shared" si="16"/>
        <v>34054.78</v>
      </c>
      <c r="X64" s="116">
        <f t="shared" si="17"/>
        <v>-24389.320000000007</v>
      </c>
      <c r="AA64" s="11"/>
    </row>
    <row r="65" spans="14:27" x14ac:dyDescent="0.25">
      <c r="N65" s="119">
        <f t="shared" si="19"/>
        <v>7.5</v>
      </c>
      <c r="O65" s="120">
        <f t="shared" si="8"/>
        <v>1098015</v>
      </c>
      <c r="P65" s="120">
        <f t="shared" si="9"/>
        <v>600000</v>
      </c>
      <c r="Q65" s="120">
        <f t="shared" si="10"/>
        <v>300000</v>
      </c>
      <c r="R65" s="120">
        <f t="shared" si="11"/>
        <v>900000</v>
      </c>
      <c r="S65" s="120">
        <f t="shared" si="12"/>
        <v>55000</v>
      </c>
      <c r="T65" s="120">
        <f t="shared" si="13"/>
        <v>32940.449999999997</v>
      </c>
      <c r="U65" s="120">
        <f t="shared" si="18"/>
        <v>15000</v>
      </c>
      <c r="V65" s="120">
        <f t="shared" si="14"/>
        <v>90000</v>
      </c>
      <c r="W65" s="121">
        <f t="shared" si="16"/>
        <v>5074.5500000000029</v>
      </c>
      <c r="X65" s="122">
        <f t="shared" si="17"/>
        <v>-28980.229999999996</v>
      </c>
      <c r="AA65" s="11"/>
    </row>
    <row r="66" spans="14:27" x14ac:dyDescent="0.25">
      <c r="N66" s="12"/>
      <c r="P66" s="44"/>
      <c r="AA66" s="11"/>
    </row>
    <row r="67" spans="14:27" x14ac:dyDescent="0.25">
      <c r="N67" s="12" t="s">
        <v>94</v>
      </c>
      <c r="S67" s="70" t="str">
        <f>"(16) = (11) * "&amp;TEXT(C13,"0.0%")&amp; " (Premium tax rate)"</f>
        <v>(16) = (11) * 3.0% (Premium tax rate)</v>
      </c>
      <c r="AA67" s="11"/>
    </row>
    <row r="68" spans="14:27" x14ac:dyDescent="0.25">
      <c r="N68" s="12" t="s">
        <v>96</v>
      </c>
      <c r="S68" s="10" t="s">
        <v>97</v>
      </c>
      <c r="AA68" s="11"/>
    </row>
    <row r="69" spans="14:27" x14ac:dyDescent="0.25">
      <c r="N69" s="12" t="s">
        <v>99</v>
      </c>
      <c r="S69" s="10" t="s">
        <v>100</v>
      </c>
      <c r="AA69" s="11"/>
    </row>
    <row r="70" spans="14:27" x14ac:dyDescent="0.25">
      <c r="N70" s="12" t="s">
        <v>101</v>
      </c>
      <c r="S70" s="10" t="s">
        <v>102</v>
      </c>
      <c r="AA70" s="11"/>
    </row>
    <row r="71" spans="14:27" x14ac:dyDescent="0.25">
      <c r="N71" s="12" t="s">
        <v>103</v>
      </c>
      <c r="S71" t="s">
        <v>142</v>
      </c>
      <c r="AA71" s="11"/>
    </row>
    <row r="72" spans="14:27" x14ac:dyDescent="0.25">
      <c r="N72" s="12"/>
      <c r="AA72" s="11"/>
    </row>
    <row r="73" spans="14:27" x14ac:dyDescent="0.25">
      <c r="N73" s="12" t="s">
        <v>117</v>
      </c>
      <c r="O73" s="10" t="s">
        <v>118</v>
      </c>
      <c r="AA73" s="11"/>
    </row>
    <row r="74" spans="14:27" x14ac:dyDescent="0.25">
      <c r="N74" s="12"/>
      <c r="O74" s="10" t="s">
        <v>119</v>
      </c>
      <c r="AA74" s="11"/>
    </row>
    <row r="75" spans="14:27" x14ac:dyDescent="0.25">
      <c r="N75" s="12"/>
      <c r="O75" s="10" t="s">
        <v>120</v>
      </c>
      <c r="AA75" s="11"/>
    </row>
    <row r="76" spans="14:27" x14ac:dyDescent="0.25">
      <c r="N76" s="12"/>
      <c r="O76" s="10" t="s">
        <v>121</v>
      </c>
      <c r="AA76" s="11"/>
    </row>
    <row r="77" spans="14:27" x14ac:dyDescent="0.25">
      <c r="N77" s="12"/>
      <c r="O77" s="10" t="str">
        <f>"• The final cash flow figure of "&amp;TEXT(W65,"$0,000") &amp;" is a result of rounding the premium tax, T, to 3 decimal places. If the full precision is used then we are left "</f>
        <v xml:space="preserve">• The final cash flow figure of $5,075 is a result of rounding the premium tax, T, to 3 decimal places. If the full precision is used then we are left </v>
      </c>
      <c r="AA77" s="11"/>
    </row>
    <row r="78" spans="14:27" x14ac:dyDescent="0.25">
      <c r="N78" s="12"/>
      <c r="O78" s="10" t="str">
        <f>"    with exactly the UW profit provision of " &amp;TEXT(C11,"$0,000")&amp;"."</f>
        <v xml:space="preserve">    with exactly the UW profit provision of $5,000.</v>
      </c>
      <c r="AA78" s="11"/>
    </row>
  </sheetData>
  <sheetProtection algorithmName="SHA-512" hashValue="vfrXMQEfZv2xRNNjDwLdMtvpdHXtXwmHy19bXSq8Zl0+wHBp1GlbljN85TEyiNo1paWXykcobLq4XnukK52T4Q==" saltValue="H9arwH0jRADxAdTQXczJaw==" spinCount="100000" sheet="1" objects="1" scenarios="1" formatCells="0" formatColumns="0" formatRows="0"/>
  <hyperlinks>
    <hyperlink ref="L1" location="TOC!A1" display="Return to TOC" xr:uid="{8832F628-B250-4DA5-B89B-10A3A95AA51E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TOC</vt:lpstr>
      <vt:lpstr>W-Fisher-RiskSharing1</vt:lpstr>
      <vt:lpstr>W-Fisher-RiskSharing2</vt:lpstr>
      <vt:lpstr>W-Fisher-RiskSharing3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2021-11-09T12:33:50Z</dcterms:modified>
</cp:coreProperties>
</file>