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nathan\Documents\BattleActs\Exam 8\Excel Files\"/>
    </mc:Choice>
  </mc:AlternateContent>
  <xr:revisionPtr revIDLastSave="0" documentId="13_ncr:1_{2EA55651-C807-48B3-9A60-93E265F7407C}" xr6:coauthVersionLast="47" xr6:coauthVersionMax="47" xr10:uidLastSave="{00000000-0000-0000-0000-000000000000}"/>
  <bookViews>
    <workbookView xWindow="-108" yWindow="-108" windowWidth="23256" windowHeight="12576" xr2:uid="{43A4E4BA-D1D1-43EE-86A3-A1B772ABC5AA}"/>
  </bookViews>
  <sheets>
    <sheet name="TOC" sheetId="2" r:id="rId1"/>
    <sheet name="Fisher_ExpRating1" sheetId="3" r:id="rId2"/>
    <sheet name="Fisher_ExpRating2" sheetId="4" r:id="rId3"/>
    <sheet name="Fisher_ExpRating3" sheetId="5" r:id="rId4"/>
    <sheet name="Fisher_ExpRating4" sheetId="6" r:id="rId5"/>
    <sheet name="Fisher_ExpRating5" sheetId="7" r:id="rId6"/>
    <sheet name="Fisher_ExpRating6" sheetId="9" r:id="rId7"/>
    <sheet name="Fisher_ExpRating7" sheetId="8" r:id="rId8"/>
    <sheet name="Fisher_ExpRating8" sheetId="10" r:id="rId9"/>
    <sheet name="Fisher_ExpRating9" sheetId="11" r:id="rId10"/>
    <sheet name="Fisher_ExpRating10" sheetId="12" r:id="rId11"/>
    <sheet name="Fisher_ExpRating11" sheetId="13" r:id="rId12"/>
    <sheet name="Fisher_ExpRating12" sheetId="14" r:id="rId13"/>
    <sheet name="Fisher_RiskSharing1" sheetId="18" r:id="rId14"/>
    <sheet name="Fisher_RiskSharing2" sheetId="20" r:id="rId15"/>
    <sheet name="Fisher_OtherLSPlans1" sheetId="15" r:id="rId16"/>
    <sheet name="Fisher_OtherLSPlans2" sheetId="16" r:id="rId17"/>
    <sheet name="Fisher_OtherLSPlans3" sheetId="17" r:id="rId18"/>
    <sheet name="Fisher_OtherLSPlans4" sheetId="19" r:id="rId19"/>
    <sheet name="Fisher_AggExcess1" sheetId="29" r:id="rId20"/>
    <sheet name="Fisher_Visualization1" sheetId="21" r:id="rId21"/>
    <sheet name="Fisher_Visualization2" sheetId="22" r:id="rId22"/>
    <sheet name="Fisher_Visualization3" sheetId="23" r:id="rId23"/>
    <sheet name="Fisher_Visualization4" sheetId="24" r:id="rId24"/>
    <sheet name="Fisher_Visualization5" sheetId="25" r:id="rId25"/>
    <sheet name="Fisher_Visualization6" sheetId="26" r:id="rId26"/>
    <sheet name="Fisher_Visualization7" sheetId="28" r:id="rId27"/>
    <sheet name="Fisher_Visualization8" sheetId="38" r:id="rId28"/>
    <sheet name="Fisher_Visualization9" sheetId="48" r:id="rId29"/>
    <sheet name="Fisher_TableM1" sheetId="30" r:id="rId30"/>
    <sheet name="Fisher_TableM2" sheetId="31" r:id="rId31"/>
    <sheet name="Fisher_TableM3" sheetId="32" r:id="rId32"/>
    <sheet name="Fisher_TableM4" sheetId="33" r:id="rId33"/>
    <sheet name="Fisher_TableM5" sheetId="34" r:id="rId34"/>
    <sheet name="Fisher_TableM6" sheetId="49" r:id="rId35"/>
    <sheet name="Fisher_LtdTableM1" sheetId="50" r:id="rId36"/>
    <sheet name="Fisher_TableL1" sheetId="35" r:id="rId37"/>
    <sheet name="Fisher_TableL2" sheetId="36" r:id="rId38"/>
    <sheet name="Fisher_TableL3" sheetId="37" r:id="rId39"/>
    <sheet name="Fisher_TableL4" sheetId="39" r:id="rId40"/>
    <sheet name="Fisher_TableL5" sheetId="51" r:id="rId41"/>
    <sheet name="Fisher_CaseStudy1" sheetId="27" r:id="rId42"/>
    <sheet name="Fisher_CaseStudy2" sheetId="40" r:id="rId43"/>
    <sheet name="Fisher_CaseStudy3" sheetId="41" r:id="rId44"/>
    <sheet name="Fisher_CaseStudy4" sheetId="42" r:id="rId45"/>
    <sheet name="Fisher_CaseStudy5" sheetId="43" r:id="rId46"/>
    <sheet name="Fisher_CaseStudy6" sheetId="44" r:id="rId47"/>
    <sheet name="Fisher_CaseStudy7" sheetId="45" r:id="rId48"/>
    <sheet name="Fisher_CaseStudy8" sheetId="46" r:id="rId49"/>
    <sheet name="Fisher_CaseStudy9" sheetId="47" r:id="rId50"/>
    <sheet name="Fisher_CaseStudy10" sheetId="52" r:id="rId5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7" i="52" l="1"/>
  <c r="K45" i="52"/>
  <c r="K43" i="52"/>
  <c r="K40" i="52"/>
  <c r="K38" i="52"/>
  <c r="K35" i="52"/>
  <c r="K37" i="52"/>
  <c r="K30" i="52"/>
  <c r="K29" i="52"/>
  <c r="K27" i="52"/>
  <c r="K25" i="52"/>
  <c r="K23" i="52"/>
  <c r="K22" i="52"/>
  <c r="K21" i="52"/>
  <c r="K20" i="52"/>
  <c r="L17" i="52"/>
  <c r="K15" i="52"/>
  <c r="K13" i="52"/>
  <c r="K10" i="52"/>
  <c r="P8" i="52"/>
  <c r="P7" i="52"/>
  <c r="P6" i="52"/>
  <c r="P5" i="52"/>
  <c r="N7" i="52"/>
  <c r="N6" i="52"/>
  <c r="N5" i="52"/>
  <c r="O7" i="52"/>
  <c r="O6" i="52"/>
  <c r="O5" i="52"/>
  <c r="M7" i="52"/>
  <c r="M6" i="52"/>
  <c r="M5" i="52"/>
  <c r="L7" i="52"/>
  <c r="L6" i="52"/>
  <c r="L5" i="52"/>
  <c r="Q26" i="51" l="1"/>
  <c r="Q25" i="51"/>
  <c r="Q24" i="51"/>
  <c r="Q23" i="51"/>
  <c r="Q22" i="51"/>
  <c r="Q21" i="51"/>
  <c r="Q20" i="51"/>
  <c r="Q19" i="51"/>
  <c r="Q18" i="51"/>
  <c r="Q17" i="51"/>
  <c r="Q16" i="51"/>
  <c r="Q15" i="51"/>
  <c r="Q14" i="51"/>
  <c r="Q13" i="51"/>
  <c r="Q12" i="51"/>
  <c r="Q27" i="51"/>
  <c r="P27" i="51"/>
  <c r="P26" i="51"/>
  <c r="P25" i="51"/>
  <c r="P24" i="51"/>
  <c r="P23" i="51"/>
  <c r="P22" i="51"/>
  <c r="P21" i="51"/>
  <c r="P20" i="51"/>
  <c r="P19" i="51"/>
  <c r="P18" i="51"/>
  <c r="P17" i="51"/>
  <c r="P16" i="51"/>
  <c r="P15" i="51"/>
  <c r="P14" i="51"/>
  <c r="P13" i="51"/>
  <c r="P12" i="51"/>
  <c r="L12" i="51"/>
  <c r="M12" i="51" s="1"/>
  <c r="N12" i="51" s="1"/>
  <c r="K27" i="51"/>
  <c r="K26" i="51"/>
  <c r="K25" i="51"/>
  <c r="K24" i="51"/>
  <c r="K23" i="51"/>
  <c r="K22" i="51"/>
  <c r="K21" i="51"/>
  <c r="K20" i="51"/>
  <c r="K19" i="51"/>
  <c r="K18" i="51"/>
  <c r="K17" i="51"/>
  <c r="K16" i="51"/>
  <c r="K15" i="51"/>
  <c r="K14" i="51"/>
  <c r="K13" i="51"/>
  <c r="K12" i="51"/>
  <c r="L27" i="51"/>
  <c r="L26" i="51"/>
  <c r="L25" i="51"/>
  <c r="L24" i="51"/>
  <c r="L23" i="51"/>
  <c r="L22" i="51"/>
  <c r="L21" i="51"/>
  <c r="L20" i="51"/>
  <c r="L19" i="51"/>
  <c r="L18" i="51"/>
  <c r="L17" i="51"/>
  <c r="L16" i="51"/>
  <c r="L15" i="51"/>
  <c r="L14" i="51"/>
  <c r="L13" i="51"/>
  <c r="J4" i="51"/>
  <c r="J2" i="51"/>
  <c r="J6" i="51" s="1"/>
  <c r="N25" i="50"/>
  <c r="N24" i="50"/>
  <c r="N23" i="50"/>
  <c r="N22" i="50"/>
  <c r="N21" i="50"/>
  <c r="N20" i="50"/>
  <c r="N19" i="50"/>
  <c r="N18" i="50"/>
  <c r="N17" i="50"/>
  <c r="N16" i="50"/>
  <c r="N15" i="50"/>
  <c r="N14" i="50"/>
  <c r="N13" i="50"/>
  <c r="N12" i="50"/>
  <c r="N11" i="50"/>
  <c r="N10" i="50"/>
  <c r="M25" i="50"/>
  <c r="M24" i="50"/>
  <c r="M23" i="50"/>
  <c r="M22" i="50"/>
  <c r="M21" i="50"/>
  <c r="M20" i="50"/>
  <c r="M19" i="50"/>
  <c r="M18" i="50"/>
  <c r="M17" i="50"/>
  <c r="M16" i="50"/>
  <c r="M15" i="50"/>
  <c r="M14" i="50"/>
  <c r="M13" i="50"/>
  <c r="M12" i="50"/>
  <c r="M11" i="50"/>
  <c r="M10" i="50"/>
  <c r="L25" i="50"/>
  <c r="L24" i="50"/>
  <c r="L23" i="50"/>
  <c r="L22" i="50"/>
  <c r="L21" i="50"/>
  <c r="L20" i="50"/>
  <c r="L19" i="50"/>
  <c r="L18" i="50"/>
  <c r="L17" i="50"/>
  <c r="L16" i="50"/>
  <c r="L15" i="50"/>
  <c r="L14" i="50"/>
  <c r="L13" i="50"/>
  <c r="L12" i="50"/>
  <c r="L11" i="50"/>
  <c r="L10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11" i="50"/>
  <c r="K10" i="50"/>
  <c r="J4" i="50"/>
  <c r="J2" i="50"/>
  <c r="P8" i="49"/>
  <c r="P9" i="49"/>
  <c r="P10" i="49"/>
  <c r="P11" i="49"/>
  <c r="P12" i="49"/>
  <c r="P13" i="49"/>
  <c r="P14" i="49"/>
  <c r="P15" i="49"/>
  <c r="P16" i="49"/>
  <c r="P17" i="49"/>
  <c r="P18" i="49"/>
  <c r="P19" i="49"/>
  <c r="P20" i="49"/>
  <c r="P21" i="49"/>
  <c r="P22" i="49"/>
  <c r="P23" i="49"/>
  <c r="O21" i="49"/>
  <c r="O20" i="49" s="1"/>
  <c r="O19" i="49" s="1"/>
  <c r="O18" i="49" s="1"/>
  <c r="O17" i="49" s="1"/>
  <c r="O16" i="49" s="1"/>
  <c r="O15" i="49" s="1"/>
  <c r="O14" i="49" s="1"/>
  <c r="O13" i="49" s="1"/>
  <c r="O12" i="49" s="1"/>
  <c r="O11" i="49" s="1"/>
  <c r="O10" i="49" s="1"/>
  <c r="O9" i="49" s="1"/>
  <c r="O8" i="49" s="1"/>
  <c r="O22" i="49"/>
  <c r="N9" i="49"/>
  <c r="N10" i="49"/>
  <c r="N11" i="49"/>
  <c r="N12" i="49"/>
  <c r="N13" i="49"/>
  <c r="N14" i="49"/>
  <c r="N15" i="49"/>
  <c r="N16" i="49"/>
  <c r="N17" i="49"/>
  <c r="N18" i="49"/>
  <c r="N19" i="49"/>
  <c r="N20" i="49"/>
  <c r="N21" i="49"/>
  <c r="N22" i="49"/>
  <c r="N23" i="49"/>
  <c r="N8" i="49"/>
  <c r="M23" i="49"/>
  <c r="M22" i="49"/>
  <c r="M21" i="49"/>
  <c r="M20" i="49"/>
  <c r="M19" i="49"/>
  <c r="M18" i="49"/>
  <c r="M17" i="49"/>
  <c r="M16" i="49"/>
  <c r="M15" i="49"/>
  <c r="M14" i="49"/>
  <c r="M13" i="49"/>
  <c r="M12" i="49"/>
  <c r="M11" i="49"/>
  <c r="M10" i="49"/>
  <c r="M9" i="49"/>
  <c r="M8" i="49"/>
  <c r="L9" i="49"/>
  <c r="L10" i="49"/>
  <c r="L11" i="49"/>
  <c r="L12" i="49"/>
  <c r="L13" i="49"/>
  <c r="L14" i="49"/>
  <c r="L15" i="49"/>
  <c r="L16" i="49"/>
  <c r="L17" i="49"/>
  <c r="L18" i="49"/>
  <c r="L19" i="49"/>
  <c r="L20" i="49"/>
  <c r="L21" i="49"/>
  <c r="L22" i="49"/>
  <c r="L23" i="49"/>
  <c r="L8" i="49"/>
  <c r="K9" i="49"/>
  <c r="K10" i="49"/>
  <c r="K11" i="49"/>
  <c r="K12" i="49"/>
  <c r="K13" i="49"/>
  <c r="K14" i="49"/>
  <c r="K15" i="49"/>
  <c r="K16" i="49"/>
  <c r="K17" i="49"/>
  <c r="K18" i="49"/>
  <c r="K19" i="49"/>
  <c r="K20" i="49"/>
  <c r="K21" i="49"/>
  <c r="K22" i="49"/>
  <c r="K23" i="49"/>
  <c r="K8" i="49"/>
  <c r="J2" i="49"/>
  <c r="I9" i="48"/>
  <c r="M13" i="51" l="1"/>
  <c r="N13" i="51" s="1"/>
  <c r="M26" i="51"/>
  <c r="N26" i="51" s="1"/>
  <c r="M21" i="51"/>
  <c r="N21" i="51" s="1"/>
  <c r="M25" i="51"/>
  <c r="N25" i="51" s="1"/>
  <c r="M16" i="51"/>
  <c r="N16" i="51" s="1"/>
  <c r="M24" i="51"/>
  <c r="N24" i="51" s="1"/>
  <c r="M17" i="51"/>
  <c r="N17" i="51" s="1"/>
  <c r="M20" i="51"/>
  <c r="N20" i="51" s="1"/>
  <c r="M15" i="51"/>
  <c r="N15" i="51" s="1"/>
  <c r="M19" i="51"/>
  <c r="N19" i="51" s="1"/>
  <c r="M23" i="51"/>
  <c r="N23" i="51" s="1"/>
  <c r="M27" i="51"/>
  <c r="N27" i="51" s="1"/>
  <c r="M14" i="51"/>
  <c r="N14" i="51" s="1"/>
  <c r="M18" i="51"/>
  <c r="N18" i="51" s="1"/>
  <c r="M22" i="51"/>
  <c r="N22" i="51" s="1"/>
  <c r="O26" i="51" l="1"/>
  <c r="P25" i="50"/>
  <c r="O24" i="50"/>
  <c r="O25" i="51" l="1"/>
  <c r="O23" i="50"/>
  <c r="P24" i="50"/>
  <c r="O24" i="51" l="1"/>
  <c r="O22" i="50"/>
  <c r="P23" i="50"/>
  <c r="O23" i="51" l="1"/>
  <c r="O21" i="50"/>
  <c r="P22" i="50"/>
  <c r="O22" i="51" l="1"/>
  <c r="P21" i="50"/>
  <c r="O20" i="50"/>
  <c r="O21" i="51" l="1"/>
  <c r="O19" i="50"/>
  <c r="P20" i="50"/>
  <c r="O20" i="51" l="1"/>
  <c r="O18" i="50"/>
  <c r="P19" i="50"/>
  <c r="O19" i="51" l="1"/>
  <c r="O17" i="50"/>
  <c r="P18" i="50"/>
  <c r="O18" i="51" l="1"/>
  <c r="P17" i="50"/>
  <c r="O16" i="50"/>
  <c r="O17" i="51" l="1"/>
  <c r="O15" i="50"/>
  <c r="P16" i="50"/>
  <c r="O16" i="51" l="1"/>
  <c r="O14" i="50"/>
  <c r="P15" i="50"/>
  <c r="O15" i="51" l="1"/>
  <c r="O13" i="50"/>
  <c r="P14" i="50"/>
  <c r="K31" i="47"/>
  <c r="L21" i="47"/>
  <c r="L22" i="47"/>
  <c r="L23" i="47"/>
  <c r="L24" i="47"/>
  <c r="L25" i="47"/>
  <c r="L20" i="47"/>
  <c r="K21" i="47"/>
  <c r="K22" i="47"/>
  <c r="K20" i="47"/>
  <c r="J21" i="47"/>
  <c r="J22" i="47"/>
  <c r="J23" i="47"/>
  <c r="J24" i="47"/>
  <c r="J20" i="47"/>
  <c r="N13" i="47"/>
  <c r="N12" i="47"/>
  <c r="N11" i="47"/>
  <c r="M13" i="47"/>
  <c r="M12" i="47"/>
  <c r="M11" i="47"/>
  <c r="L13" i="47"/>
  <c r="L12" i="47"/>
  <c r="L11" i="47"/>
  <c r="K13" i="47"/>
  <c r="K11" i="47"/>
  <c r="K12" i="47"/>
  <c r="O14" i="51" l="1"/>
  <c r="O12" i="50"/>
  <c r="P13" i="50"/>
  <c r="K6" i="47"/>
  <c r="M27" i="47"/>
  <c r="O13" i="47"/>
  <c r="O12" i="47"/>
  <c r="O11" i="47"/>
  <c r="O13" i="51" l="1"/>
  <c r="O11" i="50"/>
  <c r="P12" i="50"/>
  <c r="O14" i="47"/>
  <c r="M17" i="47" s="1"/>
  <c r="L16" i="46"/>
  <c r="K14" i="46"/>
  <c r="K11" i="46"/>
  <c r="K6" i="46"/>
  <c r="O12" i="51" l="1"/>
  <c r="O10" i="50"/>
  <c r="P10" i="50" s="1"/>
  <c r="P11" i="50"/>
  <c r="L28" i="45"/>
  <c r="M17" i="45"/>
  <c r="M12" i="45"/>
  <c r="I20" i="45" s="1"/>
  <c r="L31" i="44"/>
  <c r="O29" i="44"/>
  <c r="L25" i="44"/>
  <c r="N24" i="44"/>
  <c r="L21" i="44"/>
  <c r="L19" i="44"/>
  <c r="L16" i="44"/>
  <c r="M11" i="44"/>
  <c r="L9" i="44"/>
  <c r="L28" i="44" l="1"/>
  <c r="I33" i="44" l="1"/>
  <c r="I15" i="43" l="1"/>
  <c r="I14" i="43"/>
  <c r="I9" i="43"/>
  <c r="I7" i="43"/>
  <c r="I6" i="43"/>
  <c r="I3" i="43"/>
  <c r="I4" i="43" s="1"/>
  <c r="I2" i="43"/>
  <c r="L59" i="42"/>
  <c r="L56" i="42"/>
  <c r="L57" i="42" s="1"/>
  <c r="L55" i="42"/>
  <c r="O48" i="42"/>
  <c r="K14" i="42"/>
  <c r="L6" i="42"/>
  <c r="L5" i="42"/>
  <c r="L8" i="42" s="1"/>
  <c r="L4" i="42"/>
  <c r="L16" i="42" s="1"/>
  <c r="I50" i="41"/>
  <c r="I45" i="41"/>
  <c r="I43" i="41"/>
  <c r="I42" i="41"/>
  <c r="I41" i="41"/>
  <c r="I48" i="41"/>
  <c r="I30" i="41"/>
  <c r="I28" i="41"/>
  <c r="I26" i="41"/>
  <c r="I25" i="41"/>
  <c r="I24" i="41"/>
  <c r="I23" i="41"/>
  <c r="I22" i="41"/>
  <c r="K10" i="41"/>
  <c r="I21" i="41"/>
  <c r="I16" i="41"/>
  <c r="I14" i="41"/>
  <c r="K9" i="41"/>
  <c r="J6" i="41"/>
  <c r="K8" i="41"/>
  <c r="L18" i="42" l="1"/>
  <c r="L44" i="42"/>
  <c r="L42" i="42"/>
  <c r="J18" i="40"/>
  <c r="J14" i="40"/>
  <c r="J16" i="40" s="1"/>
  <c r="J8" i="40"/>
  <c r="J7" i="40"/>
  <c r="K20" i="39"/>
  <c r="K17" i="39"/>
  <c r="K14" i="39"/>
  <c r="O10" i="39"/>
  <c r="L4" i="39"/>
  <c r="L8" i="39"/>
  <c r="L22" i="42" l="1"/>
  <c r="K26" i="42" s="1"/>
  <c r="C18" i="39"/>
  <c r="C17" i="39"/>
  <c r="C16" i="39"/>
  <c r="C15" i="39"/>
  <c r="C19" i="39"/>
  <c r="I16" i="38" l="1"/>
  <c r="J12" i="38"/>
  <c r="J11" i="38"/>
  <c r="J8" i="38"/>
  <c r="K7" i="38"/>
  <c r="J4" i="38"/>
  <c r="I21" i="37" l="1"/>
  <c r="O16" i="37"/>
  <c r="O15" i="37"/>
  <c r="O14" i="37"/>
  <c r="O13" i="37"/>
  <c r="O12" i="37"/>
  <c r="O17" i="37"/>
  <c r="N15" i="37"/>
  <c r="N14" i="37" s="1"/>
  <c r="N13" i="37" s="1"/>
  <c r="N12" i="37" s="1"/>
  <c r="N16" i="37"/>
  <c r="M13" i="37"/>
  <c r="M14" i="37"/>
  <c r="M15" i="37"/>
  <c r="M16" i="37"/>
  <c r="M17" i="37"/>
  <c r="M12" i="37"/>
  <c r="L13" i="37"/>
  <c r="L14" i="37"/>
  <c r="L15" i="37"/>
  <c r="L16" i="37"/>
  <c r="L17" i="37"/>
  <c r="L12" i="37"/>
  <c r="J13" i="37"/>
  <c r="J14" i="37"/>
  <c r="J15" i="37"/>
  <c r="J16" i="37"/>
  <c r="J17" i="37"/>
  <c r="J12" i="37"/>
  <c r="I6" i="37"/>
  <c r="I4" i="37"/>
  <c r="I2" i="37"/>
  <c r="L30" i="36"/>
  <c r="L28" i="36"/>
  <c r="L27" i="36"/>
  <c r="L23" i="36"/>
  <c r="L20" i="36"/>
  <c r="L18" i="36"/>
  <c r="L11" i="36"/>
  <c r="N9" i="36"/>
  <c r="M7" i="36"/>
  <c r="L2" i="36"/>
  <c r="C18" i="36"/>
  <c r="C19" i="36"/>
  <c r="C20" i="36"/>
  <c r="C21" i="36"/>
  <c r="C22" i="36"/>
  <c r="C23" i="36"/>
  <c r="L43" i="35"/>
  <c r="M43" i="35" s="1"/>
  <c r="L44" i="35"/>
  <c r="L45" i="35"/>
  <c r="M45" i="35" s="1"/>
  <c r="K35" i="35"/>
  <c r="K36" i="35"/>
  <c r="K37" i="35"/>
  <c r="K38" i="35"/>
  <c r="K39" i="35"/>
  <c r="K40" i="35"/>
  <c r="K41" i="35"/>
  <c r="K42" i="35"/>
  <c r="K43" i="35"/>
  <c r="K44" i="35"/>
  <c r="K45" i="35"/>
  <c r="K46" i="35"/>
  <c r="K34" i="35"/>
  <c r="J35" i="35"/>
  <c r="J36" i="35"/>
  <c r="J37" i="35"/>
  <c r="J38" i="35"/>
  <c r="J39" i="35"/>
  <c r="J40" i="35"/>
  <c r="J41" i="35"/>
  <c r="J42" i="35"/>
  <c r="J43" i="35"/>
  <c r="J44" i="35"/>
  <c r="J45" i="35"/>
  <c r="J46" i="35"/>
  <c r="J34" i="35"/>
  <c r="I35" i="35"/>
  <c r="I36" i="35"/>
  <c r="I37" i="35"/>
  <c r="I38" i="35"/>
  <c r="I39" i="35"/>
  <c r="I40" i="35"/>
  <c r="I41" i="35"/>
  <c r="I42" i="35"/>
  <c r="I43" i="35"/>
  <c r="I44" i="35"/>
  <c r="I45" i="35"/>
  <c r="I46" i="35"/>
  <c r="I34" i="35"/>
  <c r="M44" i="35"/>
  <c r="M46" i="35"/>
  <c r="H44" i="35"/>
  <c r="H45" i="35"/>
  <c r="H36" i="35"/>
  <c r="H37" i="35"/>
  <c r="H38" i="35"/>
  <c r="H39" i="35"/>
  <c r="H40" i="35"/>
  <c r="H41" i="35"/>
  <c r="H43" i="35"/>
  <c r="H35" i="35"/>
  <c r="I22" i="35"/>
  <c r="I23" i="35"/>
  <c r="I24" i="35"/>
  <c r="I25" i="35"/>
  <c r="I26" i="35"/>
  <c r="I27" i="35"/>
  <c r="I28" i="35"/>
  <c r="I29" i="35"/>
  <c r="I30" i="35"/>
  <c r="I21" i="35"/>
  <c r="H17" i="35"/>
  <c r="H16" i="35"/>
  <c r="J14" i="35"/>
  <c r="I14" i="35"/>
  <c r="J12" i="35"/>
  <c r="J11" i="35"/>
  <c r="J6" i="35"/>
  <c r="J7" i="35"/>
  <c r="J8" i="35"/>
  <c r="J9" i="35"/>
  <c r="J10" i="35"/>
  <c r="J4" i="35"/>
  <c r="J5" i="35"/>
  <c r="J13" i="35"/>
  <c r="I5" i="35"/>
  <c r="I6" i="35"/>
  <c r="I7" i="35"/>
  <c r="I8" i="35"/>
  <c r="I9" i="35"/>
  <c r="I10" i="35"/>
  <c r="I11" i="35"/>
  <c r="I12" i="35"/>
  <c r="I13" i="35"/>
  <c r="I4" i="35"/>
  <c r="E20" i="35"/>
  <c r="D20" i="35"/>
  <c r="C20" i="35"/>
  <c r="O38" i="34"/>
  <c r="O20" i="34"/>
  <c r="O21" i="34"/>
  <c r="O22" i="34"/>
  <c r="O23" i="34"/>
  <c r="O24" i="34"/>
  <c r="O25" i="34"/>
  <c r="O26" i="34"/>
  <c r="O27" i="34"/>
  <c r="P27" i="34" s="1"/>
  <c r="O28" i="34"/>
  <c r="N20" i="34"/>
  <c r="N21" i="34"/>
  <c r="N22" i="34"/>
  <c r="N23" i="34"/>
  <c r="N24" i="34"/>
  <c r="N25" i="34"/>
  <c r="N26" i="34"/>
  <c r="N27" i="34"/>
  <c r="N28" i="34"/>
  <c r="N19" i="34"/>
  <c r="O19" i="34" s="1"/>
  <c r="M20" i="34"/>
  <c r="M21" i="34"/>
  <c r="M22" i="34"/>
  <c r="M23" i="34"/>
  <c r="M24" i="34"/>
  <c r="M25" i="34"/>
  <c r="M26" i="34"/>
  <c r="M27" i="34"/>
  <c r="M28" i="34"/>
  <c r="M19" i="34"/>
  <c r="L20" i="34"/>
  <c r="L21" i="34"/>
  <c r="L22" i="34"/>
  <c r="L23" i="34"/>
  <c r="L24" i="34"/>
  <c r="L25" i="34"/>
  <c r="L26" i="34"/>
  <c r="L27" i="34"/>
  <c r="L28" i="34"/>
  <c r="L19" i="34"/>
  <c r="K25" i="34"/>
  <c r="K26" i="34"/>
  <c r="K27" i="34"/>
  <c r="K28" i="34"/>
  <c r="K24" i="34"/>
  <c r="K23" i="34"/>
  <c r="K21" i="34"/>
  <c r="K22" i="34"/>
  <c r="K20" i="34"/>
  <c r="N11" i="34"/>
  <c r="N10" i="34"/>
  <c r="L8" i="34"/>
  <c r="L42" i="35" l="1"/>
  <c r="P26" i="34"/>
  <c r="M42" i="35" l="1"/>
  <c r="L41" i="35"/>
  <c r="L31" i="34"/>
  <c r="P25" i="34"/>
  <c r="P24" i="34" s="1"/>
  <c r="P23" i="34" s="1"/>
  <c r="P22" i="34" s="1"/>
  <c r="P21" i="34" s="1"/>
  <c r="L40" i="35" l="1"/>
  <c r="M41" i="35"/>
  <c r="L32" i="34"/>
  <c r="L33" i="34" s="1"/>
  <c r="L34" i="34" s="1"/>
  <c r="N36" i="34" s="1"/>
  <c r="P20" i="34"/>
  <c r="P19" i="34" s="1"/>
  <c r="L39" i="35" l="1"/>
  <c r="M40" i="35"/>
  <c r="L38" i="35" l="1"/>
  <c r="M39" i="35"/>
  <c r="L37" i="35" l="1"/>
  <c r="M38" i="35"/>
  <c r="L36" i="35" l="1"/>
  <c r="M37" i="35"/>
  <c r="M36" i="35" l="1"/>
  <c r="L35" i="35"/>
  <c r="M35" i="35" l="1"/>
  <c r="L34" i="35"/>
  <c r="M34" i="35" s="1"/>
  <c r="K38" i="33" l="1"/>
  <c r="K39" i="33"/>
  <c r="K40" i="33"/>
  <c r="K41" i="33"/>
  <c r="K37" i="33"/>
  <c r="L35" i="33"/>
  <c r="M20" i="33"/>
  <c r="L19" i="33"/>
  <c r="M19" i="33" s="1"/>
  <c r="L20" i="33"/>
  <c r="L21" i="33"/>
  <c r="M21" i="33" s="1"/>
  <c r="L22" i="33"/>
  <c r="M22" i="33" s="1"/>
  <c r="L23" i="33"/>
  <c r="M23" i="33" s="1"/>
  <c r="L24" i="33"/>
  <c r="M24" i="33" s="1"/>
  <c r="L18" i="33"/>
  <c r="M18" i="33" s="1"/>
  <c r="K19" i="33"/>
  <c r="K20" i="33"/>
  <c r="K21" i="33"/>
  <c r="K22" i="33"/>
  <c r="K23" i="33"/>
  <c r="K24" i="33"/>
  <c r="K18" i="33"/>
  <c r="K9" i="33"/>
  <c r="K10" i="33"/>
  <c r="K11" i="33"/>
  <c r="K12" i="33"/>
  <c r="K8" i="33"/>
  <c r="L5" i="33"/>
  <c r="O24" i="33"/>
  <c r="N23" i="33" l="1"/>
  <c r="O23" i="33" s="1"/>
  <c r="N22" i="33" l="1"/>
  <c r="N21" i="33" s="1"/>
  <c r="O22" i="33" l="1"/>
  <c r="N20" i="33"/>
  <c r="O21" i="33"/>
  <c r="O20" i="33" l="1"/>
  <c r="N19" i="33"/>
  <c r="N18" i="33" l="1"/>
  <c r="O18" i="33" s="1"/>
  <c r="O19" i="33"/>
  <c r="O32" i="32" l="1"/>
  <c r="O31" i="32"/>
  <c r="K29" i="32"/>
  <c r="K28" i="32"/>
  <c r="J13" i="32"/>
  <c r="K13" i="32" s="1"/>
  <c r="K18" i="32"/>
  <c r="L18" i="32" s="1"/>
  <c r="M18" i="32" s="1"/>
  <c r="K12" i="32"/>
  <c r="K15" i="32"/>
  <c r="K11" i="32"/>
  <c r="J21" i="32" s="1"/>
  <c r="K21" i="32" s="1"/>
  <c r="J12" i="32"/>
  <c r="J14" i="32"/>
  <c r="J15" i="32"/>
  <c r="J11" i="32"/>
  <c r="K8" i="32"/>
  <c r="J4" i="32"/>
  <c r="K18" i="31"/>
  <c r="K17" i="31"/>
  <c r="K8" i="31"/>
  <c r="I8" i="31"/>
  <c r="L4" i="31"/>
  <c r="L3" i="31"/>
  <c r="K2" i="31"/>
  <c r="M16" i="30"/>
  <c r="M15" i="30" s="1"/>
  <c r="M14" i="30" s="1"/>
  <c r="M13" i="30" s="1"/>
  <c r="M12" i="30" s="1"/>
  <c r="M17" i="30"/>
  <c r="L18" i="30"/>
  <c r="L17" i="30"/>
  <c r="L16" i="30"/>
  <c r="L15" i="30"/>
  <c r="L14" i="30"/>
  <c r="L13" i="30"/>
  <c r="L12" i="30"/>
  <c r="K13" i="30"/>
  <c r="K14" i="30"/>
  <c r="K15" i="30"/>
  <c r="K16" i="30"/>
  <c r="K17" i="30"/>
  <c r="K18" i="30"/>
  <c r="K12" i="30"/>
  <c r="J18" i="30"/>
  <c r="J17" i="30"/>
  <c r="J16" i="30"/>
  <c r="J15" i="30"/>
  <c r="J14" i="30"/>
  <c r="J13" i="30"/>
  <c r="J12" i="30"/>
  <c r="J4" i="30"/>
  <c r="J5" i="30"/>
  <c r="J6" i="30"/>
  <c r="J7" i="30"/>
  <c r="J3" i="30"/>
  <c r="I22" i="29"/>
  <c r="I19" i="29"/>
  <c r="O11" i="29"/>
  <c r="O7" i="29"/>
  <c r="O8" i="29"/>
  <c r="O9" i="29"/>
  <c r="O10" i="29"/>
  <c r="O6" i="29"/>
  <c r="N11" i="29"/>
  <c r="N10" i="29"/>
  <c r="N9" i="29"/>
  <c r="N8" i="29"/>
  <c r="N7" i="29"/>
  <c r="N6" i="29"/>
  <c r="J13" i="29"/>
  <c r="I16" i="29" s="1"/>
  <c r="J7" i="29"/>
  <c r="K7" i="29"/>
  <c r="L7" i="29"/>
  <c r="J8" i="29"/>
  <c r="J9" i="29"/>
  <c r="K9" i="29"/>
  <c r="L9" i="29"/>
  <c r="M9" i="29"/>
  <c r="J10" i="29"/>
  <c r="K6" i="29"/>
  <c r="J6" i="29"/>
  <c r="J2" i="29"/>
  <c r="K14" i="32" l="1"/>
  <c r="J23" i="32"/>
  <c r="J19" i="32"/>
  <c r="J22" i="32"/>
  <c r="K22" i="32" s="1"/>
  <c r="J20" i="32"/>
  <c r="K20" i="32" s="1"/>
  <c r="M29" i="28"/>
  <c r="K27" i="28"/>
  <c r="L20" i="28"/>
  <c r="L11" i="28"/>
  <c r="L10" i="28"/>
  <c r="M4" i="28"/>
  <c r="L3" i="28"/>
  <c r="K19" i="32" l="1"/>
  <c r="K23" i="32"/>
  <c r="O23" i="32"/>
  <c r="N13" i="28"/>
  <c r="L22" i="28" s="1"/>
  <c r="M32" i="28" s="1"/>
  <c r="L22" i="32" l="1"/>
  <c r="M22" i="32" s="1"/>
  <c r="N22" i="32" s="1"/>
  <c r="L21" i="32"/>
  <c r="M21" i="32" s="1"/>
  <c r="L20" i="32"/>
  <c r="M20" i="32" s="1"/>
  <c r="L19" i="32"/>
  <c r="M19" i="32" s="1"/>
  <c r="L23" i="32"/>
  <c r="M23" i="32" s="1"/>
  <c r="J31" i="27"/>
  <c r="J23" i="27"/>
  <c r="P28" i="27"/>
  <c r="P26" i="27"/>
  <c r="K20" i="27"/>
  <c r="L16" i="27"/>
  <c r="M13" i="27"/>
  <c r="M12" i="27"/>
  <c r="Q10" i="27"/>
  <c r="J6" i="27"/>
  <c r="K2" i="27"/>
  <c r="K3" i="27"/>
  <c r="O33" i="26"/>
  <c r="L31" i="26"/>
  <c r="L30" i="26"/>
  <c r="O28" i="26"/>
  <c r="S25" i="26"/>
  <c r="S26" i="26" s="1"/>
  <c r="O16" i="26"/>
  <c r="S24" i="26" s="1"/>
  <c r="O15" i="26"/>
  <c r="L6" i="26"/>
  <c r="N37" i="25"/>
  <c r="N36" i="25"/>
  <c r="M33" i="25"/>
  <c r="M32" i="25"/>
  <c r="M31" i="25"/>
  <c r="O17" i="25"/>
  <c r="O15" i="25"/>
  <c r="L13" i="25"/>
  <c r="L12" i="25"/>
  <c r="N21" i="32" l="1"/>
  <c r="O22" i="32"/>
  <c r="L10" i="25"/>
  <c r="K20" i="24"/>
  <c r="K9" i="24"/>
  <c r="K18" i="24" s="1"/>
  <c r="N15" i="22"/>
  <c r="N17" i="22" s="1"/>
  <c r="N13" i="22"/>
  <c r="N11" i="22"/>
  <c r="N9" i="22"/>
  <c r="N7" i="22"/>
  <c r="M13" i="21"/>
  <c r="K10" i="21"/>
  <c r="K8" i="21"/>
  <c r="M29" i="20"/>
  <c r="M28" i="20"/>
  <c r="M24" i="20"/>
  <c r="M23" i="20"/>
  <c r="M16" i="20"/>
  <c r="M15" i="20"/>
  <c r="M9" i="20"/>
  <c r="M8" i="20"/>
  <c r="N3" i="20"/>
  <c r="M2" i="20"/>
  <c r="N20" i="32" l="1"/>
  <c r="O21" i="32"/>
  <c r="K11" i="24"/>
  <c r="K25" i="20"/>
  <c r="K10" i="20"/>
  <c r="N19" i="32" l="1"/>
  <c r="O20" i="32"/>
  <c r="K17" i="20"/>
  <c r="K30" i="20"/>
  <c r="N18" i="32" l="1"/>
  <c r="O18" i="32" s="1"/>
  <c r="O19" i="32"/>
  <c r="M7" i="19"/>
  <c r="I3" i="19"/>
  <c r="M28" i="18"/>
  <c r="J27" i="18"/>
  <c r="L24" i="18"/>
  <c r="K22" i="18"/>
  <c r="M15" i="18"/>
  <c r="J14" i="18"/>
  <c r="L11" i="18"/>
  <c r="J4" i="18"/>
  <c r="J2" i="18"/>
  <c r="L2" i="17" l="1"/>
  <c r="L3" i="17" s="1"/>
  <c r="J8" i="16"/>
  <c r="K5" i="16"/>
  <c r="K2" i="16"/>
  <c r="K3" i="16" s="1"/>
  <c r="K16" i="15"/>
  <c r="J14" i="15"/>
  <c r="K2" i="15"/>
  <c r="J13" i="15"/>
  <c r="J12" i="15"/>
  <c r="M8" i="15"/>
  <c r="M9" i="15"/>
  <c r="M10" i="15"/>
  <c r="M7" i="15"/>
  <c r="L8" i="15"/>
  <c r="L9" i="15"/>
  <c r="L10" i="15"/>
  <c r="L7" i="15"/>
  <c r="J8" i="15"/>
  <c r="K8" i="15"/>
  <c r="J9" i="15"/>
  <c r="K9" i="15" s="1"/>
  <c r="J10" i="15"/>
  <c r="K10" i="15"/>
  <c r="K7" i="15"/>
  <c r="J7" i="15"/>
  <c r="K3" i="15"/>
  <c r="L5" i="17" l="1"/>
  <c r="J20" i="15"/>
  <c r="M7" i="17" l="1"/>
  <c r="K10" i="17"/>
  <c r="K9" i="17"/>
  <c r="K14" i="17" s="1"/>
  <c r="K11" i="17"/>
  <c r="N4" i="14"/>
  <c r="N5" i="14"/>
  <c r="N6" i="14"/>
  <c r="N7" i="14"/>
  <c r="N8" i="14"/>
  <c r="N9" i="14"/>
  <c r="N10" i="14"/>
  <c r="N11" i="14"/>
  <c r="N12" i="14"/>
  <c r="N3" i="14"/>
  <c r="R3" i="14" s="1"/>
  <c r="O15" i="14"/>
  <c r="J17" i="14"/>
  <c r="I17" i="14"/>
  <c r="Q3" i="14" l="1"/>
  <c r="Q6" i="14"/>
  <c r="R4" i="14"/>
  <c r="R5" i="14"/>
  <c r="R6" i="14"/>
  <c r="R7" i="14"/>
  <c r="Q7" i="14"/>
  <c r="Q4" i="14"/>
  <c r="Q5" i="14"/>
  <c r="U4" i="14" l="1"/>
  <c r="T4" i="14"/>
  <c r="S4" i="14"/>
  <c r="U7" i="14"/>
  <c r="T7" i="14"/>
  <c r="S7" i="14"/>
  <c r="U6" i="14"/>
  <c r="T6" i="14"/>
  <c r="S6" i="14"/>
  <c r="U5" i="14"/>
  <c r="T5" i="14"/>
  <c r="S5" i="14"/>
  <c r="U3" i="14"/>
  <c r="T3" i="14"/>
  <c r="S3" i="14"/>
  <c r="W6" i="14" l="1"/>
  <c r="V6" i="14"/>
  <c r="W7" i="14"/>
  <c r="V7" i="14"/>
  <c r="W5" i="14"/>
  <c r="V5" i="14"/>
  <c r="W4" i="14"/>
  <c r="V4" i="14"/>
  <c r="W3" i="14"/>
  <c r="V3" i="14"/>
  <c r="V9" i="14" l="1"/>
  <c r="W9" i="14"/>
  <c r="W10" i="14" l="1"/>
  <c r="P14" i="13" l="1"/>
  <c r="P13" i="13"/>
  <c r="P8" i="13"/>
  <c r="P7" i="13"/>
  <c r="E29" i="13"/>
  <c r="D29" i="13"/>
  <c r="G29" i="13" s="1"/>
  <c r="C29" i="13"/>
  <c r="E19" i="13"/>
  <c r="D19" i="13"/>
  <c r="C19" i="13"/>
  <c r="K5" i="12"/>
  <c r="N12" i="12" s="1"/>
  <c r="N16" i="13" l="1"/>
  <c r="N10" i="13"/>
  <c r="F19" i="13"/>
  <c r="G19" i="13"/>
  <c r="F29" i="13"/>
  <c r="M45" i="11" l="1"/>
  <c r="M43" i="11"/>
  <c r="N27" i="11"/>
  <c r="N28" i="11"/>
  <c r="N29" i="11"/>
  <c r="N30" i="11"/>
  <c r="N26" i="11"/>
  <c r="M30" i="11"/>
  <c r="M29" i="11"/>
  <c r="M28" i="11"/>
  <c r="M27" i="11"/>
  <c r="M26" i="11"/>
  <c r="N19" i="11"/>
  <c r="N20" i="11"/>
  <c r="N21" i="11"/>
  <c r="N22" i="11"/>
  <c r="N18" i="11"/>
  <c r="M19" i="11"/>
  <c r="M20" i="11"/>
  <c r="M21" i="11"/>
  <c r="M22" i="11"/>
  <c r="M18" i="11"/>
  <c r="N6" i="11"/>
  <c r="N7" i="11"/>
  <c r="N8" i="11"/>
  <c r="N9" i="11"/>
  <c r="N10" i="11"/>
  <c r="N11" i="11"/>
  <c r="N12" i="11"/>
  <c r="N13" i="11"/>
  <c r="N14" i="11"/>
  <c r="N5" i="11"/>
  <c r="M6" i="11"/>
  <c r="M7" i="11"/>
  <c r="M8" i="11"/>
  <c r="M9" i="11"/>
  <c r="M10" i="11"/>
  <c r="M11" i="11"/>
  <c r="M12" i="11"/>
  <c r="M13" i="11"/>
  <c r="M14" i="11"/>
  <c r="M5" i="11"/>
  <c r="L6" i="11"/>
  <c r="L7" i="11"/>
  <c r="L8" i="11"/>
  <c r="L9" i="11"/>
  <c r="L10" i="11"/>
  <c r="L11" i="11"/>
  <c r="L12" i="11"/>
  <c r="L13" i="11"/>
  <c r="L14" i="11"/>
  <c r="L5" i="11"/>
  <c r="K14" i="11"/>
  <c r="K6" i="11"/>
  <c r="K7" i="11"/>
  <c r="K8" i="11"/>
  <c r="K9" i="11"/>
  <c r="K10" i="11"/>
  <c r="K11" i="11"/>
  <c r="K12" i="11"/>
  <c r="K13" i="11"/>
  <c r="K5" i="11"/>
  <c r="K27" i="11"/>
  <c r="L21" i="11"/>
  <c r="L30" i="11" l="1"/>
  <c r="K29" i="11"/>
  <c r="K18" i="11"/>
  <c r="K20" i="11"/>
  <c r="K22" i="11"/>
  <c r="L18" i="11"/>
  <c r="L20" i="11"/>
  <c r="L22" i="11"/>
  <c r="L27" i="11"/>
  <c r="L29" i="11"/>
  <c r="K19" i="11"/>
  <c r="K21" i="11"/>
  <c r="K26" i="11"/>
  <c r="K28" i="11"/>
  <c r="K30" i="11"/>
  <c r="L19" i="11"/>
  <c r="L26" i="11"/>
  <c r="L28" i="11"/>
  <c r="J11" i="10" l="1"/>
  <c r="J10" i="10"/>
  <c r="J9" i="10"/>
  <c r="Q7" i="8"/>
  <c r="R7" i="8"/>
  <c r="Q8" i="8"/>
  <c r="R8" i="8"/>
  <c r="Q9" i="8"/>
  <c r="R9" i="8"/>
  <c r="Q10" i="8"/>
  <c r="R10" i="8"/>
  <c r="R6" i="8"/>
  <c r="Q6" i="8"/>
  <c r="N7" i="8"/>
  <c r="O7" i="8"/>
  <c r="P7" i="8"/>
  <c r="N8" i="8"/>
  <c r="O8" i="8"/>
  <c r="P8" i="8"/>
  <c r="N9" i="8"/>
  <c r="O9" i="8"/>
  <c r="P9" i="8"/>
  <c r="N10" i="8"/>
  <c r="O10" i="8"/>
  <c r="P10" i="8"/>
  <c r="P6" i="8"/>
  <c r="O6" i="8"/>
  <c r="N6" i="8"/>
  <c r="K9" i="8"/>
  <c r="K8" i="8"/>
  <c r="K7" i="8"/>
  <c r="K6" i="8"/>
  <c r="K5" i="8"/>
  <c r="J6" i="8"/>
  <c r="J7" i="8"/>
  <c r="J8" i="8"/>
  <c r="J9" i="8"/>
  <c r="J5" i="8"/>
  <c r="R21" i="9"/>
  <c r="S21" i="9"/>
  <c r="T21" i="9"/>
  <c r="R22" i="9"/>
  <c r="S22" i="9"/>
  <c r="T22" i="9"/>
  <c r="R23" i="9"/>
  <c r="S23" i="9"/>
  <c r="T23" i="9"/>
  <c r="R24" i="9"/>
  <c r="S24" i="9"/>
  <c r="T24" i="9"/>
  <c r="Q22" i="9"/>
  <c r="Q23" i="9"/>
  <c r="Q24" i="9"/>
  <c r="Q21" i="9"/>
  <c r="K22" i="9"/>
  <c r="L22" i="9"/>
  <c r="M22" i="9"/>
  <c r="N22" i="9"/>
  <c r="K23" i="9"/>
  <c r="L23" i="9"/>
  <c r="M23" i="9"/>
  <c r="N23" i="9"/>
  <c r="K24" i="9"/>
  <c r="L24" i="9"/>
  <c r="M24" i="9"/>
  <c r="N24" i="9"/>
  <c r="K25" i="9"/>
  <c r="L25" i="9"/>
  <c r="M25" i="9"/>
  <c r="N25" i="9"/>
  <c r="L21" i="9"/>
  <c r="M21" i="9"/>
  <c r="N21" i="9"/>
  <c r="K21" i="9"/>
  <c r="N18" i="9"/>
  <c r="M18" i="9"/>
  <c r="L18" i="9"/>
  <c r="N17" i="9"/>
  <c r="M17" i="9"/>
  <c r="L17" i="9"/>
  <c r="N16" i="9"/>
  <c r="M16" i="9"/>
  <c r="L16" i="9"/>
  <c r="N15" i="9"/>
  <c r="M15" i="9"/>
  <c r="L15" i="9"/>
  <c r="K18" i="9"/>
  <c r="K17" i="9"/>
  <c r="K16" i="9"/>
  <c r="K15" i="9"/>
  <c r="O19" i="7"/>
  <c r="K17" i="7"/>
  <c r="K16" i="7"/>
  <c r="K10" i="7"/>
  <c r="J10" i="7"/>
  <c r="K7" i="7"/>
  <c r="K8" i="7"/>
  <c r="K9" i="7"/>
  <c r="K6" i="7"/>
  <c r="J7" i="7"/>
  <c r="J8" i="7"/>
  <c r="J9" i="7"/>
  <c r="J6" i="7"/>
  <c r="N23" i="5"/>
  <c r="M23" i="5"/>
  <c r="L23" i="5"/>
  <c r="N22" i="5"/>
  <c r="M22" i="5"/>
  <c r="L22" i="5"/>
  <c r="N21" i="5"/>
  <c r="Q8" i="5"/>
  <c r="Q9" i="5"/>
  <c r="Q10" i="5"/>
  <c r="Q11" i="5"/>
  <c r="Q12" i="5"/>
  <c r="Q7" i="5"/>
  <c r="M21" i="5" s="1"/>
  <c r="L21" i="5"/>
  <c r="O8" i="5"/>
  <c r="P8" i="5"/>
  <c r="R8" i="5"/>
  <c r="O9" i="5"/>
  <c r="P9" i="5"/>
  <c r="R9" i="5"/>
  <c r="O10" i="5"/>
  <c r="P10" i="5"/>
  <c r="R10" i="5"/>
  <c r="O11" i="5"/>
  <c r="P11" i="5"/>
  <c r="R11" i="5"/>
  <c r="O12" i="5"/>
  <c r="P12" i="5"/>
  <c r="R12" i="5"/>
  <c r="R7" i="5"/>
  <c r="P7" i="5"/>
  <c r="O7" i="5"/>
  <c r="J23" i="5"/>
  <c r="K23" i="5"/>
  <c r="K22" i="5"/>
  <c r="J22" i="5"/>
  <c r="K21" i="5"/>
  <c r="J21" i="5"/>
  <c r="L8" i="5"/>
  <c r="L9" i="5"/>
  <c r="L10" i="5"/>
  <c r="L11" i="5"/>
  <c r="L12" i="5"/>
  <c r="L7" i="5"/>
  <c r="K8" i="5"/>
  <c r="K9" i="5"/>
  <c r="K10" i="5"/>
  <c r="K11" i="5"/>
  <c r="K12" i="5"/>
  <c r="K7" i="5"/>
  <c r="J8" i="5"/>
  <c r="J9" i="5"/>
  <c r="J10" i="5"/>
  <c r="J11" i="5"/>
  <c r="J12" i="5"/>
  <c r="J7" i="5"/>
  <c r="L9" i="4"/>
  <c r="L10" i="4"/>
  <c r="L11" i="4"/>
  <c r="L12" i="4"/>
  <c r="L8" i="4"/>
  <c r="K9" i="4"/>
  <c r="K10" i="4"/>
  <c r="K11" i="4"/>
  <c r="K12" i="4"/>
  <c r="K8" i="4"/>
  <c r="J12" i="4"/>
  <c r="J11" i="4"/>
  <c r="J10" i="4"/>
  <c r="J9" i="4"/>
  <c r="J8" i="4"/>
  <c r="L9" i="3"/>
  <c r="L10" i="3"/>
  <c r="L11" i="3"/>
  <c r="L12" i="3"/>
  <c r="L8" i="3"/>
  <c r="L16" i="3" s="1"/>
  <c r="L18" i="3" s="1"/>
  <c r="K9" i="3"/>
  <c r="K16" i="3" s="1"/>
  <c r="K10" i="3"/>
  <c r="K11" i="3"/>
  <c r="K12" i="3"/>
  <c r="K8" i="3"/>
</calcChain>
</file>

<file path=xl/sharedStrings.xml><?xml version="1.0" encoding="utf-8"?>
<sst xmlns="http://schemas.openxmlformats.org/spreadsheetml/2006/main" count="2506" uniqueCount="1530">
  <si>
    <t>Problem Set 1 – Solutions</t>
  </si>
  <si>
    <t>Question</t>
  </si>
  <si>
    <t>Sheet</t>
  </si>
  <si>
    <t>Type</t>
  </si>
  <si>
    <t>Reading:</t>
  </si>
  <si>
    <t>Return to TOC</t>
  </si>
  <si>
    <t>Solution</t>
  </si>
  <si>
    <t>Model:</t>
  </si>
  <si>
    <t>Problem Type:</t>
  </si>
  <si>
    <t>Given</t>
  </si>
  <si>
    <t>Find</t>
  </si>
  <si>
    <t>Exam 8: Fisher</t>
  </si>
  <si>
    <t>Fisher.ExpRating</t>
  </si>
  <si>
    <t>Fisher_ExpRating1</t>
  </si>
  <si>
    <t>2011 Exam 8 Q16</t>
  </si>
  <si>
    <t>Apply the efficiency test</t>
  </si>
  <si>
    <t>The following information:</t>
  </si>
  <si>
    <t>Quintile</t>
  </si>
  <si>
    <t>Expected</t>
  </si>
  <si>
    <t>Losses</t>
  </si>
  <si>
    <t>Actual</t>
  </si>
  <si>
    <t>Plan A Modified</t>
  </si>
  <si>
    <t>Expected Loss</t>
  </si>
  <si>
    <t>Calculate the efficiency test statistic</t>
  </si>
  <si>
    <t>a.) Calculate the efficiency test statistic for Plan A.</t>
  </si>
  <si>
    <t>b.) Another experience rating plan, Plan B, has an efficiency test statistic</t>
  </si>
  <si>
    <t>of 0.50. Explain whether Plan A or Plan B has assigned more</t>
  </si>
  <si>
    <t>appropriate credibility.</t>
  </si>
  <si>
    <t>a.)</t>
  </si>
  <si>
    <t>We will assume the quintiles have already been ordered by increasing experience modification.</t>
  </si>
  <si>
    <t>Manual LR</t>
  </si>
  <si>
    <t>Standard LR</t>
  </si>
  <si>
    <t>Mod</t>
  </si>
  <si>
    <t>Since premiums aren't available, use actual / expected losses for the manual loss ratio and</t>
  </si>
  <si>
    <t>actual / modified expected loss for the standard loss ratio.</t>
  </si>
  <si>
    <t>The efficiency test statistic is the ratio of the standard loss ratio sample variance to the manual loss ratio sample variance.</t>
  </si>
  <si>
    <t>Sample Variance:</t>
  </si>
  <si>
    <t>Efficiency Test Stat.:</t>
  </si>
  <si>
    <t>b.)</t>
  </si>
  <si>
    <t xml:space="preserve">Plan A has a higher efficiency test statistic than Plan B. </t>
  </si>
  <si>
    <t>A lower efficiency test statistic indicates the plan has assigned credibility more appropriately.</t>
  </si>
  <si>
    <t>So Plan B has eliminated more of the variance in the standard loss ratios after the application of the experience mod</t>
  </si>
  <si>
    <t>and thus is the better performing plan.</t>
  </si>
  <si>
    <t>2012 Exam 8 Q16</t>
  </si>
  <si>
    <t>An actuary has experience rated five policies and presented</t>
  </si>
  <si>
    <t xml:space="preserve">the resulting modification factors to the underwriter. </t>
  </si>
  <si>
    <t>The results are as follows:</t>
  </si>
  <si>
    <t>Policy</t>
  </si>
  <si>
    <t>Experience</t>
  </si>
  <si>
    <t>Modification</t>
  </si>
  <si>
    <t>Factor</t>
  </si>
  <si>
    <t>Manual</t>
  </si>
  <si>
    <t>Premium</t>
  </si>
  <si>
    <t>A</t>
  </si>
  <si>
    <t>B</t>
  </si>
  <si>
    <t>C</t>
  </si>
  <si>
    <t>D</t>
  </si>
  <si>
    <t>E</t>
  </si>
  <si>
    <t>a.) The underwriter targets Policies B and D, stating they</t>
  </si>
  <si>
    <t>should not be written because they are undesirable risks.</t>
  </si>
  <si>
    <t>Evaluate the validity of this statement.</t>
  </si>
  <si>
    <t>b.) Assess whether the plan used to calculate the experience</t>
  </si>
  <si>
    <t>modification factors demonstrates premium equity.</t>
  </si>
  <si>
    <t>Apply the quintiles test</t>
  </si>
  <si>
    <t>Policies B and D have debit mods (mods greater than 1.000). However, this doesn't mean they shouldn't be written.</t>
  </si>
  <si>
    <t>The purpose of experience rating is to adjust the manual premium so that all risks achieve the same loss ratio.</t>
  </si>
  <si>
    <t>It could be that risks B and D are poor fits for their manual premium class.</t>
  </si>
  <si>
    <t>Order the policies by increasing experience modification factor.</t>
  </si>
  <si>
    <t>The manual loss ratios increase with the experience mod so the plan does a good job of identifying differences between policies.</t>
  </si>
  <si>
    <t>The standard loss ratios have an increasing trend. This means the plan does not assign enough credibility to the actual experience.</t>
  </si>
  <si>
    <t>Therefore, the plan does a poor job at correcting the policies and so doesn't demonstrate premium equity.</t>
  </si>
  <si>
    <t>2013 Exam 8 Q9</t>
  </si>
  <si>
    <t>Suppose that Workers' Compensation risks are subject to a</t>
  </si>
  <si>
    <t>no-split experience rating plan under which credibility, as a</t>
  </si>
  <si>
    <t>function of expected loss, is calculated as follows:</t>
  </si>
  <si>
    <t>During the experience rating period, a group of homogeneous</t>
  </si>
  <si>
    <t>risks had the following experience:</t>
  </si>
  <si>
    <t>Risk</t>
  </si>
  <si>
    <t>After the experience modifications were applied, the same</t>
  </si>
  <si>
    <t>group of risks has the following experience:</t>
  </si>
  <si>
    <t>Loss</t>
  </si>
  <si>
    <t>a.) Assess how effectively the experience rating plan corrected</t>
  </si>
  <si>
    <t>Compensation risks. Group the risks as appropriate.</t>
  </si>
  <si>
    <t>for the differences it identified for these particular Workers'</t>
  </si>
  <si>
    <t xml:space="preserve">b.) Propose and justify a change to the plan which would </t>
  </si>
  <si>
    <t>improve its ability to correct the differences it identifies.</t>
  </si>
  <si>
    <t>Calculate the experience mod</t>
  </si>
  <si>
    <t>The experience mod for a no-split plan is given by</t>
  </si>
  <si>
    <t>Z</t>
  </si>
  <si>
    <t>seems reasonable to group into three pairs as we need at least three points to determine trends</t>
  </si>
  <si>
    <t>Alice: "We're told to group the risks as appropriate. We don't have enough risks to produce quintiles but it</t>
  </si>
  <si>
    <t>in the manual and standard loss ratios."</t>
  </si>
  <si>
    <t>Group</t>
  </si>
  <si>
    <t xml:space="preserve">1st Risk </t>
  </si>
  <si>
    <t>2nd Risk</t>
  </si>
  <si>
    <t>Avg Mod</t>
  </si>
  <si>
    <t>Rank</t>
  </si>
  <si>
    <t>The average mod is the manual premium weighted average experience modification for each group.</t>
  </si>
  <si>
    <t>Losses*</t>
  </si>
  <si>
    <r>
      <t xml:space="preserve">* Actual losses from the </t>
    </r>
    <r>
      <rPr>
        <b/>
        <i/>
        <u/>
        <sz val="11"/>
        <color theme="1"/>
        <rFont val="Calibri"/>
        <family val="2"/>
        <scheme val="minor"/>
      </rPr>
      <t>later</t>
    </r>
    <r>
      <rPr>
        <sz val="11"/>
        <color theme="1"/>
        <rFont val="Calibri"/>
        <family val="2"/>
        <scheme val="minor"/>
      </rPr>
      <t xml:space="preserve"> experience. We assume the expected losses remain unchanged between periods.</t>
    </r>
  </si>
  <si>
    <t>The plan has an increasing manual loss ratio so does a good job at identifying differences between risks.</t>
  </si>
  <si>
    <t>It has a small increasing trend in the standard loss ratios so does an okay job at correcting for these differences but it could be improved</t>
  </si>
  <si>
    <t>by placing greater weight on the actual experience.</t>
  </si>
  <si>
    <t>Decreasing the ballast size (the 50,000 in the credibility formula) would place greater weight on the actual experience, increasing credibilities.</t>
  </si>
  <si>
    <t>2013 Exam 8 Q10</t>
  </si>
  <si>
    <t>An actuarial analyst has experience rated five groups of policies under</t>
  </si>
  <si>
    <t>the current rating plan and two alternatives, Plan A and Plan B.</t>
  </si>
  <si>
    <t>Risks With</t>
  </si>
  <si>
    <t>Lowest Mod</t>
  </si>
  <si>
    <t>Next Lowest</t>
  </si>
  <si>
    <t>Middle</t>
  </si>
  <si>
    <t>Next Highest</t>
  </si>
  <si>
    <t>Highest Mod</t>
  </si>
  <si>
    <t>Current</t>
  </si>
  <si>
    <t>Plan</t>
  </si>
  <si>
    <t>Proposed Plan</t>
  </si>
  <si>
    <t>Standard Loss Ratio</t>
  </si>
  <si>
    <t>Manual Loss Ratio</t>
  </si>
  <si>
    <t>a.) The average experience modification factor for the current plan is 1.05 and for</t>
  </si>
  <si>
    <t xml:space="preserve">proposed Plan A it is 0.99. The analyst says that proposed Plan A performs better </t>
  </si>
  <si>
    <t>because the average factor is less than 1. Critique this statement.</t>
  </si>
  <si>
    <t>b.) The actuarial analyst recommends staying with the current plan because it has made</t>
  </si>
  <si>
    <t>the higher mod groups more attractive to write and it has the least standard loss ratio</t>
  </si>
  <si>
    <t>spread. Critique this reasoning.</t>
  </si>
  <si>
    <t>The nature of the mod should not determine whether one plan is better than another because the mod adjusts the manual premium</t>
  </si>
  <si>
    <t>so all risks have the same loss ratio. Plan A may charge higher premiums such as via a higher base rate without introducing any</t>
  </si>
  <si>
    <t>additional segmentation. Then the mods become less than 1 to prevent the rates from being excessive.</t>
  </si>
  <si>
    <t>no discernable trend and minimal dispersion in the standard loss ratios if a rating plan is equitable.</t>
  </si>
  <si>
    <t>We should look at both the manual and standard loss ratios. We should see an increasing trend in the manual loss ratios plus</t>
  </si>
  <si>
    <t>The current plan has the best upward trend in the manual loss ratios but has a downward trend in its standard loss ratios. So it</t>
  </si>
  <si>
    <t>places too much credibility on the actual experience.</t>
  </si>
  <si>
    <t>Plan B has an upward trend in both its manual and standard loss ratios. The latter indicates it does not place enough credibility</t>
  </si>
  <si>
    <t>on its actual experience.</t>
  </si>
  <si>
    <t>Plan A has an upward trend in its manual loss ratios and a volatile but without obvious trend set of standard loss ratios.</t>
  </si>
  <si>
    <t>The dispersion in its standard loss ratios is minimal compared to Plan B.</t>
  </si>
  <si>
    <t>Therefore, Plan A is the best plan, not the current plan.</t>
  </si>
  <si>
    <t>2014 Exam 8 Q9</t>
  </si>
  <si>
    <t>Calculate the experience modification</t>
  </si>
  <si>
    <t>split experience rating plan. The account's actual losses</t>
  </si>
  <si>
    <t>during the experience rating period are:</t>
  </si>
  <si>
    <t>Claim</t>
  </si>
  <si>
    <t>Loss &amp; ALAE</t>
  </si>
  <si>
    <t>An actuary is pricing an account that qualifies under a single-</t>
  </si>
  <si>
    <t>The following information is also available:</t>
  </si>
  <si>
    <t>Split point</t>
  </si>
  <si>
    <t>Primary credibility</t>
  </si>
  <si>
    <t>Excess credibility</t>
  </si>
  <si>
    <t>Expected loss</t>
  </si>
  <si>
    <t>Loss-free modification</t>
  </si>
  <si>
    <t>Ap</t>
  </si>
  <si>
    <t>Ae</t>
  </si>
  <si>
    <t>Total</t>
  </si>
  <si>
    <t>We're told the modification is 0.6 when there are no losses (loss-free modification)</t>
  </si>
  <si>
    <r>
      <t>0.6E = (1-Z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>)E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+ (1-Z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)E</t>
    </r>
    <r>
      <rPr>
        <vertAlign val="subscript"/>
        <sz val="11"/>
        <color theme="1"/>
        <rFont val="Calibri"/>
        <family val="2"/>
        <scheme val="minor"/>
      </rPr>
      <t>e</t>
    </r>
  </si>
  <si>
    <r>
      <t>Solving yields E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=</t>
    </r>
  </si>
  <si>
    <r>
      <t>We know E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= E - E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and</t>
    </r>
  </si>
  <si>
    <r>
      <t>and hence E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=</t>
    </r>
  </si>
  <si>
    <t>Then the actual experience modification for the account is:</t>
  </si>
  <si>
    <t>2015 Exam 8 Q11</t>
  </si>
  <si>
    <t>An underwriter and an actuary are discussing the effectiveness</t>
  </si>
  <si>
    <t>of the current experience rating plan. The following table</t>
  </si>
  <si>
    <t>contains experience from five experience rated risks</t>
  </si>
  <si>
    <t>(all of a similar size):</t>
  </si>
  <si>
    <t xml:space="preserve">Manual </t>
  </si>
  <si>
    <t>Modified</t>
  </si>
  <si>
    <t>2015 Exam 8 Q10</t>
  </si>
  <si>
    <t>One common expression for the experience modification for</t>
  </si>
  <si>
    <t>a single-split plan is:</t>
  </si>
  <si>
    <t>where:</t>
  </si>
  <si>
    <t>M is the experience modification factor</t>
  </si>
  <si>
    <t>E is the total expected loss</t>
  </si>
  <si>
    <t>a.) In the right-hand side of the equation above, there are three</t>
  </si>
  <si>
    <t>terms separated by '+' signs. Briefly describe the role that each</t>
  </si>
  <si>
    <t>term serves in computing the experience mod.</t>
  </si>
  <si>
    <t>b.) Of the two credibility constants, Zp and Ze, identify which of</t>
  </si>
  <si>
    <t>the two is typically larger in magnitude and explain why.</t>
  </si>
  <si>
    <t xml:space="preserve">c.) Determine the effectiveness of each of the following </t>
  </si>
  <si>
    <t>credibility functions and select which function is most appropriate.</t>
  </si>
  <si>
    <t>Credibility Function</t>
  </si>
  <si>
    <r>
      <t>Z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and Z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are credibility constants</t>
    </r>
  </si>
  <si>
    <r>
      <t>A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and E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are the actual and expected primary loss respectively</t>
    </r>
  </si>
  <si>
    <r>
      <t>A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and E</t>
    </r>
    <r>
      <rPr>
        <vertAlign val="sub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 xml:space="preserve"> are the actual and expected excess loss respectively</t>
    </r>
  </si>
  <si>
    <t>The first term is 1 because the mod is 1.000 if the risk is average within its rating class.</t>
  </si>
  <si>
    <t>The third term reflects the credibility weighted severity response. It measures the impact of the excess losses on the mod.</t>
  </si>
  <si>
    <t>The second term reflects the frequency response. It measures the impact of the primary losses on the mod.</t>
  </si>
  <si>
    <t>This is because primary losses are smaller and so usually more frequent.</t>
  </si>
  <si>
    <r>
      <t>We expect Z</t>
    </r>
    <r>
      <rPr>
        <vertAlign val="subscript"/>
        <sz val="11"/>
        <color theme="1"/>
        <rFont val="Calibri"/>
        <family val="2"/>
        <scheme val="minor"/>
      </rPr>
      <t>p</t>
    </r>
    <r>
      <rPr>
        <sz val="11"/>
        <color theme="1"/>
        <rFont val="Calibri"/>
        <family val="2"/>
        <scheme val="minor"/>
      </rPr>
      <t xml:space="preserve"> to be larger because there are usually more primary losses than excess losses.</t>
    </r>
  </si>
  <si>
    <t xml:space="preserve">c.) </t>
  </si>
  <si>
    <t>To be a valid credibility function we require:</t>
  </si>
  <si>
    <r>
      <t xml:space="preserve">1. 0 </t>
    </r>
    <r>
      <rPr>
        <sz val="11"/>
        <color theme="1"/>
        <rFont val="Calibri"/>
        <family val="2"/>
      </rPr>
      <t>≤ Z ≤ 1</t>
    </r>
  </si>
  <si>
    <t>Function 2 fails 1. as it has 105% credibility when the expected loss is 5,000.</t>
  </si>
  <si>
    <t>Function 3 is a valid credibility function and hence is the most appropriate.</t>
  </si>
  <si>
    <t>Function</t>
  </si>
  <si>
    <t>Function 4 fails 2. because the credibilities decrease as the expected loss increases.</t>
  </si>
  <si>
    <t>Z/E</t>
  </si>
  <si>
    <r>
      <t xml:space="preserve">2. d/dE </t>
    </r>
    <r>
      <rPr>
        <sz val="11"/>
        <color theme="1"/>
        <rFont val="Calibri"/>
        <family val="2"/>
      </rPr>
      <t>≥ 0</t>
    </r>
  </si>
  <si>
    <r>
      <t xml:space="preserve">3. d/dE (Z/E) </t>
    </r>
    <r>
      <rPr>
        <sz val="11"/>
        <color theme="1"/>
        <rFont val="Calibri"/>
        <family val="2"/>
      </rPr>
      <t>≤ 0</t>
    </r>
  </si>
  <si>
    <t>d/dE</t>
  </si>
  <si>
    <t>d/dE (Z/E)</t>
  </si>
  <si>
    <t>Function 1 fails 3. because its values are positive.</t>
  </si>
  <si>
    <t>Components of the experience mod plus credibility considerations</t>
  </si>
  <si>
    <t>a.) Evaluate whether the experience rating plan is effective or</t>
  </si>
  <si>
    <t>not and explain why.</t>
  </si>
  <si>
    <t>b.) The underwriter argues that the modification factor for risk</t>
  </si>
  <si>
    <t>4 is too high. Propose two additional pieces of information that</t>
  </si>
  <si>
    <t>the actuary could request regarding risk 4 in order to support or</t>
  </si>
  <si>
    <t xml:space="preserve">disprove the underwriter's argument and explain why the </t>
  </si>
  <si>
    <t>information would be useful.</t>
  </si>
  <si>
    <t>The experience mod is the ratio of the modified premium to the manual premium.</t>
  </si>
  <si>
    <t>There is an upward trend in the manual loss ratios so the plan does a good job at identifying differences between risks.</t>
  </si>
  <si>
    <t>There is no discernable trend in the standard loss ratios so the plan does a good job at correcting for these differences.</t>
  </si>
  <si>
    <t>Overall the rating plan is effective.</t>
  </si>
  <si>
    <t>1.) Whether risk 4 had any large losses recently.</t>
  </si>
  <si>
    <t>2.) Whether risk 4 has made any safety improvements etc.</t>
  </si>
  <si>
    <t>2015 Exam 8 Q12</t>
  </si>
  <si>
    <t>An actuary is evaluating the effectiveness of an experience</t>
  </si>
  <si>
    <t>rating plan and has calculated the following values:</t>
  </si>
  <si>
    <t>Risk Size</t>
  </si>
  <si>
    <t>Credit Mod</t>
  </si>
  <si>
    <t>Debit Mod</t>
  </si>
  <si>
    <t>Unmodified</t>
  </si>
  <si>
    <t>Sample Variance in Loss Ratios</t>
  </si>
  <si>
    <t>Small</t>
  </si>
  <si>
    <t>Medium</t>
  </si>
  <si>
    <t>Large</t>
  </si>
  <si>
    <t>a.) Evaluate whether this plan satisfies the necessary condition for</t>
  </si>
  <si>
    <t>proper credibility.</t>
  </si>
  <si>
    <t>b.) Determine which risk size has the most accurate experience rating</t>
  </si>
  <si>
    <t>based on the efficiency test.</t>
  </si>
  <si>
    <t>c.) It has been determined that premiums are inadequate for small risks.</t>
  </si>
  <si>
    <t>Discuss whether premium inadequacy is better corrected by changing</t>
  </si>
  <si>
    <t>the manual rates or the experience rating plan.</t>
  </si>
  <si>
    <t>Standard Loss Ratios</t>
  </si>
  <si>
    <t>For Risks with</t>
  </si>
  <si>
    <t>Proper credibility should result in the standard loss ratios being (approximately) equal in the prospective period.</t>
  </si>
  <si>
    <t>For any given risk size, the standard loss ratios are approximately equal for credit and debit mods.</t>
  </si>
  <si>
    <t>This suggests the plan satisfies the necessary condition for proper credibility.</t>
  </si>
  <si>
    <t>Efficiency test statistic = Sample Variance for Standard Loss Ratios / Sample Variance for Manual Loss Ratios</t>
  </si>
  <si>
    <t>Statistic</t>
  </si>
  <si>
    <t>The medium risks have the lowest efficiency test statistic and hence the most accurate experience rating.</t>
  </si>
  <si>
    <t>c.)</t>
  </si>
  <si>
    <t>It is better to correct the manual rates because:</t>
  </si>
  <si>
    <t>• These apply to new policies without having to wait for experience before premiums become accurate.</t>
  </si>
  <si>
    <t>• Many small risks may not qualify for the experience rating plan so will only use manual rates.</t>
  </si>
  <si>
    <t>• Experience rating is intended to adjust for individual cost differences, not for cost differences between classes of risks.</t>
  </si>
  <si>
    <t>Evaluate plan performance</t>
  </si>
  <si>
    <t>2016 Exam 8 Q11</t>
  </si>
  <si>
    <t>Uses Robots</t>
  </si>
  <si>
    <t>Made by hand</t>
  </si>
  <si>
    <t>The following information about 10 risks for a manufacturing class:</t>
  </si>
  <si>
    <t>Proposed</t>
  </si>
  <si>
    <t xml:space="preserve">Type of </t>
  </si>
  <si>
    <t>Manufacturing</t>
  </si>
  <si>
    <t>a.) Evaluate the proposed experience rating plan compared to the current plan.</t>
  </si>
  <si>
    <t>b.) Evaluate the classification plan for this class.</t>
  </si>
  <si>
    <t>Perform the quintiles test</t>
  </si>
  <si>
    <t>Perform a Quintiles Test. Sort the risks by order of increasing modification</t>
  </si>
  <si>
    <t>Premiums</t>
  </si>
  <si>
    <t>Current Rank</t>
  </si>
  <si>
    <t>Proposed Rank</t>
  </si>
  <si>
    <t>Current Mod</t>
  </si>
  <si>
    <t>Proposed Mod</t>
  </si>
  <si>
    <t>Current Plan</t>
  </si>
  <si>
    <t>The manual loss ratios under the proposed plan are more dispersed than those in the current plan.</t>
  </si>
  <si>
    <t>This means the proposed plan does a better job at identifying differences between risks.</t>
  </si>
  <si>
    <t>The standard loss ratios for the current plan show an increasing trend, which implies the current</t>
  </si>
  <si>
    <t xml:space="preserve">plan does not place enough credibility on the actual experience. Further, the current </t>
  </si>
  <si>
    <t>plan has a wide range of standard loss ratios. This says the current plan does a poor job of</t>
  </si>
  <si>
    <t>correcting for differences between risks.</t>
  </si>
  <si>
    <t>Whereas the standard loss ratios for the proposed plan has a smaller range of standard loss</t>
  </si>
  <si>
    <t>ratios. However, it does have a decreasing trend in the standard loss ratios which implies</t>
  </si>
  <si>
    <t>the proposed plan places too much credibility on the actual experience.</t>
  </si>
  <si>
    <t>Overall, the proposed plan is better though.</t>
  </si>
  <si>
    <t>Average Loss for "Uses Robots" risk</t>
  </si>
  <si>
    <t>Average Loss for "Made by hand" risk</t>
  </si>
  <si>
    <t xml:space="preserve">Since there is a significant difference between the average loss for the two types of </t>
  </si>
  <si>
    <t>manufacturing, the classification plan is not doing a good job of differentiating the loss</t>
  </si>
  <si>
    <t>potential between them. Should consider splitting the manufacturing type into two</t>
  </si>
  <si>
    <t>separate classes if there would be sufficient credibility in each class.</t>
  </si>
  <si>
    <t>1st Risk</t>
  </si>
  <si>
    <t>2017 Exam 8 Q10</t>
  </si>
  <si>
    <t>Determine an appropriate schedule modification</t>
  </si>
  <si>
    <t>An actuary is evaluating a risk to determine the appropriateness of applying any schedule</t>
  </si>
  <si>
    <t xml:space="preserve">credits or debits. In order to reduce expenses the insured removed a safety program </t>
  </si>
  <si>
    <t>two years ago and in the next month will be reducing its staff.</t>
  </si>
  <si>
    <t>Range of Modifications</t>
  </si>
  <si>
    <t>Risk Characteristic</t>
  </si>
  <si>
    <t>Description</t>
  </si>
  <si>
    <t>Credit</t>
  </si>
  <si>
    <t>Debit</t>
  </si>
  <si>
    <t>Cooperation</t>
  </si>
  <si>
    <t>Safety Program</t>
  </si>
  <si>
    <t>to</t>
  </si>
  <si>
    <t>Employees</t>
  </si>
  <si>
    <t>Selection, training, supervision, experience</t>
  </si>
  <si>
    <t>a.) Recommend and defend an appropriate schedule modification.</t>
  </si>
  <si>
    <t>Since the most recent prior year is not included in the experience period, only the first year</t>
  </si>
  <si>
    <t>of the safety program being removed is included in the three years of experience.</t>
  </si>
  <si>
    <t>Therefore, apply a debit of 2/3 of the maximum debit for removing the safety program.</t>
  </si>
  <si>
    <t>debit</t>
  </si>
  <si>
    <t>Since the staff are being reduced, it is reasonable to expect that even if the most experienced</t>
  </si>
  <si>
    <t>staff remain, they will be overworked and so more likely to be accident prone. Further, there</t>
  </si>
  <si>
    <t>would be less supervision. Recommend a</t>
  </si>
  <si>
    <t>debit for employees.</t>
  </si>
  <si>
    <t xml:space="preserve">These combine to give a schedule modification of </t>
  </si>
  <si>
    <t>2017 Exam 8 Q11</t>
  </si>
  <si>
    <t xml:space="preserve">A Workers' Compensation insurer is facing an increasingly competitive market. </t>
  </si>
  <si>
    <t>Its management is concerned about customer retention, premium growth, and loss ratio</t>
  </si>
  <si>
    <t>deterioration. The insurer's actuaries have proposed an updated experience rating plan.</t>
  </si>
  <si>
    <t>After grouping insureds for the purposes of an efficiency test, the projected impact of</t>
  </si>
  <si>
    <t>this proposal is below (values in thousands):</t>
  </si>
  <si>
    <t>It is estimated that the upfront cost to adopt the new rating plan will be $500,000.</t>
  </si>
  <si>
    <t>the current plan.</t>
  </si>
  <si>
    <t>a.) Perform an efficiency test and evaluate the proposed experience rating plan relative to</t>
  </si>
  <si>
    <t>versus keeping the current plan, and provide a recommendation.</t>
  </si>
  <si>
    <t>b.) In light of management's concerns, evaluate the merits of adopting the new rating plan</t>
  </si>
  <si>
    <t xml:space="preserve">Loss Ratio </t>
  </si>
  <si>
    <t>to Manual</t>
  </si>
  <si>
    <t>to Standard</t>
  </si>
  <si>
    <t xml:space="preserve">Standard </t>
  </si>
  <si>
    <t>Since the values are given in thousands throughout the tables, we can ignore the thousands for now.</t>
  </si>
  <si>
    <t>Efficiency Statistic = Sample Variance of Standard Loss Ratios / Sample Variance of Manual Loss Ratios</t>
  </si>
  <si>
    <t>Sample Variance of Standard LRs</t>
  </si>
  <si>
    <t>Sample Variance of Manual LRs</t>
  </si>
  <si>
    <t>Efficiency Statistic</t>
  </si>
  <si>
    <t xml:space="preserve">The proposed plan has a lower efficiency statistic than the current plan so the </t>
  </si>
  <si>
    <t>proposed plan performs better.</t>
  </si>
  <si>
    <t xml:space="preserve">Alice: "You might be tempted to use the Excel function Var.S(). </t>
  </si>
  <si>
    <t xml:space="preserve">However, that would give the wrong answer because it automatically calculates the mean </t>
  </si>
  <si>
    <t>of the range of data you give it using the arithmetic mean.</t>
  </si>
  <si>
    <t xml:space="preserve">Whereas, we want to use the weighted averages from the Total rows when </t>
  </si>
  <si>
    <t>calculating the variance."</t>
  </si>
  <si>
    <t>The proposed plan is more efficient which should help reduce adverse selection via better</t>
  </si>
  <si>
    <t>matching of rate to risk. This should result in less loss ratio deterioration.</t>
  </si>
  <si>
    <t>The cost of adopting the proposed plan is approximately 2% of the premium, which is low.</t>
  </si>
  <si>
    <t>There is a risk that adopting the new plan may cause customers to experience large rate swings.</t>
  </si>
  <si>
    <t>This may hurt retention in the short term.</t>
  </si>
  <si>
    <t>Overall, recommend adopting the proposed plan as it addresses almost all of the concerns.</t>
  </si>
  <si>
    <t>2018 Exam 8 Q9</t>
  </si>
  <si>
    <t>Insurer 1's Plan</t>
  </si>
  <si>
    <t>Insurer 2's Plan</t>
  </si>
  <si>
    <t>Risk #</t>
  </si>
  <si>
    <t>Standard</t>
  </si>
  <si>
    <t>Loss Ratio</t>
  </si>
  <si>
    <t>Sample</t>
  </si>
  <si>
    <t>Variance</t>
  </si>
  <si>
    <t>Insurer 3's Plan</t>
  </si>
  <si>
    <t>Efficiency Test Statistic</t>
  </si>
  <si>
    <t xml:space="preserve">Three insurers are using experience rating to determine premiums for a specific class of business. </t>
  </si>
  <si>
    <t xml:space="preserve">The same ten risks were rated using the experience plan of each insurer. Information related to </t>
  </si>
  <si>
    <t>each rating plan is given below:</t>
  </si>
  <si>
    <t>as decribed  by Fisher et al.</t>
  </si>
  <si>
    <t xml:space="preserve">a.) Rank each of the insurer's rating plans from most to least equitable using the Efficiency Test </t>
  </si>
  <si>
    <t xml:space="preserve">b.) Explain how adverse selection may affect each of the three insurers in a well-functioning </t>
  </si>
  <si>
    <t>plans over time.</t>
  </si>
  <si>
    <t>insurance market. Assume that no adjustments are made to the experience rating</t>
  </si>
  <si>
    <t>Sample Variance</t>
  </si>
  <si>
    <t>Plan 1</t>
  </si>
  <si>
    <t>Plan 2</t>
  </si>
  <si>
    <t>Efficiency Test =</t>
  </si>
  <si>
    <t>Ordering the efficiency test statistics from lowest to highest gives the plans from best to worst.</t>
  </si>
  <si>
    <t>Insurer 3, Insurer 1, Insurer 2 (most to least equitable)</t>
  </si>
  <si>
    <t>Insurer 1's standard loss ratios have an upward trend. This suggests they do not place enough credibility on actual experience.</t>
  </si>
  <si>
    <t>They will undercharge high risks and overcharge low risks, so good risks will leave and bad risks will stay on.</t>
  </si>
  <si>
    <t>They will face adverse selection.</t>
  </si>
  <si>
    <t>Insurer 2's standard loss ratios have a downward trend. This means they place too much credibility on actual experience.</t>
  </si>
  <si>
    <t>They will overcharge high risks and undercharge low risks. Although bad risks will leave, the undercharging of good risks</t>
  </si>
  <si>
    <t xml:space="preserve">will place a strain on them, causing their book to deteriorate. </t>
  </si>
  <si>
    <t>Insurer 3 is optimal, they charge an adequate premium to both good and bad risks so do not face adverse selection.</t>
  </si>
  <si>
    <t>Fisher_ExpRating2</t>
  </si>
  <si>
    <t>Fisher_ExpRating3</t>
  </si>
  <si>
    <t>Fisher_ExpRating4</t>
  </si>
  <si>
    <t>Fisher_ExpRating5</t>
  </si>
  <si>
    <t>Fisher_ExpRating6</t>
  </si>
  <si>
    <t>Fisher_ExpRating7</t>
  </si>
  <si>
    <t>Fisher_ExpRating8</t>
  </si>
  <si>
    <t>Fisher_ExpRating9</t>
  </si>
  <si>
    <t>Fisher_ExpRating10</t>
  </si>
  <si>
    <t>Fisher_ExpRating11</t>
  </si>
  <si>
    <t>Fisher_ExpRating12</t>
  </si>
  <si>
    <t>Fisher.OtherLSPlans</t>
  </si>
  <si>
    <t>Calculate the LDD policy premium</t>
  </si>
  <si>
    <t>Loss Distribution</t>
  </si>
  <si>
    <t>Frequency</t>
  </si>
  <si>
    <t>Amount</t>
  </si>
  <si>
    <t>Guaranteed Cost Premium</t>
  </si>
  <si>
    <t>Ground-up Expected Loss Ratio</t>
  </si>
  <si>
    <t>Per-occurrence Deductible</t>
  </si>
  <si>
    <t>Allocated Loss Adjustment Expense (% of Loss)</t>
  </si>
  <si>
    <t>Fixed Expense</t>
  </si>
  <si>
    <t>Variable Expense</t>
  </si>
  <si>
    <t>Profit and Contingency Provision</t>
  </si>
  <si>
    <r>
      <t xml:space="preserve">The deductible applies to Loss </t>
    </r>
    <r>
      <rPr>
        <u/>
        <sz val="11"/>
        <color theme="1"/>
        <rFont val="Calibri"/>
        <family val="2"/>
        <scheme val="minor"/>
      </rPr>
      <t>and</t>
    </r>
    <r>
      <rPr>
        <sz val="11"/>
        <color theme="1"/>
        <rFont val="Calibri"/>
        <family val="2"/>
        <scheme val="minor"/>
      </rPr>
      <t xml:space="preserve"> ALAE.</t>
    </r>
  </si>
  <si>
    <t>Calculate the premium for this policy.</t>
  </si>
  <si>
    <t>A large dollar deductible policy is being rated according to</t>
  </si>
  <si>
    <t>the following assumptions:</t>
  </si>
  <si>
    <t>E[A] =</t>
  </si>
  <si>
    <t>ALAE =</t>
  </si>
  <si>
    <t>Calculate the loss elimination ratio</t>
  </si>
  <si>
    <t>ALAE</t>
  </si>
  <si>
    <t>Deductible</t>
  </si>
  <si>
    <t>LER</t>
  </si>
  <si>
    <t>Probability Weighted Total Loss &amp; ALAE</t>
  </si>
  <si>
    <t>Probability Weighted Total Deductible Payments</t>
  </si>
  <si>
    <t>E[A_D] =</t>
  </si>
  <si>
    <r>
      <t xml:space="preserve">← Since the deductible applies to loss </t>
    </r>
    <r>
      <rPr>
        <b/>
        <i/>
        <u/>
        <sz val="11"/>
        <color theme="4"/>
        <rFont val="Calibri"/>
        <family val="2"/>
        <scheme val="minor"/>
      </rPr>
      <t>and</t>
    </r>
    <r>
      <rPr>
        <b/>
        <i/>
        <sz val="11"/>
        <color theme="4"/>
        <rFont val="Calibri"/>
        <family val="2"/>
        <scheme val="minor"/>
      </rPr>
      <t xml:space="preserve"> ALAE, we apply the LER to (E[A] + ground-up ALAE)</t>
    </r>
  </si>
  <si>
    <t>← % Loss and ALAE eliminated by the deductible</t>
  </si>
  <si>
    <t>Premium  = (E[A_D] + Fixed Expense) / ( 1 - Variable Expense - Profit Provision)</t>
  </si>
  <si>
    <t>2004 Exam 5 Q39</t>
  </si>
  <si>
    <t>2005 Exam 5 Q48</t>
  </si>
  <si>
    <t>Commissions (% of Premium)</t>
  </si>
  <si>
    <t>The deductible applies to losses only.</t>
  </si>
  <si>
    <t>← The insurer pays all ALAE regardless of whether the loss exceeds the deductible.</t>
  </si>
  <si>
    <t>LER at Deductible</t>
  </si>
  <si>
    <t>This is the loss and ALAE the insurer expects to cover after the deductible has been applied.</t>
  </si>
  <si>
    <t>This is the expected limited loss that the insurer expects to cover. i.e. after the deductible has been applied.</t>
  </si>
  <si>
    <t>Expected Ground-up Loss</t>
  </si>
  <si>
    <t>Other Variable Expense (% of Premium)</t>
  </si>
  <si>
    <t>Underwriting Profit (% of Premium)</t>
  </si>
  <si>
    <t>Deductible Processing Cost (% Loss below Deductible)</t>
  </si>
  <si>
    <t>Credit Risk (% Loss below Deductible)</t>
  </si>
  <si>
    <t>Risk Margin (% Excess Loss)</t>
  </si>
  <si>
    <t>• The insurer handles all claims, including those below the deductible.</t>
  </si>
  <si>
    <t>• The insurer makes all payments and seeks reimbursement for deductible payments.</t>
  </si>
  <si>
    <t>• The deductible applies only to losses.</t>
  </si>
  <si>
    <t>• All ALAE is paid by the insurer.</t>
  </si>
  <si>
    <t>Excess Loss Ratio</t>
  </si>
  <si>
    <t>Deductible Losses</t>
  </si>
  <si>
    <t>Deductible processing cost</t>
  </si>
  <si>
    <t>Credit risk provision</t>
  </si>
  <si>
    <t>Risk margin on losses above the deductible</t>
  </si>
  <si>
    <t>Premium  = (E[A_D] + ALAE + Fixed Expense + Deductible Processing Cost + Credit Risk Provision + Risk Margin) / ( 1 - Variable Expense - UW Profit Provision)</t>
  </si>
  <si>
    <t>2013 Exam 5 Q13</t>
  </si>
  <si>
    <t>Fisher.RiskSharing</t>
  </si>
  <si>
    <t>2015 Exam 8 Q13</t>
  </si>
  <si>
    <t>An actuary is pricing an incurred retrospective rating plan with the</t>
  </si>
  <si>
    <t>following parameters:</t>
  </si>
  <si>
    <t>Per Occurrence Limit</t>
  </si>
  <si>
    <t>Basic Premium</t>
  </si>
  <si>
    <t>Tax Multiplier</t>
  </si>
  <si>
    <t>Loss Conversion Factor</t>
  </si>
  <si>
    <t>Deposit Premium</t>
  </si>
  <si>
    <t>• The deposit premium was paid at policy inception.</t>
  </si>
  <si>
    <t>• Assume no aggregate limits or maximum premiums apply.</t>
  </si>
  <si>
    <t>• The first retrospective adjustment will occur at 18 months.</t>
  </si>
  <si>
    <t>Additionally, the actuary has developed the following assumptions:</t>
  </si>
  <si>
    <t>Unlimited</t>
  </si>
  <si>
    <t>Limited to</t>
  </si>
  <si>
    <t>18-Ultimate Incurred LDF</t>
  </si>
  <si>
    <t>18-Ultimate Paid LDF</t>
  </si>
  <si>
    <t>Determine the expected cash flow between the insured and the insurer</t>
  </si>
  <si>
    <t>• The charge for the per-occurrence limit is not included in the basic premium.</t>
  </si>
  <si>
    <t>Expected Ultimate Loss</t>
  </si>
  <si>
    <t>18 months after policy inception if:</t>
  </si>
  <si>
    <t>b.) The insured elects to include retrospective development.</t>
  </si>
  <si>
    <t>a.) The insured does not include retrospective development.</t>
  </si>
  <si>
    <t>Expected ultimate loss in excess of the per-occurrence limit.</t>
  </si>
  <si>
    <t>Expected incurred loss limited to $50,000 per-occurrence at 18 months</t>
  </si>
  <si>
    <t>(These are the ratable losses)</t>
  </si>
  <si>
    <t xml:space="preserve">Retro Premium = (B + cL + cF)T where </t>
  </si>
  <si>
    <t>B is the basic premium, L is the ratable loss, F is the expected excess loss, and T is the tax multiplier</t>
  </si>
  <si>
    <t>Retro Premium =</t>
  </si>
  <si>
    <t>Without retrospective development, we have</t>
  </si>
  <si>
    <t>The insured paid $1 million at policy inception so the cash flow at 18 months is</t>
  </si>
  <si>
    <t>That is, the insurer will pay the insured</t>
  </si>
  <si>
    <t>When the insured elects to include retrospective development in the retro premium we add</t>
  </si>
  <si>
    <t>the converted expected future per-occurrence losses to the premium calculation.</t>
  </si>
  <si>
    <t xml:space="preserve">Retro Premium = (B + cL + cF + cV)T where </t>
  </si>
  <si>
    <t>Here, V is the expected future per-occurrence losses</t>
  </si>
  <si>
    <t>V =</t>
  </si>
  <si>
    <t>An actuary is pricing a large dollar deductible rating plan with the</t>
  </si>
  <si>
    <t>Deductible (per-occurrence)</t>
  </si>
  <si>
    <t>• There is no aggregate deductible.</t>
  </si>
  <si>
    <t xml:space="preserve">Determine the expected cash flow between the insured and the </t>
  </si>
  <si>
    <t>insurer 18 months after policy inception.</t>
  </si>
  <si>
    <t>Determine the cashflow at 18 months.</t>
  </si>
  <si>
    <t>Under a LDD policy the insurer pays all losses and seeks reimbursement for the deductible payments.</t>
  </si>
  <si>
    <t>At 18-months the expected paid losses limited to $50,000 are:</t>
  </si>
  <si>
    <t>So the insured must pay the insurer</t>
  </si>
  <si>
    <t>2017 Exam 8 Q15</t>
  </si>
  <si>
    <t>The following applies to an incurred loss retrospectively rated policy effective January 1, 2017.</t>
  </si>
  <si>
    <t>Per-occurrence limit</t>
  </si>
  <si>
    <t>Maximum ratable loss</t>
  </si>
  <si>
    <t>ULAE as a percentage of loss &amp; ALAE</t>
  </si>
  <si>
    <t>Expected Loss &amp; ALAE limited to $150,000</t>
  </si>
  <si>
    <t>Tax Rate</t>
  </si>
  <si>
    <t>The expected loss &amp; ALAE limited to $150,000 is used to determine the initial premium.</t>
  </si>
  <si>
    <t>Retrospective rating adjustments start at 18 months and occur every twelve months thereafter.</t>
  </si>
  <si>
    <t>Maturity (months)</t>
  </si>
  <si>
    <t>Unlimited Incurred Loss &amp; ALAE</t>
  </si>
  <si>
    <t>Incurred Loss &amp; ALAE Limited to $150,000</t>
  </si>
  <si>
    <t>Incurred Loss &amp; ALAE Excess of $150,000</t>
  </si>
  <si>
    <t>without the insured retaining any additional excess loss risk.</t>
  </si>
  <si>
    <t>above compared to the existing retrospectively rated plan.</t>
  </si>
  <si>
    <t xml:space="preserve">The following loss experience occurs during the policy period. </t>
  </si>
  <si>
    <t>All claims are closed at 42 months.</t>
  </si>
  <si>
    <t xml:space="preserve">a.) Determine the amount and timing of each incremental cash flow payment made by the </t>
  </si>
  <si>
    <t>insured for this policy beginning with time 0.</t>
  </si>
  <si>
    <t>b.) Propose and justify an alternative policy that would increase the insured's cash flow benefit</t>
  </si>
  <si>
    <t>c.) Identify and briefly describe one disadvantage to the insurer of the proposed plan in part (b)</t>
  </si>
  <si>
    <t xml:space="preserve">Tax multiplier = </t>
  </si>
  <si>
    <t xml:space="preserve">Loss conversion factor = </t>
  </si>
  <si>
    <t>Retrospective Premium = (B + cL)*T</t>
  </si>
  <si>
    <t>Time 0:</t>
  </si>
  <si>
    <t>Ratable Loss =</t>
  </si>
  <si>
    <t>← Alice: "At time 0 we only know the expected ratable loss."</t>
  </si>
  <si>
    <t>The first premium adjustment is at 18 months</t>
  </si>
  <si>
    <t>Time 18 months:</t>
  </si>
  <si>
    <t xml:space="preserve">Ratable Loss = </t>
  </si>
  <si>
    <t>← Alice: "Don't forget to show you considered the maximum ratable loss."</t>
  </si>
  <si>
    <t>i.e. the insurer receives a premium refund.</t>
  </si>
  <si>
    <t>Subsequent adjustments occur every 12 months until 42 months have elapse</t>
  </si>
  <si>
    <t>Time 30 months:</t>
  </si>
  <si>
    <t>Time 42 months:</t>
  </si>
  <si>
    <t>A large deductible policy with a deductible of $150,000 and an aggregate deductible of</t>
  </si>
  <si>
    <t>$600,000 exposes the insured to the same loss potential. However, the insured pays a lower</t>
  </si>
  <si>
    <t>premium to cover only the excess losses and reimburses the reinsurer for deductible losses later.</t>
  </si>
  <si>
    <t>This creates a cashflow advantage for the insured as they can invest their money for longer.</t>
  </si>
  <si>
    <t>A large deductible plan poses credit risk for the insurer because they pay all losses upfront</t>
  </si>
  <si>
    <t>and then seek reimbursement for deductible losses from the insured. There is a risk the</t>
  </si>
  <si>
    <t xml:space="preserve">insured may not be able to pay. </t>
  </si>
  <si>
    <t>A retrospective rating plan also has credit risk but it is smaller in magnitude because the</t>
  </si>
  <si>
    <t>additional premium payments are usually much smaller than deductible recoveries.</t>
  </si>
  <si>
    <t>Evaluate the amount and timing of payments under the rating plan.</t>
  </si>
  <si>
    <t>Fisher.Visualization</t>
  </si>
  <si>
    <t>2012 Exam 8 Q21</t>
  </si>
  <si>
    <t>Calculate the insurance savings</t>
  </si>
  <si>
    <t xml:space="preserve">A group of similar risks has an average loss ratio of 80%. </t>
  </si>
  <si>
    <t>The following Lee diagram depicts this group of risks:</t>
  </si>
  <si>
    <t>a.) Calculate the insurance savings at an entry ratio of 1.125.</t>
  </si>
  <si>
    <t>b.) The risks above the 90th percentile have their losses</t>
  </si>
  <si>
    <t>restated, significantly increasing the loss ratio. Describe the</t>
  </si>
  <si>
    <t>change to the insurance savings at an entry ratio of 1.125.</t>
  </si>
  <si>
    <t xml:space="preserve">Entry Ratio = </t>
  </si>
  <si>
    <t>Entry Ratio = Loss Ratio at limit / ELR</t>
  </si>
  <si>
    <t>Since we're given the loss ratio on the y-axis we have a non-standard Lee diagram.</t>
  </si>
  <si>
    <t>Loss Ratio at limit =</t>
  </si>
  <si>
    <t>Loss Ratio Savings =</t>
  </si>
  <si>
    <t xml:space="preserve">Insurance Savings = Loss Ratio Savings / Expected Loss Ratio </t>
  </si>
  <si>
    <t>Insurance Savings at entry ratio =</t>
  </si>
  <si>
    <t>Since the average loss ratio increases, the entry ratio of 1.125 would correspond to a higher loss ratio.</t>
  </si>
  <si>
    <t>This means the insurance savings would increase, all else being equal.</t>
  </si>
  <si>
    <t>2012 Exam 8 Q19</t>
  </si>
  <si>
    <t>Calculate the retrospective premium</t>
  </si>
  <si>
    <t>The following applies to a retrospectively rated policy with</t>
  </si>
  <si>
    <t>a $500,000 loss limitation. The insured has elected to include</t>
  </si>
  <si>
    <t>a premium element to stabilize premium adjustments.</t>
  </si>
  <si>
    <t>Standard Premium</t>
  </si>
  <si>
    <t>Minimum Premium</t>
  </si>
  <si>
    <t>Maximum Premium</t>
  </si>
  <si>
    <t>Actual Unlimited Losses at 2nd Adjustment</t>
  </si>
  <si>
    <t>Actual Limited Losses at 2nd Adjustment</t>
  </si>
  <si>
    <t>Excess Loss Factor</t>
  </si>
  <si>
    <t>Retrospective development factor at 2nd Adjustment</t>
  </si>
  <si>
    <t>Provision for Expense and Profit (excluding taxes)</t>
  </si>
  <si>
    <t>Converted Insurance Charge</t>
  </si>
  <si>
    <t>a.) Calculate the policy's retrospective premium at the second adjustment.</t>
  </si>
  <si>
    <t>b.) Describe one reason an insurance company would include retrospective</t>
  </si>
  <si>
    <t>development factors in a policy.</t>
  </si>
  <si>
    <t>R = (B + cL)*T</t>
  </si>
  <si>
    <t>B = Basic Premium which includes the provision for excess losses and retrospective development here.</t>
  </si>
  <si>
    <t>B = e - (c - 1)*E + c*I</t>
  </si>
  <si>
    <t>where I is the net insurance charge.</t>
  </si>
  <si>
    <t>B =</t>
  </si>
  <si>
    <t>← Note this formulation of the basic premium doesn't include the provision for excess losses or retro development.</t>
  </si>
  <si>
    <t>Converted Excess Losses =</t>
  </si>
  <si>
    <t>Converted Ratable Loss =</t>
  </si>
  <si>
    <t>Converted Retrospective Development =</t>
  </si>
  <si>
    <t>Retrospective Premium =</t>
  </si>
  <si>
    <t>Retrospective Premium before Max/Min =</t>
  </si>
  <si>
    <t>The premium lies between the maximum and minimum premium constraints.</t>
  </si>
  <si>
    <t>Including retrospective development factors stabilizes the premium adjustments by bringing them closer to ultimate</t>
  </si>
  <si>
    <t>so the premium paid upfront is closer to final. This reduces the volatility as losses develop as there are less back-and-forth</t>
  </si>
  <si>
    <t>payments (early payments from the insurer to the insurer which reverse later as losses develop). This reduces credit risk.</t>
  </si>
  <si>
    <t>2013 Exam 8 Q15</t>
  </si>
  <si>
    <t>Identify the parts in the Lee diagram</t>
  </si>
  <si>
    <t>The descriptions of the labels on the diagram are as follows:</t>
  </si>
  <si>
    <t>• r1 = Aggregate maximum</t>
  </si>
  <si>
    <t>• r2 = Aggregate minimum</t>
  </si>
  <si>
    <t>• Total loss – total aggregate losses with no per-accident limit.</t>
  </si>
  <si>
    <t>• Limited loss – Total aggregate losses after application of a per-accident limit.</t>
  </si>
  <si>
    <t xml:space="preserve"> The following diagram which depicts a book of business for a retrospectively</t>
  </si>
  <si>
    <t>rated Workers' Compensation plan:</t>
  </si>
  <si>
    <t>Match the letters in the Lee diagram above with the descriptions below.</t>
  </si>
  <si>
    <t>iii.) I + B + E + H</t>
  </si>
  <si>
    <t>iv.) A + B</t>
  </si>
  <si>
    <t>vi.) A + B + C + F</t>
  </si>
  <si>
    <t>v.)  A + B + C + E+ F</t>
  </si>
  <si>
    <t>ii.)  A</t>
  </si>
  <si>
    <t>i.)   H + I</t>
  </si>
  <si>
    <t>Refer to the yellow boxes.</t>
  </si>
  <si>
    <t>2013 Exam 8 Q14</t>
  </si>
  <si>
    <t>A policy subject to a balanced retrospective rating plan is written with</t>
  </si>
  <si>
    <t>the following values:</t>
  </si>
  <si>
    <t>Expected Loss Ratio (% of Standard Premium)</t>
  </si>
  <si>
    <t>Tax multiplier</t>
  </si>
  <si>
    <t>Expense Ratio</t>
  </si>
  <si>
    <t>Maximum Retrospective Premium</t>
  </si>
  <si>
    <t>Minimum Retrospective Premium</t>
  </si>
  <si>
    <t>• The minimum and maximum retrospective premiums as expressed as</t>
  </si>
  <si>
    <t>a percentage of standard premium.</t>
  </si>
  <si>
    <t>Calculate the expected retrospective premium as a percentage of</t>
  </si>
  <si>
    <t>standard premium for the policy.</t>
  </si>
  <si>
    <t>I =</t>
  </si>
  <si>
    <t>Table M charge at entry ratio associated with maximum</t>
  </si>
  <si>
    <t>Table M savings at entry ratio associated with minimum</t>
  </si>
  <si>
    <t>I = (Table M charge at maximum - Table M savings at minimum) * ELR</t>
  </si>
  <si>
    <t>(% of Standard Premium)</t>
  </si>
  <si>
    <t>L = Ratable losses.</t>
  </si>
  <si>
    <r>
      <t xml:space="preserve">Since we have no information about the actual losses we must use the </t>
    </r>
    <r>
      <rPr>
        <b/>
        <u/>
        <sz val="11"/>
        <color theme="1"/>
        <rFont val="Calibri"/>
        <family val="2"/>
        <scheme val="minor"/>
      </rPr>
      <t>expected</t>
    </r>
    <r>
      <rPr>
        <sz val="11"/>
        <color theme="1"/>
        <rFont val="Calibri"/>
        <family val="2"/>
        <scheme val="minor"/>
      </rPr>
      <t xml:space="preserve"> ratable losses.</t>
    </r>
  </si>
  <si>
    <t>Expected Ratable Losses, E[L] = E[A] - net insurance charge</t>
  </si>
  <si>
    <t>Working as a % of Standard Premium, we have</t>
  </si>
  <si>
    <t>E[L] =</t>
  </si>
  <si>
    <t>This means we need to compute E[R] = (B + c * E[L]) * T</t>
  </si>
  <si>
    <t>R = (B + c * L) * T</t>
  </si>
  <si>
    <t>E[R] =</t>
  </si>
  <si>
    <t>Since this lies between the minimum and maximum retrospective premium percentages</t>
  </si>
  <si>
    <t>no additional adjustment is required.</t>
  </si>
  <si>
    <t>2014 Exam 8 Q18</t>
  </si>
  <si>
    <t>Create a balanced plan</t>
  </si>
  <si>
    <t>An actuary prices a retrospectively rated policy with the following</t>
  </si>
  <si>
    <t>provisions resulting in a balanced plan:</t>
  </si>
  <si>
    <t>Expense Provision</t>
  </si>
  <si>
    <t>• Aggregate losses follow a uniform distribution between $0 and $100,000.</t>
  </si>
  <si>
    <t>• There are no taxes.</t>
  </si>
  <si>
    <t>After pricing the policy, the actuary discovers an error in the original loss</t>
  </si>
  <si>
    <t>distribution and determines that losses should instead follow a uniform</t>
  </si>
  <si>
    <t>distribution between $0 and $90,000. The actuary decides to re-balance the</t>
  </si>
  <si>
    <t>plan based on the corrected distribution while still maintaining the same</t>
  </si>
  <si>
    <t>minimum and maximum premium.</t>
  </si>
  <si>
    <t>Calculate the loss at minimum premium and loss at maximum premium that</t>
  </si>
  <si>
    <t>re-balance the plan.</t>
  </si>
  <si>
    <t>Balance Equations</t>
  </si>
  <si>
    <t>Since there are no taxes the tax multiplier, T, is 1.</t>
  </si>
  <si>
    <t>G =</t>
  </si>
  <si>
    <t>H =</t>
  </si>
  <si>
    <r>
      <t>The second equation yields 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 - 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=</t>
    </r>
  </si>
  <si>
    <r>
      <t xml:space="preserve">The first equation yields </t>
    </r>
    <r>
      <rPr>
        <sz val="11"/>
        <color theme="1"/>
        <rFont val="Calibri"/>
        <family val="2"/>
      </rPr>
      <t>φ(r</t>
    </r>
    <r>
      <rPr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 - φ(r</t>
    </r>
    <r>
      <rPr>
        <vertAlign val="subscript"/>
        <sz val="11"/>
        <color theme="1"/>
        <rFont val="Calibri"/>
        <family val="2"/>
      </rPr>
      <t>G</t>
    </r>
    <r>
      <rPr>
        <sz val="11"/>
        <color theme="1"/>
        <rFont val="Calibri"/>
        <family val="2"/>
      </rPr>
      <t>) =</t>
    </r>
  </si>
  <si>
    <t>The Lee diagram for a uniform distribution has F(x) from 0 to 1 on the x-axis, and</t>
  </si>
  <si>
    <t>entry ratios from 0 to 2 on the y-axis.</t>
  </si>
  <si>
    <t>The maximum entry ratio is 2 = 90,000 / 45,000 = b / (0+b)/2 when losses are uniform on [0, b].</t>
  </si>
  <si>
    <t>The Lee diagram is a straight line between (0,0) and (1,2).</t>
  </si>
  <si>
    <t>The first balance equation corresponds to the area of a trapezoid somewhere in the middle of the triangle formed by the Lee diagram.</t>
  </si>
  <si>
    <t>The area of this trapezoid is given by:</t>
  </si>
  <si>
    <t>Substituting in the second balance equation yields</t>
  </si>
  <si>
    <r>
      <t>(1 - 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/2) =</t>
    </r>
  </si>
  <si>
    <r>
      <t>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 =</t>
    </r>
  </si>
  <si>
    <r>
      <t>Then 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=</t>
    </r>
  </si>
  <si>
    <t>Multiplying by E[A] yields</t>
  </si>
  <si>
    <t>Loss at minimum premium =</t>
  </si>
  <si>
    <t>Loss at maximum premium =</t>
  </si>
  <si>
    <t>Calculate the implied premium discount</t>
  </si>
  <si>
    <t>An actuary prices a retrospectively rated policy based on the assumption that</t>
  </si>
  <si>
    <t>Loss at Minimum Premium</t>
  </si>
  <si>
    <t>Loss at Maximum Premium</t>
  </si>
  <si>
    <t>a.) Calculate the implicit premium discount associated with the plan.</t>
  </si>
  <si>
    <t>b.) Briefly describe how premium discount is treated in a retrospectively rated</t>
  </si>
  <si>
    <t>policy compared to a guaranteed cost policy.</t>
  </si>
  <si>
    <t xml:space="preserve">aggregate losses follow a uniform distribution between $0 and $1,000,000. </t>
  </si>
  <si>
    <t>The actuary determines the following provisions result in a balanced plan:</t>
  </si>
  <si>
    <t>2015 Exam 8 Q17</t>
  </si>
  <si>
    <t>Assume there are no taxes.</t>
  </si>
  <si>
    <r>
      <t xml:space="preserve">The </t>
    </r>
    <r>
      <rPr>
        <b/>
        <sz val="11"/>
        <color theme="1"/>
        <rFont val="Calibri"/>
        <family val="2"/>
        <scheme val="minor"/>
      </rPr>
      <t>premium discount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>, is the percent reduction to the standard premium</t>
    </r>
  </si>
  <si>
    <t>that arises because expenses are a smaller proportion of premium for large</t>
  </si>
  <si>
    <t>accounts compared to small accounts.</t>
  </si>
  <si>
    <t>The premium charged for this risk under a guaranteed cost policy is (E + e) = (1 - D)*Standard Premium</t>
  </si>
  <si>
    <t>where D is the premium discount, E is the expected unlimited loss, and e is the expense.</t>
  </si>
  <si>
    <t>E =</t>
  </si>
  <si>
    <t>Entry ratio at minimum premium =</t>
  </si>
  <si>
    <t>Entry ratio at maximum premium =</t>
  </si>
  <si>
    <r>
      <t>Since losses are uniform on [0, 10</t>
    </r>
    <r>
      <rPr>
        <vertAlign val="superscript"/>
        <sz val="11"/>
        <color theme="1"/>
        <rFont val="Calibri"/>
        <family val="2"/>
        <scheme val="minor"/>
      </rPr>
      <t>6</t>
    </r>
    <r>
      <rPr>
        <sz val="11"/>
        <color theme="1"/>
        <rFont val="Calibri"/>
        <family val="2"/>
        <scheme val="minor"/>
      </rPr>
      <t>] we have</t>
    </r>
  </si>
  <si>
    <t>The maximum entry ratio is 2 = 1,000,000 / 500,000 = b / (0+b)/2 when losses are uniform on [0, b].</t>
  </si>
  <si>
    <r>
      <t xml:space="preserve">Using the Lee diagram, we see </t>
    </r>
    <r>
      <rPr>
        <sz val="11"/>
        <color theme="1"/>
        <rFont val="Calibri"/>
        <family val="2"/>
      </rPr>
      <t>φ(r</t>
    </r>
    <r>
      <rPr>
        <vertAlign val="subscript"/>
        <sz val="11"/>
        <color theme="1"/>
        <rFont val="Calibri"/>
        <family val="2"/>
      </rPr>
      <t>G</t>
    </r>
    <r>
      <rPr>
        <sz val="11"/>
        <color theme="1"/>
        <rFont val="Calibri"/>
        <family val="2"/>
      </rPr>
      <t>) is the area of the triangle above entry ratio 1.5</t>
    </r>
  </si>
  <si>
    <r>
      <t xml:space="preserve">Similarly, </t>
    </r>
    <r>
      <rPr>
        <sz val="11"/>
        <color theme="1"/>
        <rFont val="Calibri"/>
        <family val="2"/>
      </rPr>
      <t>φ(r</t>
    </r>
    <r>
      <rPr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 is the area of the triangle above entry ratio 0.16</t>
    </r>
  </si>
  <si>
    <r>
      <t xml:space="preserve">Using </t>
    </r>
    <r>
      <rPr>
        <sz val="11"/>
        <color theme="1"/>
        <rFont val="Calibri"/>
        <family val="2"/>
      </rPr>
      <t>ψ(r</t>
    </r>
    <r>
      <rPr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 = φ(r</t>
    </r>
    <r>
      <rPr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 + r - 1 gives ψ(r</t>
    </r>
    <r>
      <rPr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 =</t>
    </r>
  </si>
  <si>
    <t>Since we have a balanced plan, we also have E[R] = (B + cE[L])T = (E + e).</t>
  </si>
  <si>
    <t>We're given the basic premium, B, and tax multiplier, T, so we need to find the expected ratable loss, E[L].</t>
  </si>
  <si>
    <t>So we need to find e in order to solve for D.</t>
  </si>
  <si>
    <r>
      <t xml:space="preserve">We know E[L] = E * [ 1 - </t>
    </r>
    <r>
      <rPr>
        <sz val="11"/>
        <color theme="1"/>
        <rFont val="Calibri"/>
        <family val="2"/>
      </rPr>
      <t>φ(r</t>
    </r>
    <r>
      <rPr>
        <vertAlign val="subscript"/>
        <sz val="11"/>
        <color theme="1"/>
        <rFont val="Calibri"/>
        <family val="2"/>
      </rPr>
      <t>G</t>
    </r>
    <r>
      <rPr>
        <sz val="11"/>
        <color theme="1"/>
        <rFont val="Calibri"/>
        <family val="2"/>
      </rPr>
      <t>) + ψ(r</t>
    </r>
    <r>
      <rPr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 ]</t>
    </r>
  </si>
  <si>
    <t>(*)</t>
  </si>
  <si>
    <t>Using these in equation (*) yields E[L] =</t>
  </si>
  <si>
    <t>So E[R] =</t>
  </si>
  <si>
    <t>and e =</t>
  </si>
  <si>
    <t>Hence the implied premium discount is D =</t>
  </si>
  <si>
    <t xml:space="preserve">In both retrospectively rated and guaranteed cost policies, the premium discount accounts for the reduction in the </t>
  </si>
  <si>
    <t xml:space="preserve">expense ratio as premium increases. The discount is the same in a guaranteed cost policy and retrospectively rated policy </t>
  </si>
  <si>
    <t xml:space="preserve">when the plans are balanced. </t>
  </si>
  <si>
    <t>In a retrospectively rated policy the premium discount is a reduction to the expenses in the basic premium, whereas in</t>
  </si>
  <si>
    <t>a guaranteed cost policy the premium discount is explicitly deducted from the standard premium.</t>
  </si>
  <si>
    <t>2015 Exam 8 Q14</t>
  </si>
  <si>
    <t>An insured has a large dollar deductible (LDD) policy. Total losses and ALAE limited</t>
  </si>
  <si>
    <t>to the deductible are distributed uniformly on the interval [0, 400,000], and total</t>
  </si>
  <si>
    <t>unlimited losses and ALAE are distributed uniformly on the interval [0, 800,000].</t>
  </si>
  <si>
    <t>• The insured currently has an aggregate loss limit of $300,000.</t>
  </si>
  <si>
    <t>• Credit risk is not contemplated in pricing.</t>
  </si>
  <si>
    <t>• The deductible applies to both loss and ALAE.</t>
  </si>
  <si>
    <t>The following expenses apply to this insured:</t>
  </si>
  <si>
    <t>Expense</t>
  </si>
  <si>
    <t>Value</t>
  </si>
  <si>
    <t>Applies to</t>
  </si>
  <si>
    <t>ULAE</t>
  </si>
  <si>
    <t>Loss Based Assessments</t>
  </si>
  <si>
    <t>Overhead</t>
  </si>
  <si>
    <t>Acquisition</t>
  </si>
  <si>
    <t>Commission</t>
  </si>
  <si>
    <t>Premium Tax</t>
  </si>
  <si>
    <t>Profit &amp; Contingency</t>
  </si>
  <si>
    <t>Fixed</t>
  </si>
  <si>
    <t>Written Premium</t>
  </si>
  <si>
    <t>a.) Calculate the LDD premium for this insured.</t>
  </si>
  <si>
    <t>Fisher.CaseStudy</t>
  </si>
  <si>
    <t>b.) It is later determined that, although the distribution of total unlimited losses</t>
  </si>
  <si>
    <t>and ALAE remains unchanged, the total losses and ALAE limited to the deductible</t>
  </si>
  <si>
    <t>actually follow the following distribution:</t>
  </si>
  <si>
    <t>• 75% probability of loss and ALAE between $0 and $300,000.</t>
  </si>
  <si>
    <t>• 25% probability of loss and ALAE between $300,000 and $700,000.</t>
  </si>
  <si>
    <t>• Losses follow a uniform distribution within each range.</t>
  </si>
  <si>
    <t>b.) Demonstrate the impact of this change to the LDD premium.</t>
  </si>
  <si>
    <t>Calculate the LDD premium and asssociated impact</t>
  </si>
  <si>
    <t>Expected losses in excess of the per-occurrence deductible</t>
  </si>
  <si>
    <t>To find the expected losses in excess of the aggregate deductible</t>
  </si>
  <si>
    <t>Draw a Lee diagram. The x-axis has the cumulative probability and the y-axis has entry ratios from 0 to 2.</t>
  </si>
  <si>
    <t>The aggregate deductible of $300,000 corresponds to an entry ratio of</t>
  </si>
  <si>
    <t>Table M insurance charge =</t>
  </si>
  <si>
    <t>Insurance charge =</t>
  </si>
  <si>
    <t>The insurance charge is the expected loss in excess of the aggregate deductible.</t>
  </si>
  <si>
    <t>LDD Premium =</t>
  </si>
  <si>
    <t xml:space="preserve">Remember: The insurer pays all claims and seeks reimbursement for the deductible payments. </t>
  </si>
  <si>
    <t>So the insurer is responsible for ULAE on all claims.</t>
  </si>
  <si>
    <t>When the distribution of total deductible loss lies between $0 and $300,000 the aggregate limit is not reached.</t>
  </si>
  <si>
    <t>When the distribution of total deductible loss lies between $300,000 and $700,000 the aggregate limit is always reached.</t>
  </si>
  <si>
    <t xml:space="preserve">In this case, the expected excess of the aggregate deductible is </t>
  </si>
  <si>
    <t>Probability weighting gives the expected aggregate excess as</t>
  </si>
  <si>
    <t>The expected loss cost in the new situation is</t>
  </si>
  <si>
    <t>This is the same as the expected loss cost in the old situation, so the premium is unchanged.</t>
  </si>
  <si>
    <t>2016 Exam 8 Q13</t>
  </si>
  <si>
    <t>A risk is written using a retrospective rating plan with the following characteristics:</t>
  </si>
  <si>
    <t>Expected Loss Ratio</t>
  </si>
  <si>
    <t>Loss Ratio at Maximum Premium</t>
  </si>
  <si>
    <t>Loss Ratio at Minimum Premium</t>
  </si>
  <si>
    <t>Provision for Losses and Total Expenses Exclusive of Taxes</t>
  </si>
  <si>
    <t>a.) Determine the converted insurance charge for this plan.</t>
  </si>
  <si>
    <t xml:space="preserve">b.) The insured's actual ultimate losses are $8,700,000 and the final retrospective </t>
  </si>
  <si>
    <t xml:space="preserve">premium is $12,500,000. Determine the tax multiplier that was used in the rating </t>
  </si>
  <si>
    <t>of this plan.</t>
  </si>
  <si>
    <t xml:space="preserve">The following Lee Diagram depicts actual experience from a sample of similarly-sized </t>
  </si>
  <si>
    <t>risks and similar to the risk in question:</t>
  </si>
  <si>
    <t>Calculate the converted insurance charge</t>
  </si>
  <si>
    <r>
      <t>The converted insurance charge is cI = c(</t>
    </r>
    <r>
      <rPr>
        <sz val="11"/>
        <color theme="1"/>
        <rFont val="Calibri"/>
        <family val="2"/>
      </rPr>
      <t>φ(r</t>
    </r>
    <r>
      <rPr>
        <vertAlign val="subscript"/>
        <sz val="11"/>
        <color theme="1"/>
        <rFont val="Calibri"/>
        <family val="2"/>
      </rPr>
      <t>max</t>
    </r>
    <r>
      <rPr>
        <sz val="11"/>
        <color theme="1"/>
        <rFont val="Calibri"/>
        <family val="2"/>
      </rPr>
      <t>) - ψ(r</t>
    </r>
    <r>
      <rPr>
        <vertAlign val="subscript"/>
        <sz val="11"/>
        <color theme="1"/>
        <rFont val="Calibri"/>
        <family val="2"/>
      </rPr>
      <t>min</t>
    </r>
    <r>
      <rPr>
        <sz val="11"/>
        <color theme="1"/>
        <rFont val="Calibri"/>
        <family val="2"/>
      </rPr>
      <t>))</t>
    </r>
  </si>
  <si>
    <t xml:space="preserve">c = </t>
  </si>
  <si>
    <t>Expected loss =</t>
  </si>
  <si>
    <r>
      <t xml:space="preserve">Notice the graph is given in terms of loss ratio rather than entry ratios. So </t>
    </r>
    <r>
      <rPr>
        <sz val="11"/>
        <color theme="1"/>
        <rFont val="Calibri"/>
        <family val="2"/>
      </rPr>
      <t>φ(r</t>
    </r>
    <r>
      <rPr>
        <vertAlign val="subscript"/>
        <sz val="11"/>
        <color theme="1"/>
        <rFont val="Calibri"/>
        <family val="2"/>
      </rPr>
      <t>max</t>
    </r>
    <r>
      <rPr>
        <sz val="11"/>
        <color theme="1"/>
        <rFont val="Calibri"/>
        <family val="2"/>
      </rPr>
      <t>) corresponds</t>
    </r>
  </si>
  <si>
    <r>
      <t xml:space="preserve">to the area above an 80% loss ratio divided by the expected loss ratio, and </t>
    </r>
    <r>
      <rPr>
        <sz val="11"/>
        <color theme="1"/>
        <rFont val="Calibri"/>
        <family val="2"/>
      </rPr>
      <t>ψ(r</t>
    </r>
    <r>
      <rPr>
        <vertAlign val="subscript"/>
        <sz val="11"/>
        <color theme="1"/>
        <rFont val="Calibri"/>
        <family val="2"/>
      </rPr>
      <t>min</t>
    </r>
    <r>
      <rPr>
        <sz val="11"/>
        <color theme="1"/>
        <rFont val="Calibri"/>
        <family val="2"/>
      </rPr>
      <t xml:space="preserve">) is the area </t>
    </r>
  </si>
  <si>
    <t>below the 20% loss ratio divided by the expected loss ratio.</t>
  </si>
  <si>
    <r>
      <t>φ(r</t>
    </r>
    <r>
      <rPr>
        <vertAlign val="subscript"/>
        <sz val="11"/>
        <color theme="1"/>
        <rFont val="Calibri"/>
        <family val="2"/>
      </rPr>
      <t>max</t>
    </r>
    <r>
      <rPr>
        <sz val="11"/>
        <color theme="1"/>
        <rFont val="Calibri"/>
        <family val="2"/>
      </rPr>
      <t xml:space="preserve">) = </t>
    </r>
  </si>
  <si>
    <r>
      <t>ψ(r</t>
    </r>
    <r>
      <rPr>
        <vertAlign val="subscript"/>
        <sz val="11"/>
        <color theme="1"/>
        <rFont val="Calibri"/>
        <family val="2"/>
      </rPr>
      <t>min</t>
    </r>
    <r>
      <rPr>
        <sz val="11"/>
        <color theme="1"/>
        <rFont val="Calibri"/>
        <family val="2"/>
      </rPr>
      <t xml:space="preserve">) = </t>
    </r>
  </si>
  <si>
    <t>converted insurance charge =</t>
  </si>
  <si>
    <t>R = (B + cL)*T where T is the Tax multiplier, B is the Basic premium and L is the ratable loss.</t>
  </si>
  <si>
    <t>Basic premium B = e - (c - 1)*E + cI</t>
  </si>
  <si>
    <t>where e is the expense provision in dollars.</t>
  </si>
  <si>
    <t>e = (Provision for Loss and Expense - Expected Loss Ratio)*Standard Premium</t>
  </si>
  <si>
    <t xml:space="preserve">e = </t>
  </si>
  <si>
    <t xml:space="preserve">B = </t>
  </si>
  <si>
    <t>R =</t>
  </si>
  <si>
    <t>(given)</t>
  </si>
  <si>
    <t>Actual loss ratio = ultimate loss / standard premium</t>
  </si>
  <si>
    <t>This is greater than the loss ratio allowed at maximum premium, so cap ratable loss at 80%.</t>
  </si>
  <si>
    <t>Therefore, L =</t>
  </si>
  <si>
    <t>Solve for the Tax Multiplier</t>
  </si>
  <si>
    <t>T = R / (B + cL) =</t>
  </si>
  <si>
    <t>Fisher.AggExcess</t>
  </si>
  <si>
    <t>2015 Exam 8 Q18</t>
  </si>
  <si>
    <t>An actuary is given the following claims experience for large</t>
  </si>
  <si>
    <t xml:space="preserve">dollar deductible Workers' Compensation insurance for </t>
  </si>
  <si>
    <t>five identically sized risks.</t>
  </si>
  <si>
    <t>Each claim is a separate occurrence.</t>
  </si>
  <si>
    <t>Claim 1</t>
  </si>
  <si>
    <t>Claim 2</t>
  </si>
  <si>
    <t>Claim 3</t>
  </si>
  <si>
    <t>Claim 4</t>
  </si>
  <si>
    <t>(Gross of Deductible)</t>
  </si>
  <si>
    <t xml:space="preserve">a.) Calculate the expected loss cost for a risk identical to the </t>
  </si>
  <si>
    <t>five above with the following deductibles:</t>
  </si>
  <si>
    <t>Per-occurrence deductible</t>
  </si>
  <si>
    <t>Annual aggregate deductible</t>
  </si>
  <si>
    <t>Calculate the expected loss cost under the deductibles</t>
  </si>
  <si>
    <r>
      <t xml:space="preserve">This is the expected unlimited loss per </t>
    </r>
    <r>
      <rPr>
        <b/>
        <i/>
        <u/>
        <sz val="11"/>
        <color theme="4"/>
        <rFont val="Calibri"/>
        <family val="2"/>
        <scheme val="minor"/>
      </rPr>
      <t>risk</t>
    </r>
  </si>
  <si>
    <t>Loss Limited to Deductible</t>
  </si>
  <si>
    <r>
      <t xml:space="preserve">This is the expected deductible loss per </t>
    </r>
    <r>
      <rPr>
        <b/>
        <i/>
        <u/>
        <sz val="11"/>
        <color theme="4"/>
        <rFont val="Calibri"/>
        <family val="2"/>
        <scheme val="minor"/>
      </rPr>
      <t>risk</t>
    </r>
  </si>
  <si>
    <t>Aggregate</t>
  </si>
  <si>
    <t xml:space="preserve">Cap at </t>
  </si>
  <si>
    <t>Annual Individual Claims Experience</t>
  </si>
  <si>
    <t>Expected Loss Cost for excess of annual aggregate deductible</t>
  </si>
  <si>
    <t>Expected Loss Cost for excess of per-occurrence deductible</t>
  </si>
  <si>
    <t>Total Expected Loss Cost</t>
  </si>
  <si>
    <t>2013 Exam 8 Q12</t>
  </si>
  <si>
    <t>The following loss ratios for a set of five identical risks:</t>
  </si>
  <si>
    <t>Assume that the sample loss ratio of 80% equals</t>
  </si>
  <si>
    <t>the expected loss ratio.</t>
  </si>
  <si>
    <t>for entry ratios from 0 to 2.0 in increments of 0.50.</t>
  </si>
  <si>
    <t>Construct a Table M</t>
  </si>
  <si>
    <t>Entry Ratio</t>
  </si>
  <si>
    <t>To build this table M we need entry ratios in increments of 0.5 plus any actual entry ratios not already included.</t>
  </si>
  <si>
    <t># Risks</t>
  </si>
  <si>
    <t># Risks &gt;</t>
  </si>
  <si>
    <t>% Risks &gt;</t>
  </si>
  <si>
    <r>
      <rPr>
        <sz val="11"/>
        <color theme="1"/>
        <rFont val="Calibri"/>
        <family val="2"/>
      </rPr>
      <t>φ(r</t>
    </r>
    <r>
      <rPr>
        <vertAlign val="subscript"/>
        <sz val="11"/>
        <color theme="1"/>
        <rFont val="Calibri"/>
        <family val="2"/>
      </rPr>
      <t>i</t>
    </r>
    <r>
      <rPr>
        <sz val="11"/>
        <color theme="1"/>
        <rFont val="Calibri"/>
        <family val="2"/>
      </rPr>
      <t>)</t>
    </r>
  </si>
  <si>
    <t>a.) Construct a Table M showing the insurance charges</t>
  </si>
  <si>
    <t>2014 Exam 8 Q13</t>
  </si>
  <si>
    <t>Deconstruct a Table M value</t>
  </si>
  <si>
    <t xml:space="preserve">A Table M is constructed based on the experience of the </t>
  </si>
  <si>
    <t>following 10 similarly sized risks:</t>
  </si>
  <si>
    <t>X%</t>
  </si>
  <si>
    <t>X is the aggregate loss ratio for Risk 7.</t>
  </si>
  <si>
    <t>Assume:</t>
  </si>
  <si>
    <r>
      <t xml:space="preserve">• 75% </t>
    </r>
    <r>
      <rPr>
        <sz val="11"/>
        <color theme="1"/>
        <rFont val="Calibri"/>
        <family val="2"/>
      </rPr>
      <t>≤ X% ≤ 90%</t>
    </r>
  </si>
  <si>
    <t>• The Table M charge at entry ratio 1.5 is 0.05.</t>
  </si>
  <si>
    <t>a.) Calculate X.</t>
  </si>
  <si>
    <t>+ 0.1X%</t>
  </si>
  <si>
    <t>If X is 75% then the ELR is</t>
  </si>
  <si>
    <t>If X is 90% then the ELR is</t>
  </si>
  <si>
    <t>The Table M entry ratio is given by the actual loss ratio / expected loss ratio</t>
  </si>
  <si>
    <t>So we know the actual loss ratio lies between</t>
  </si>
  <si>
    <t>and</t>
  </si>
  <si>
    <t>This means only risks 9 and 10 contribute to the Table M charge at entry ratio 1.5.</t>
  </si>
  <si>
    <t>Using the vertical slices approach we have</t>
  </si>
  <si>
    <t>Let y be the actual loss ratio at entry ratio 1.5. This means y = 1.5*(0.57 + 0.1X%)</t>
  </si>
  <si>
    <t>0.05 = [(110% - y) + (120% - y)] / [10 *(0.57 + 0.1X%)]</t>
  </si>
  <si>
    <t>Then 0.5(0.57 + 0.1X%) = 1.1 - 1.5(0.57 + 0.1X%) + 1.2 - 1.5(0.57 + 0.1X%)</t>
  </si>
  <si>
    <t xml:space="preserve">So (0.57 + 0.1X%) = </t>
  </si>
  <si>
    <t>Then X% =</t>
  </si>
  <si>
    <t>Fisher.TableM</t>
  </si>
  <si>
    <t>2015 Exam 8 Q15</t>
  </si>
  <si>
    <t>An insured in a retrospectively-rated Workers' Compensation</t>
  </si>
  <si>
    <t>plan currently pays a basic premium of $26,820.</t>
  </si>
  <si>
    <t>The following parameters apply to the insured's policy:</t>
  </si>
  <si>
    <t>Expense Ratio (e)</t>
  </si>
  <si>
    <t>Expected Losses</t>
  </si>
  <si>
    <t>Entry Ratio @ G</t>
  </si>
  <si>
    <t>Entry Ratio @ H</t>
  </si>
  <si>
    <t>The insured believes that the insurance charge embedded in</t>
  </si>
  <si>
    <t>the current basic premium is unfair and cites the following</t>
  </si>
  <si>
    <t>unlimited loss ratios from five similarly-sized competitors</t>
  </si>
  <si>
    <t>doing business in the same industry:</t>
  </si>
  <si>
    <t>Competitor</t>
  </si>
  <si>
    <t xml:space="preserve">a.) Compare the net insurance charge in the current basic </t>
  </si>
  <si>
    <t>premium for this policy to the net charge based on the provided</t>
  </si>
  <si>
    <t>competitor loss ratio experience.</t>
  </si>
  <si>
    <t xml:space="preserve">b.) Discuss the appropriateness of using the basic premium </t>
  </si>
  <si>
    <t>derived from the competitor data to price this policy.</t>
  </si>
  <si>
    <t>Calculate and compare net insurance charges</t>
  </si>
  <si>
    <t>The basic premium is given by B = e - (c - 1)*E[A] + c*I</t>
  </si>
  <si>
    <t>Solving for I yields</t>
  </si>
  <si>
    <t xml:space="preserve">Now build a Table M using the competitor data. </t>
  </si>
  <si>
    <t>First, convert the competitor loss ratios to entry ratios by dividing by the policy's expected loss ratio</t>
  </si>
  <si>
    <t>Policy ELR =</t>
  </si>
  <si>
    <t>Comp. #</t>
  </si>
  <si>
    <t># above</t>
  </si>
  <si>
    <t>% above</t>
  </si>
  <si>
    <t># risks</t>
  </si>
  <si>
    <t>Note we had to insert a row for the 0 entry ratio and ensured the table contain the policy's entry ratios</t>
  </si>
  <si>
    <t>at G and H.</t>
  </si>
  <si>
    <t>φ(r)</t>
  </si>
  <si>
    <t>Table M charge at G</t>
  </si>
  <si>
    <t>ψ(r)</t>
  </si>
  <si>
    <t>Table M savings at H</t>
  </si>
  <si>
    <t>Table M net insurance charge based on competitor data</t>
  </si>
  <si>
    <t>Competitor net insurance charge</t>
  </si>
  <si>
    <t>The policyholder has a point.</t>
  </si>
  <si>
    <t>The competitor's net insurance charge is materially lower than the policyholder's current net insurance charge.</t>
  </si>
  <si>
    <t>It is not appropriate to use competitor data to price the policy because the competitors may have a different mix of</t>
  </si>
  <si>
    <t xml:space="preserve">business which would mean they have different aggregate loss curves and thus different insurance charges. </t>
  </si>
  <si>
    <t>Also, the basic premium includes expenses which may vary significantly between companies.</t>
  </si>
  <si>
    <t>2016 Exam 8 Q12</t>
  </si>
  <si>
    <t>Actual Loss</t>
  </si>
  <si>
    <t xml:space="preserve">An actuary is given the following sample of experience from a </t>
  </si>
  <si>
    <t>grouping of five similarly-sized risks:</t>
  </si>
  <si>
    <t>ratios of 0 to 1.50 in multiples of 0.25.</t>
  </si>
  <si>
    <t>1.25 reflects.</t>
  </si>
  <si>
    <t xml:space="preserve">Suppose the Table M constructed above is used to price a book </t>
  </si>
  <si>
    <t xml:space="preserve">of Workers' Compensation retrospectively rated business. </t>
  </si>
  <si>
    <t>The following table of actual losses reflects the experience of this book:</t>
  </si>
  <si>
    <t>part (a) above. Provide two reasons in support of the conclusion.</t>
  </si>
  <si>
    <t xml:space="preserve">a.) Construct a Table M of insurance charges and savings at entry </t>
  </si>
  <si>
    <t xml:space="preserve">b.) Briefly describe what the insurance charge at an entry ratio of </t>
  </si>
  <si>
    <t xml:space="preserve">c.)Evaluate the appropriateness of using the Table M constructed in </t>
  </si>
  <si>
    <t>Since we're not given the expected loss we will use the average actual loss because</t>
  </si>
  <si>
    <t>the risks are similar sized.</t>
  </si>
  <si>
    <t>Expected Loss =</t>
  </si>
  <si>
    <t>Now create a table with a row for each entry ratio associated with a risk, and for each</t>
  </si>
  <si>
    <t>of the desired increments.</t>
  </si>
  <si>
    <t># Risks &gt; r</t>
  </si>
  <si>
    <t>% Risks &gt; r</t>
  </si>
  <si>
    <t>Ins. Charge</t>
  </si>
  <si>
    <t>Ins. Savings</t>
  </si>
  <si>
    <t xml:space="preserve">Here we used </t>
  </si>
  <si>
    <t>φ(1.5) = 0</t>
  </si>
  <si>
    <r>
      <rPr>
        <sz val="11"/>
        <color theme="1"/>
        <rFont val="Calibri"/>
        <family val="2"/>
      </rPr>
      <t>φ(r</t>
    </r>
    <r>
      <rPr>
        <vertAlign val="subscript"/>
        <sz val="11"/>
        <color theme="1"/>
        <rFont val="Calibri"/>
        <family val="2"/>
      </rPr>
      <t>i</t>
    </r>
    <r>
      <rPr>
        <sz val="11"/>
        <color theme="1"/>
        <rFont val="Calibri"/>
        <family val="2"/>
      </rPr>
      <t>) = φ(r</t>
    </r>
    <r>
      <rPr>
        <vertAlign val="subscript"/>
        <sz val="11"/>
        <color theme="1"/>
        <rFont val="Calibri"/>
        <family val="2"/>
      </rPr>
      <t>i+1</t>
    </r>
    <r>
      <rPr>
        <sz val="11"/>
        <color theme="1"/>
        <rFont val="Calibri"/>
        <family val="2"/>
      </rPr>
      <t>) + (r</t>
    </r>
    <r>
      <rPr>
        <vertAlign val="subscript"/>
        <sz val="11"/>
        <color theme="1"/>
        <rFont val="Calibri"/>
        <family val="2"/>
      </rPr>
      <t>i+1</t>
    </r>
    <r>
      <rPr>
        <sz val="11"/>
        <color theme="1"/>
        <rFont val="Calibri"/>
        <family val="2"/>
      </rPr>
      <t xml:space="preserve"> - r</t>
    </r>
    <r>
      <rPr>
        <vertAlign val="subscript"/>
        <sz val="11"/>
        <color theme="1"/>
        <rFont val="Calibri"/>
        <family val="2"/>
      </rPr>
      <t>i</t>
    </r>
    <r>
      <rPr>
        <sz val="11"/>
        <color theme="1"/>
        <rFont val="Calibri"/>
        <family val="2"/>
      </rPr>
      <t>)*(% &gt; r</t>
    </r>
    <r>
      <rPr>
        <vertAlign val="subscript"/>
        <sz val="11"/>
        <color theme="1"/>
        <rFont val="Calibri"/>
        <family val="2"/>
      </rPr>
      <t>i</t>
    </r>
    <r>
      <rPr>
        <sz val="11"/>
        <color theme="1"/>
        <rFont val="Calibri"/>
        <family val="2"/>
      </rPr>
      <t>)</t>
    </r>
  </si>
  <si>
    <t>ψ(r) = φ(r) + r - 1</t>
  </si>
  <si>
    <t>The insurance charge at an entry ratio of 1.25 reflects the excess portion of expected losses</t>
  </si>
  <si>
    <t>that are above 1.25 times the expected loss. In the above example it is</t>
  </si>
  <si>
    <t>the amount of loss in excess of 1.25*85,000 = 106,250.</t>
  </si>
  <si>
    <t xml:space="preserve">Average loss for book = </t>
  </si>
  <si>
    <t>It is not appropriate to use the Table M calculated in part (a) because</t>
  </si>
  <si>
    <t>the two books of business have significantly different expected losses and the</t>
  </si>
  <si>
    <t>new book has only one entry ratio higher than 1.25, yet the initial book had two.</t>
  </si>
  <si>
    <t xml:space="preserve">The greater the expected loss, the less variation is expected in the loss. This </t>
  </si>
  <si>
    <t>results in a flatter curve that gives smaller insurance charges. Using the original</t>
  </si>
  <si>
    <t>Table M will likely overstate the insurance charge.</t>
  </si>
  <si>
    <t xml:space="preserve">b.) </t>
  </si>
  <si>
    <t>A risk is written using a balanced retrospective rating plan with the following characteristics:</t>
  </si>
  <si>
    <t>The following table shows actual experience from a representative sample of risks that are</t>
  </si>
  <si>
    <t>similar to the risk in question:</t>
  </si>
  <si>
    <t>An actuary has acquired actual aggregate data from a new book consisting of risks within the</t>
  </si>
  <si>
    <t>same industry. The loss experience of five representative risks from this book is shown below:</t>
  </si>
  <si>
    <t>The actuary proposes to combine the data from the two books, stating that the combined data</t>
  </si>
  <si>
    <t>will result in a more accurate calculation of the insured's retrospective premium.</t>
  </si>
  <si>
    <t xml:space="preserve">Actual Aggregate </t>
  </si>
  <si>
    <t>Losses at Minimum Premium</t>
  </si>
  <si>
    <t>Losses at Maximum Premium</t>
  </si>
  <si>
    <t>Expenses (e)</t>
  </si>
  <si>
    <t>a.) Determine the maximum premium that the insured can be charged.</t>
  </si>
  <si>
    <t>b.) Assess the validity of the actuary's statement.</t>
  </si>
  <si>
    <r>
      <t>The maximum premium that can be charged is given by B + c*L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>, where B is the basic premium</t>
    </r>
  </si>
  <si>
    <r>
      <t>c, is the loss conversion factor, and L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 is the maximum ratable loss.</t>
    </r>
  </si>
  <si>
    <t>We need to find B = e - (c-1)*E + cI</t>
  </si>
  <si>
    <t>where E is the expected aggregate loss and I is the net insurance charge.</t>
  </si>
  <si>
    <t xml:space="preserve">E = </t>
  </si>
  <si>
    <t>Entry ratio at minimum premium , rH =</t>
  </si>
  <si>
    <t>Entry ratio at maximum premium, rG =</t>
  </si>
  <si>
    <r>
      <t>I = E*(</t>
    </r>
    <r>
      <rPr>
        <sz val="11"/>
        <color theme="1"/>
        <rFont val="Calibri"/>
        <family val="2"/>
      </rPr>
      <t>φ(1.5) - ψ(0.25))</t>
    </r>
  </si>
  <si>
    <t>Now it's implicit we need to use the actual experience given to calculate the (Table M)</t>
  </si>
  <si>
    <t>insurance charges.</t>
  </si>
  <si>
    <t># Risk</t>
  </si>
  <si>
    <t>Alice: "Notice there are no duplicate rows."</t>
  </si>
  <si>
    <t>φ(1.5) =</t>
  </si>
  <si>
    <t>ψ(0.25) =</t>
  </si>
  <si>
    <t>So I =</t>
  </si>
  <si>
    <t>Then B =</t>
  </si>
  <si>
    <t>Maximum Premium that can be charged =</t>
  </si>
  <si>
    <t>The expected aggregate loss for the new book is</t>
  </si>
  <si>
    <t>The actuary is incorrect, you should combine the losses only if the expected value of the</t>
  </si>
  <si>
    <t>losses, the underlying distributions are the same and the risks are exposed to similar hazards.</t>
  </si>
  <si>
    <t>In this case the expected value of the new book is significantly higher than the old book.</t>
  </si>
  <si>
    <t>Hence, a separate Table M should be used.</t>
  </si>
  <si>
    <t>2017 Exam 8 Q13</t>
  </si>
  <si>
    <t>Fisher.TableL</t>
  </si>
  <si>
    <t>2012 Exam 8 Q18</t>
  </si>
  <si>
    <t>Construct a Table L</t>
  </si>
  <si>
    <t>The table below provides the actual loss history for 10 similar risks:</t>
  </si>
  <si>
    <t>Losses Under</t>
  </si>
  <si>
    <t>$200,000 per Accident</t>
  </si>
  <si>
    <t xml:space="preserve">Individual Accidents </t>
  </si>
  <si>
    <t>Greater than $200,000</t>
  </si>
  <si>
    <t>Accident 1</t>
  </si>
  <si>
    <t>Accident 2</t>
  </si>
  <si>
    <t>a.) Construct Table L charges for a loss limit of $500,000 at entry</t>
  </si>
  <si>
    <t>ratios of 1.10, 1.30, 1.60, 1.90, and 2.10.</t>
  </si>
  <si>
    <t>Total Unlimited Loss</t>
  </si>
  <si>
    <t>$500,000 per occurrence</t>
  </si>
  <si>
    <t>Total Loss Limited to</t>
  </si>
  <si>
    <t>Excess Ratio</t>
  </si>
  <si>
    <r>
      <t xml:space="preserve">Table L entry ratio = actual </t>
    </r>
    <r>
      <rPr>
        <b/>
        <sz val="11"/>
        <color theme="1"/>
        <rFont val="Calibri"/>
        <family val="2"/>
        <scheme val="minor"/>
      </rPr>
      <t>limited</t>
    </r>
    <r>
      <rPr>
        <sz val="11"/>
        <color theme="1"/>
        <rFont val="Calibri"/>
        <family val="2"/>
        <scheme val="minor"/>
      </rPr>
      <t xml:space="preserve"> aggregate loss / expected unlimited aggregate loss</t>
    </r>
  </si>
  <si>
    <t>Expected Unlimited Loss</t>
  </si>
  <si>
    <t>We must add in rows for the "missing" entry ratios at 0, 1.10, and 2.10, plus remove any duplicates present (there are none in this case).</t>
  </si>
  <si>
    <r>
      <t>φ*</t>
    </r>
    <r>
      <rPr>
        <vertAlign val="subscript"/>
        <sz val="11"/>
        <color theme="1"/>
        <rFont val="Calibri"/>
        <family val="2"/>
      </rPr>
      <t>D</t>
    </r>
    <r>
      <rPr>
        <sz val="11"/>
        <color theme="1"/>
        <rFont val="Calibri"/>
        <family val="2"/>
      </rPr>
      <t>(r) - k</t>
    </r>
  </si>
  <si>
    <r>
      <t>φ*</t>
    </r>
    <r>
      <rPr>
        <vertAlign val="subscript"/>
        <sz val="11"/>
        <color theme="1"/>
        <rFont val="Calibri"/>
        <family val="2"/>
      </rPr>
      <t>D</t>
    </r>
    <r>
      <rPr>
        <sz val="11"/>
        <color theme="1"/>
        <rFont val="Calibri"/>
        <family val="2"/>
      </rPr>
      <t>(r)</t>
    </r>
  </si>
  <si>
    <t>2013 Exam 8 Q19</t>
  </si>
  <si>
    <t>Apply the ICRLL procedure</t>
  </si>
  <si>
    <t>The following information is available for a LDD policy:</t>
  </si>
  <si>
    <t>Expected Ultimate Loss Ratio</t>
  </si>
  <si>
    <t>State Hazard Group Relativity</t>
  </si>
  <si>
    <t>Aggregate Limit on Deductible</t>
  </si>
  <si>
    <t>The following Table M information is applicable to this policy:</t>
  </si>
  <si>
    <t>Loss Group</t>
  </si>
  <si>
    <t>Range Rounded Values</t>
  </si>
  <si>
    <t>Expected Loss Group</t>
  </si>
  <si>
    <t>-</t>
  </si>
  <si>
    <t>a.) Calculate the expected loss costs for the policy using the Insurance Charge Reflecting Loss</t>
  </si>
  <si>
    <t>Limitation (ICRLL) procedure.</t>
  </si>
  <si>
    <t>b.) Explain why the ICRLL procedure produces reasonably accurate insurance charges.</t>
  </si>
  <si>
    <t>The excess loss factor is calculated as (E[A] - E[A_D]) / Standard Premium</t>
  </si>
  <si>
    <t>The excess ratio, k = (E[A] - E[A_D]) / E[A] = excess loss factor / Ultimate Loss Ratio</t>
  </si>
  <si>
    <t xml:space="preserve"> </t>
  </si>
  <si>
    <t>k =</t>
  </si>
  <si>
    <t>ICRLL Adjustment =</t>
  </si>
  <si>
    <t>Adjusted Loss = Expected Unlimited Loss * State Hazard Group Relativity * ICRLL Adjustment</t>
  </si>
  <si>
    <t>This lies in expected loss group 24.</t>
  </si>
  <si>
    <r>
      <t xml:space="preserve">When applying the ICRLL procedure we must use the </t>
    </r>
    <r>
      <rPr>
        <b/>
        <sz val="11"/>
        <color theme="1"/>
        <rFont val="Calibri"/>
        <family val="2"/>
        <scheme val="minor"/>
      </rPr>
      <t xml:space="preserve">Limited Table M </t>
    </r>
    <r>
      <rPr>
        <sz val="11"/>
        <color theme="1"/>
        <rFont val="Calibri"/>
        <family val="2"/>
        <scheme val="minor"/>
      </rPr>
      <t>entry ratio.</t>
    </r>
  </si>
  <si>
    <t>Limited Table M entry ratio = actual limited loss / expected limited loss</t>
  </si>
  <si>
    <r>
      <t xml:space="preserve">Expected Limited Loss = Expected Unlimited Loss * (1 - Excess </t>
    </r>
    <r>
      <rPr>
        <b/>
        <sz val="11"/>
        <color theme="1"/>
        <rFont val="Calibri"/>
        <family val="2"/>
        <scheme val="minor"/>
      </rPr>
      <t>Ratio</t>
    </r>
    <r>
      <rPr>
        <sz val="11"/>
        <color theme="1"/>
        <rFont val="Calibri"/>
        <family val="2"/>
        <scheme val="minor"/>
      </rPr>
      <t>)</t>
    </r>
  </si>
  <si>
    <t>Limited Table M entry ratio at $1,000,000 aggregate deductible.</t>
  </si>
  <si>
    <t>Look up this entry ratio and expected loss group in the given Table M</t>
  </si>
  <si>
    <r>
      <t xml:space="preserve">Expected Loss Cost = Table M Charge * Expected </t>
    </r>
    <r>
      <rPr>
        <b/>
        <sz val="11"/>
        <color theme="1"/>
        <rFont val="Calibri"/>
        <family val="2"/>
        <scheme val="minor"/>
      </rPr>
      <t>Limited</t>
    </r>
    <r>
      <rPr>
        <sz val="11"/>
        <color theme="1"/>
        <rFont val="Calibri"/>
        <family val="2"/>
        <scheme val="minor"/>
      </rPr>
      <t xml:space="preserve"> Loss + Expected Excess Loss</t>
    </r>
  </si>
  <si>
    <t>Expected Excess Loss (loss in excess of the per-occurrence deductible)</t>
  </si>
  <si>
    <t>Expected Aggregate Loss (loss in excess of the aggregate deductible0</t>
  </si>
  <si>
    <t>Expected Loss Cost</t>
  </si>
  <si>
    <t>If you use an insurance charge without adjusting the losses first then there would be an overlap</t>
  </si>
  <si>
    <t>The per-occurrence deductible reduces the losses which count towards the aggregate deductible.</t>
  </si>
  <si>
    <t>between the losses eliminated by the deductible and those eliminated by the aggregate deductible.</t>
  </si>
  <si>
    <t xml:space="preserve">To reduce the overlap, an expected loss group with more stable losses (produces a lower charge) is </t>
  </si>
  <si>
    <t>selected by finding an equivalent expected loss group based on the losses eliminated and the state/hazard</t>
  </si>
  <si>
    <t>group relativity. The lower charge helps eliminate the overlap which means the charges are more accurate.</t>
  </si>
  <si>
    <t>2014 Exam 8 Q12</t>
  </si>
  <si>
    <t>The following Lee diagrams depict the loss experience</t>
  </si>
  <si>
    <t>of a group of 10 similar risks; one for unlimited losses</t>
  </si>
  <si>
    <t>and the other for limited losses.</t>
  </si>
  <si>
    <t>a.) Calculate the Table L charges at loss ratios of 0%</t>
  </si>
  <si>
    <t>to 100% in 20% increments.</t>
  </si>
  <si>
    <t>b.) Describe what the Table L savings at an entry ratio</t>
  </si>
  <si>
    <t>of 0.4 reflects, assuming an expected unlimited loss</t>
  </si>
  <si>
    <t>of $500,000 and a per-accident limit of $100,000.</t>
  </si>
  <si>
    <t>Expected Unlimited Loss Ratio</t>
  </si>
  <si>
    <t>Expected Limited Loss Ratio</t>
  </si>
  <si>
    <t>Excess Ratio, k</t>
  </si>
  <si>
    <t>Table L entry ratio = actual limited losses / expected unlimited losses</t>
  </si>
  <si>
    <r>
      <t xml:space="preserve">When building a Table L we use the </t>
    </r>
    <r>
      <rPr>
        <b/>
        <sz val="11"/>
        <color theme="1"/>
        <rFont val="Calibri"/>
        <family val="2"/>
        <scheme val="minor"/>
      </rPr>
      <t>limited</t>
    </r>
    <r>
      <rPr>
        <sz val="11"/>
        <color theme="1"/>
        <rFont val="Calibri"/>
        <family val="2"/>
        <scheme val="minor"/>
      </rPr>
      <t xml:space="preserve"> loss data.</t>
    </r>
  </si>
  <si>
    <t>Actual limited losses</t>
  </si>
  <si>
    <t>Expected Unlimited Loss (given)</t>
  </si>
  <si>
    <t>Entry Ratio (given)</t>
  </si>
  <si>
    <t>← This is the hypothetical aggregate limit</t>
  </si>
  <si>
    <t xml:space="preserve">The Table L savings at entry ratio 0.4 describes the average amount by which the aggregate </t>
  </si>
  <si>
    <t>limit of $200,000 exceeds the per-occurrence limited losses.</t>
  </si>
  <si>
    <t>2001 Exam 9 Q8</t>
  </si>
  <si>
    <t>Expense ratio (e)</t>
  </si>
  <si>
    <t>Basic Premium Factor (% of Standard Premium)</t>
  </si>
  <si>
    <t>a.) Determine the guaranteed cost premium.</t>
  </si>
  <si>
    <t>The following information for a balanced retrospectively rated policy:</t>
  </si>
  <si>
    <t>Since the plan is balanced we have E[R] = (E+e)T = guaranteed cost premium</t>
  </si>
  <si>
    <t>(E + e)T =</t>
  </si>
  <si>
    <t>b.) Determine the expected ratable loss</t>
  </si>
  <si>
    <t>E[R] = (B + c*E[L])*T</t>
  </si>
  <si>
    <t>B = Basic Premium =</t>
  </si>
  <si>
    <t>Since the plan is balanced we have B = e - (c-1)*E + c*I</t>
  </si>
  <si>
    <t>e =</t>
  </si>
  <si>
    <t>c.) Calculate the Table M net insurance charge.</t>
  </si>
  <si>
    <t>This is the net insurance charge in dollars. To convert it to a Table M net insurance charge</t>
  </si>
  <si>
    <t>we must divide it by E[A].</t>
  </si>
  <si>
    <t>Table M net insurance charge</t>
  </si>
  <si>
    <t>This is the guaranteed cost premium</t>
  </si>
  <si>
    <t>Calculate components of a balanced retrospective rating plan</t>
  </si>
  <si>
    <t>2017 Exam 8 Q17</t>
  </si>
  <si>
    <t>A Workers' Compensation policy has the following limits and expected losses:</t>
  </si>
  <si>
    <t>Per-Occurrence Limit</t>
  </si>
  <si>
    <t>Expected Unlimited Aggregate Losses</t>
  </si>
  <si>
    <t>Expected Limited Aggregate Losses</t>
  </si>
  <si>
    <t>Aggregate Deductible Limit</t>
  </si>
  <si>
    <t>State/Hazard Group Differential</t>
  </si>
  <si>
    <t>Table of Expected Loss Groups (ELGs)</t>
  </si>
  <si>
    <t>ELG</t>
  </si>
  <si>
    <t>Range of Values</t>
  </si>
  <si>
    <t>Table M Insurance Charges</t>
  </si>
  <si>
    <t>Ratio</t>
  </si>
  <si>
    <t>Entry</t>
  </si>
  <si>
    <t>a.) Calculate the total expected loss cost for this policy using the Insurance Charge</t>
  </si>
  <si>
    <t>Reflecting Loss Limitation (ICRLL) adjustment procedure.</t>
  </si>
  <si>
    <t xml:space="preserve">b.) Describe how the ICRLL procedure is used to adjust expected losses for a </t>
  </si>
  <si>
    <t>Workers' Compensation policy.</t>
  </si>
  <si>
    <t xml:space="preserve">k = </t>
  </si>
  <si>
    <t>ICRLL =</t>
  </si>
  <si>
    <t>Adjusted Expected Unlimited Loss =</t>
  </si>
  <si>
    <t>Implies expected loss group 28</t>
  </si>
  <si>
    <t>(Limited) Entry Ratio = Aggregate Deductible / Expected Limited Aggregate Loss</t>
  </si>
  <si>
    <t>Look up Table M insurance charge based on entry ratio and expected loss group</t>
  </si>
  <si>
    <t>Expected loss cost = Expected per-occurrence excess loss + (Expected Limited Agg Losses)*(Table M insurance charge)</t>
  </si>
  <si>
    <t xml:space="preserve">The per-occurrence limit reduces the variance of the underlying severity distribution. So </t>
  </si>
  <si>
    <t>the variance of the aggregate distribution is reduced as well. The ICRLL procedure approximates</t>
  </si>
  <si>
    <t>a Limited Table M by increasing the expected unlimited losses used to find the expected loss group</t>
  </si>
  <si>
    <t>because policies with larger expected losses have lower variance in their aggregate loss distribution.</t>
  </si>
  <si>
    <t>The ICRLL procedure also adjusts the expected loss for differences in risk and location via the</t>
  </si>
  <si>
    <t>state/hazard group multiplier to further align the variance of the loss distribution</t>
  </si>
  <si>
    <t>with the variances found in the Table M's.</t>
  </si>
  <si>
    <t>2012 Exam 8 Q23</t>
  </si>
  <si>
    <t>Maximum Loss</t>
  </si>
  <si>
    <t>Minimum Loss</t>
  </si>
  <si>
    <t>Expense &amp; Profit Provision (excl. taxes)</t>
  </si>
  <si>
    <t>The following is a Table M for policies of this size:</t>
  </si>
  <si>
    <t>Charge</t>
  </si>
  <si>
    <t>Table M</t>
  </si>
  <si>
    <t>a.) Calculate the basic premium for this policy.</t>
  </si>
  <si>
    <t xml:space="preserve">The following information is available for a balanced retrospective </t>
  </si>
  <si>
    <t>rating plan:</t>
  </si>
  <si>
    <t>Since the plan is balanced we may use B = e - (c-1)E + c*I</t>
  </si>
  <si>
    <r>
      <t>Let 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be the entry ratio at minimum loss</t>
    </r>
  </si>
  <si>
    <r>
      <t>Let 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 be the entry ratio at maximum loss</t>
    </r>
  </si>
  <si>
    <r>
      <t>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=</t>
    </r>
  </si>
  <si>
    <t>Use the given Table M to calculate the net insurance charge</t>
  </si>
  <si>
    <r>
      <t>I = [</t>
    </r>
    <r>
      <rPr>
        <sz val="11"/>
        <color theme="1"/>
        <rFont val="Calibri"/>
        <family val="2"/>
      </rPr>
      <t>φ(r</t>
    </r>
    <r>
      <rPr>
        <vertAlign val="subscript"/>
        <sz val="11"/>
        <color theme="1"/>
        <rFont val="Calibri"/>
        <family val="2"/>
      </rPr>
      <t>G</t>
    </r>
    <r>
      <rPr>
        <sz val="11"/>
        <color theme="1"/>
        <rFont val="Calibri"/>
        <family val="2"/>
      </rPr>
      <t>) - ψ(r</t>
    </r>
    <r>
      <rPr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)] * E</t>
    </r>
  </si>
  <si>
    <t>ψ(rH) =</t>
  </si>
  <si>
    <t>Calculate the basic premium</t>
  </si>
  <si>
    <t>2014 Exam 8 Q19</t>
  </si>
  <si>
    <t>A company is considering options for a Workers' Compensation</t>
  </si>
  <si>
    <t>policy with the following parameters:</t>
  </si>
  <si>
    <t>Expected Loss &amp; ALAE</t>
  </si>
  <si>
    <t>Per-Occurrence Deductible</t>
  </si>
  <si>
    <t>Aggregate Limit</t>
  </si>
  <si>
    <t>ULAE (% of Loss &amp; ALAE)</t>
  </si>
  <si>
    <t>Loss Based Assessment (% of Loss &amp; ALAE)</t>
  </si>
  <si>
    <t>General Overhead (% of Standard Premium)</t>
  </si>
  <si>
    <t>Credit Risk (% of Standard Premium)</t>
  </si>
  <si>
    <t>Acquisition Expense (% of Net Premium)</t>
  </si>
  <si>
    <t>Profit &amp; Contingency (% of Net Premium)</t>
  </si>
  <si>
    <t>Tax and Assessment (% of Net Premium)</t>
  </si>
  <si>
    <t>Limit</t>
  </si>
  <si>
    <t>ELPPF</t>
  </si>
  <si>
    <t xml:space="preserve">Insurance </t>
  </si>
  <si>
    <t>a.) Calculate the premium for a large dollar deductible policy.</t>
  </si>
  <si>
    <t>large dollar deductible plan.</t>
  </si>
  <si>
    <t>b.) Identify three reasons why an employer might choose a</t>
  </si>
  <si>
    <t>Workers' Compensation(WC) policy:</t>
  </si>
  <si>
    <t>Tax and Assessment</t>
  </si>
  <si>
    <t>c.) Calculate the revised premium.</t>
  </si>
  <si>
    <t>d.) Describe the difference in profit and tax assumptions for LDD</t>
  </si>
  <si>
    <t>and excess WC policies.</t>
  </si>
  <si>
    <t>Assume the following revised assumptions for an excess</t>
  </si>
  <si>
    <t xml:space="preserve">The Excess Loss Pure Premium Factor allows us to calculate the expected </t>
  </si>
  <si>
    <t>loss in excess of the per-occurrence deductible</t>
  </si>
  <si>
    <t>E[A] - E[A_D] =</t>
  </si>
  <si>
    <t>where E[A_D] means the expected deductible limited losses.</t>
  </si>
  <si>
    <t>Look up the ELPPF associated with the $250,000 per-occurrence deductible.</t>
  </si>
  <si>
    <t>ELPPF =</t>
  </si>
  <si>
    <t>We now need to price the losses in excess of the aggregate limit</t>
  </si>
  <si>
    <t>Table M Insurance Charge</t>
  </si>
  <si>
    <r>
      <t xml:space="preserve">Entry ratio = actual aggregate limit / expected </t>
    </r>
    <r>
      <rPr>
        <b/>
        <sz val="11"/>
        <color theme="1"/>
        <rFont val="Calibri"/>
        <family val="2"/>
        <scheme val="minor"/>
      </rPr>
      <t>limited</t>
    </r>
    <r>
      <rPr>
        <sz val="11"/>
        <color theme="1"/>
        <rFont val="Calibri"/>
        <family val="2"/>
        <scheme val="minor"/>
      </rPr>
      <t xml:space="preserve"> losses</t>
    </r>
  </si>
  <si>
    <t>Here, we're using the losses limited by the per-occurrence deductible to price the aggregate limit.</t>
  </si>
  <si>
    <t>Let's list the components of the premium</t>
  </si>
  <si>
    <t>Excess of per-occurrence deductible</t>
  </si>
  <si>
    <t>Excess of aggregate limit</t>
  </si>
  <si>
    <t>← Remember to apply the charge associated with the aggregate limit to the expected limited loss</t>
  </si>
  <si>
    <t>ULAE ← Remember LDD plans administer all claims.</t>
  </si>
  <si>
    <t>Loss Based Asssessment</t>
  </si>
  <si>
    <t>General Overhead</t>
  </si>
  <si>
    <t>Credit Risk</t>
  </si>
  <si>
    <t>Variable expenses</t>
  </si>
  <si>
    <t>LDD Premium</t>
  </si>
  <si>
    <t>Any THREE of:</t>
  </si>
  <si>
    <t>1.) A medium-sized employer may be allowed to purchase an LDD plan even if it doesn't qualify for self-insurance.</t>
  </si>
  <si>
    <t>2.) If the company already has a full coverage policy with the insurer then it is already familiar with the insurer's services which it would expect to continue under an LDD plan.</t>
  </si>
  <si>
    <t>3.) An LDD plan services all losses - the insured can be confident an experienced insurer is handling all claims.</t>
  </si>
  <si>
    <t>4.) The employer gets to keep the savings from tax and assessments in an LDD plan</t>
  </si>
  <si>
    <t>5.) There are cash flow benefits for the employer as they hold onto cash longer because the insurer pays losses first then seeks reimbursement for the deductible.</t>
  </si>
  <si>
    <t>6.) There is a tax incentive since the insured can deduct a tax liability for an unpaid deductible. Whereas, they can't deduct a tax liability for a loss reserve.</t>
  </si>
  <si>
    <t>7.) The insured has more control over losses under a LDD plan.</t>
  </si>
  <si>
    <t>Updated variable expenses</t>
  </si>
  <si>
    <t>ULAE ← WC plans only administer excess losses</t>
  </si>
  <si>
    <t>Loss Based Asssessment (None - WC plans don't have these)</t>
  </si>
  <si>
    <t>Credit Risk (None because only administer excess claims)</t>
  </si>
  <si>
    <t>WC Premium</t>
  </si>
  <si>
    <t>d.)</t>
  </si>
  <si>
    <t>LDD policies compete on price and quality of service whereas as WC policies only compete on price.</t>
  </si>
  <si>
    <t>Therefore profit assumptions are lower for WC than LDD.</t>
  </si>
  <si>
    <t>Taxes are less on excess policies (WC) because they are not subject to certain loss based assessments that LDD plans are.</t>
  </si>
  <si>
    <t>Calculate and contrast premiums for LDD and Excess policies</t>
  </si>
  <si>
    <t>2014 Exam 8 Q17</t>
  </si>
  <si>
    <t>A large insured is considering a retrospectively rated policy for</t>
  </si>
  <si>
    <t>its Workers' Compensation coverage with the following characteristics:</t>
  </si>
  <si>
    <t>Unlimited Expected Loss Ratio</t>
  </si>
  <si>
    <t>The actuary will use the following tables for rating:</t>
  </si>
  <si>
    <t>Expected Loss Group (ELG)</t>
  </si>
  <si>
    <t>Expected Loss Range</t>
  </si>
  <si>
    <t>630,000 - 720,000</t>
  </si>
  <si>
    <t>720,001 - 830,000</t>
  </si>
  <si>
    <t>830,001 - 990,000</t>
  </si>
  <si>
    <t>990,001 - 1,180,000</t>
  </si>
  <si>
    <t>1,180,001 - 1,415,000</t>
  </si>
  <si>
    <t>1,415,001 - 1,744,000</t>
  </si>
  <si>
    <t xml:space="preserve">Excess </t>
  </si>
  <si>
    <t>Per-</t>
  </si>
  <si>
    <t>Occurrence</t>
  </si>
  <si>
    <t>reduced by selecting a higher per-occurrence limit because the insured will</t>
  </si>
  <si>
    <t>assume a greater portion of the losses.</t>
  </si>
  <si>
    <t>c.) Evaluate the risk manager's assertion.</t>
  </si>
  <si>
    <t xml:space="preserve">The insured's risk manager believes the retrospective premium can be </t>
  </si>
  <si>
    <t>Guaranteed Cost Premium = (e + E[A])*T</t>
  </si>
  <si>
    <t>T  =</t>
  </si>
  <si>
    <t>GCP =</t>
  </si>
  <si>
    <t>Since we have expected loss groups it's implicit we should apply the ICRLL procedure.</t>
  </si>
  <si>
    <t>We're given the excess loss factor which is a ratio to standard premium.</t>
  </si>
  <si>
    <t>Expected losses excess of $50,000 per-occurrence limit</t>
  </si>
  <si>
    <t>Hence,</t>
  </si>
  <si>
    <t xml:space="preserve">So k = </t>
  </si>
  <si>
    <t>Since we're not told anything about a state/hazard group ratio we assume it is 1.000.</t>
  </si>
  <si>
    <t>Adjusted expected losses</t>
  </si>
  <si>
    <t>The adjusted expected losses correspond to ELG 27.</t>
  </si>
  <si>
    <t>Although we're not told the plan is balanced, we will assume it is.</t>
  </si>
  <si>
    <t>G and H are the maximum and minimum premiums respectively.</t>
  </si>
  <si>
    <r>
      <t xml:space="preserve">When performing the ICRLL procedure use the </t>
    </r>
    <r>
      <rPr>
        <b/>
        <sz val="11"/>
        <color theme="1"/>
        <rFont val="Calibri"/>
        <family val="2"/>
        <scheme val="minor"/>
      </rPr>
      <t>Limited Table M</t>
    </r>
    <r>
      <rPr>
        <sz val="11"/>
        <color theme="1"/>
        <rFont val="Calibri"/>
        <family val="2"/>
        <scheme val="minor"/>
      </rPr>
      <t xml:space="preserve"> entry ratio</t>
    </r>
  </si>
  <si>
    <r>
      <t xml:space="preserve">which is the actual aggregate limit / expected </t>
    </r>
    <r>
      <rPr>
        <b/>
        <sz val="11"/>
        <color theme="1"/>
        <rFont val="Calibri"/>
        <family val="2"/>
        <scheme val="minor"/>
      </rPr>
      <t>limited</t>
    </r>
    <r>
      <rPr>
        <sz val="11"/>
        <color theme="1"/>
        <rFont val="Calibri"/>
        <family val="2"/>
        <scheme val="minor"/>
      </rPr>
      <t xml:space="preserve"> losses</t>
    </r>
  </si>
  <si>
    <r>
      <t xml:space="preserve">So </t>
    </r>
    <r>
      <rPr>
        <sz val="11"/>
        <color theme="1"/>
        <rFont val="Calibri"/>
        <family val="2"/>
      </rPr>
      <t>φ</t>
    </r>
    <r>
      <rPr>
        <vertAlign val="subscript"/>
        <sz val="11"/>
        <color theme="1"/>
        <rFont val="Calibri"/>
        <family val="2"/>
      </rPr>
      <t>D</t>
    </r>
    <r>
      <rPr>
        <sz val="11"/>
        <color theme="1"/>
        <rFont val="Calibri"/>
        <family val="2"/>
      </rPr>
      <t>(r</t>
    </r>
    <r>
      <rPr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 - φ</t>
    </r>
    <r>
      <rPr>
        <vertAlign val="subscript"/>
        <sz val="11"/>
        <color theme="1"/>
        <rFont val="Calibri"/>
        <family val="2"/>
      </rPr>
      <t>D</t>
    </r>
    <r>
      <rPr>
        <sz val="11"/>
        <color theme="1"/>
        <rFont val="Calibri"/>
        <family val="2"/>
      </rPr>
      <t>(r</t>
    </r>
    <r>
      <rPr>
        <vertAlign val="subscript"/>
        <sz val="11"/>
        <color theme="1"/>
        <rFont val="Calibri"/>
        <family val="2"/>
      </rPr>
      <t>G</t>
    </r>
    <r>
      <rPr>
        <sz val="11"/>
        <color theme="1"/>
        <rFont val="Calibri"/>
        <family val="2"/>
      </rPr>
      <t>) =</t>
    </r>
  </si>
  <si>
    <r>
      <t>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 - 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=</t>
    </r>
  </si>
  <si>
    <t>Perform a Table M search using entry ratios which are 0.9 apart.</t>
  </si>
  <si>
    <r>
      <t>Only entry ratios 1.6 and 0.7 are 0.9 apart so these are r</t>
    </r>
    <r>
      <rPr>
        <vertAlign val="subscript"/>
        <sz val="11"/>
        <color theme="1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 and r</t>
    </r>
    <r>
      <rPr>
        <vertAlign val="sub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scheme val="minor"/>
      </rPr>
      <t xml:space="preserve"> respectively.</t>
    </r>
  </si>
  <si>
    <t>We can check that for ELG 27 the charge difference is</t>
  </si>
  <si>
    <t>which is very close to our calculated value.</t>
  </si>
  <si>
    <r>
      <t>ψ(r</t>
    </r>
    <r>
      <rPr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 =</t>
    </r>
  </si>
  <si>
    <r>
      <t>φ(r</t>
    </r>
    <r>
      <rPr>
        <vertAlign val="subscript"/>
        <sz val="11"/>
        <color theme="1"/>
        <rFont val="Calibri"/>
        <family val="2"/>
      </rPr>
      <t>G</t>
    </r>
    <r>
      <rPr>
        <sz val="11"/>
        <color theme="1"/>
        <rFont val="Calibri"/>
        <family val="2"/>
      </rPr>
      <t>) =</t>
    </r>
  </si>
  <si>
    <t>b.) Determine the basic premium for a $50,000 per-occurrence limit, assuming the</t>
  </si>
  <si>
    <t>per-occurrence charge is not contained within the basic premium formula.</t>
  </si>
  <si>
    <r>
      <t>The basic premium is given by B = e - (c-1)E[A] + c*I</t>
    </r>
    <r>
      <rPr>
        <vertAlign val="subscript"/>
        <sz val="11"/>
        <color theme="1"/>
        <rFont val="Calibri"/>
        <family val="2"/>
        <scheme val="minor"/>
      </rPr>
      <t>D</t>
    </r>
  </si>
  <si>
    <r>
      <t>I</t>
    </r>
    <r>
      <rPr>
        <vertAlign val="subscript"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 xml:space="preserve"> = [ </t>
    </r>
    <r>
      <rPr>
        <sz val="11"/>
        <color theme="1"/>
        <rFont val="Calibri"/>
        <family val="2"/>
      </rPr>
      <t>φ(r</t>
    </r>
    <r>
      <rPr>
        <vertAlign val="subscript"/>
        <sz val="11"/>
        <color theme="1"/>
        <rFont val="Calibri"/>
        <family val="2"/>
      </rPr>
      <t>G</t>
    </r>
    <r>
      <rPr>
        <sz val="11"/>
        <color theme="1"/>
        <rFont val="Calibri"/>
        <family val="2"/>
      </rPr>
      <t>) - ψ(r</t>
    </r>
    <r>
      <rPr>
        <vertAlign val="subscript"/>
        <sz val="11"/>
        <color theme="1"/>
        <rFont val="Calibri"/>
        <family val="2"/>
      </rPr>
      <t>H</t>
    </r>
    <r>
      <rPr>
        <sz val="11"/>
        <color theme="1"/>
        <rFont val="Calibri"/>
        <family val="2"/>
      </rPr>
      <t>) ] * E[A</t>
    </r>
    <r>
      <rPr>
        <vertAlign val="subscript"/>
        <sz val="11"/>
        <color theme="1"/>
        <rFont val="Calibri"/>
        <family val="2"/>
      </rPr>
      <t>D</t>
    </r>
    <r>
      <rPr>
        <sz val="11"/>
        <color theme="1"/>
        <rFont val="Calibri"/>
        <family val="2"/>
      </rPr>
      <t>]</t>
    </r>
  </si>
  <si>
    <r>
      <t>I</t>
    </r>
    <r>
      <rPr>
        <vertAlign val="subscript"/>
        <sz val="11"/>
        <color theme="1"/>
        <rFont val="Calibri"/>
        <family val="2"/>
      </rPr>
      <t>D</t>
    </r>
    <r>
      <rPr>
        <sz val="11"/>
        <color theme="1"/>
        <rFont val="Calibri"/>
        <family val="2"/>
      </rPr>
      <t xml:space="preserve"> =</t>
    </r>
  </si>
  <si>
    <t>Here we are not including the charge for losses in excess of the per-occurrence limit within the basic premium</t>
  </si>
  <si>
    <t>There are two ways the risk manager's assertion may be interpreted:</t>
  </si>
  <si>
    <t>1.) If they mean the expected retrospective premium can be reduced then this is not true.</t>
  </si>
  <si>
    <t>Selecting a higher per-occurrence limit reduces the insurance charge but allows more ratable losses in.</t>
  </si>
  <si>
    <t>In a balanced plan the retrospective premium equals the guaranteed cost premium so the expected retrospective premium remains the same regardless of the selected per-occurrence limit.</t>
  </si>
  <si>
    <t>2.) If they mean the actual retrospective premium can be reduced then the</t>
  </si>
  <si>
    <t>impact depends on the insured's expected losses. A higher per-occurrence limit means a lower insurance charge.</t>
  </si>
  <si>
    <t>If their losses are generally already smaller than the exisiting per-occurrence limit then increasing the per-occurrence</t>
  </si>
  <si>
    <t>limit will reduce the insurance charge and not introduce more ratable losses.</t>
  </si>
  <si>
    <t>This would result in a lower actual retrospective premium.</t>
  </si>
  <si>
    <t>Determine the guaranteed cost and basic premiums</t>
  </si>
  <si>
    <t>2015 Exam 8 Q19</t>
  </si>
  <si>
    <t>An actuary has priced a large dollar deductible policy using the</t>
  </si>
  <si>
    <t>information given below and has indicated a premium of</t>
  </si>
  <si>
    <t>$273,500. Assume no collateral is held on behalf of the insured.</t>
  </si>
  <si>
    <t>Ground-up Expected Loss &amp; ALAE Ratio</t>
  </si>
  <si>
    <t>Excess Ratio (% of Loss &amp; ALAE)</t>
  </si>
  <si>
    <t>ULAE (% Loss &amp; ALAE)</t>
  </si>
  <si>
    <t>Credit Risk Load (% of Standard Premium)</t>
  </si>
  <si>
    <t>General Expenses (% of Standard Premium)</t>
  </si>
  <si>
    <t>Acquisition Expenses (% of Net Premium)</t>
  </si>
  <si>
    <t>Taxes (% of Net Premium)</t>
  </si>
  <si>
    <t>Profit &amp; Contingencies (% of Net Premium)</t>
  </si>
  <si>
    <t xml:space="preserve">a.) Calculate X, the implied Credit Risk Load in the actuary's </t>
  </si>
  <si>
    <t>indicated premium</t>
  </si>
  <si>
    <t>b.) Explain why profit loads can be higher for large dollar deductible</t>
  </si>
  <si>
    <t>policies compared to excess policies.</t>
  </si>
  <si>
    <t>Expected Excess Loss</t>
  </si>
  <si>
    <t xml:space="preserve">E[A] </t>
  </si>
  <si>
    <t>E[A_D]</t>
  </si>
  <si>
    <t>General Expense</t>
  </si>
  <si>
    <t>Variable Expense Provision</t>
  </si>
  <si>
    <t>Indicated Premium</t>
  </si>
  <si>
    <t>Reverse engineering the indicated premium yields</t>
  </si>
  <si>
    <t xml:space="preserve">Credit Risk Load </t>
  </si>
  <si>
    <t>As of % of Standard Premium</t>
  </si>
  <si>
    <t>LDD insurers compete on both price and service quality whereas excess insurers</t>
  </si>
  <si>
    <t>compete solely on price. This means LDD insurers can have a higher profit provision.</t>
  </si>
  <si>
    <t>Also, LDD policies have a shorter average payout period since they pay out on all losses and seek reimbursement</t>
  </si>
  <si>
    <t>for deductibles. Whereas an excess policy waits until their layer is reached.</t>
  </si>
  <si>
    <t xml:space="preserve">This means excess policies have a longer period to collect investment income </t>
  </si>
  <si>
    <t>over, so their profit loads can be smaller when targeting the same return on surplus.</t>
  </si>
  <si>
    <t>Calculate the implied credit risk load</t>
  </si>
  <si>
    <t>An actuary is given the following expiring policy information for a Workers' Compensation</t>
  </si>
  <si>
    <t>Large Dollar Deductible policy:</t>
  </si>
  <si>
    <t>Expected Total Loss &amp; ALAE</t>
  </si>
  <si>
    <t>Percentage of Loss &amp; ALAE Excess of $100,000</t>
  </si>
  <si>
    <t>Percentage of Loss &amp; ALAE Excess of $200,000</t>
  </si>
  <si>
    <t>Loss Based Assessment Factor</t>
  </si>
  <si>
    <t>Profit and Variable Expenses</t>
  </si>
  <si>
    <t>Aggregate Deductible</t>
  </si>
  <si>
    <t xml:space="preserve">There are no changes to these expenses and profit provision. The table of Insurance </t>
  </si>
  <si>
    <t>Charges is displayed below:</t>
  </si>
  <si>
    <t>Modified Table M for Similarly Sized Policies</t>
  </si>
  <si>
    <t>The insured would like to retain more risk and requests the price of the following options:</t>
  </si>
  <si>
    <r>
      <t>Option 1:</t>
    </r>
    <r>
      <rPr>
        <sz val="11"/>
        <color theme="1"/>
        <rFont val="Calibri"/>
        <family val="2"/>
        <scheme val="minor"/>
      </rPr>
      <t xml:space="preserve"> Deductible of $200,000 with an aggregate deductible of $400,000.</t>
    </r>
  </si>
  <si>
    <r>
      <t>Option 2:</t>
    </r>
    <r>
      <rPr>
        <sz val="11"/>
        <color theme="1"/>
        <rFont val="Calibri"/>
        <family val="2"/>
        <scheme val="minor"/>
      </rPr>
      <t xml:space="preserve"> Excess Policy with self-insured retention of $200,000 on a per-occurrence basis.</t>
    </r>
  </si>
  <si>
    <t>Use linear interpolation as needed.</t>
  </si>
  <si>
    <t>the most recent year, but is unsure if this trend will continue in the future. Based on this</t>
  </si>
  <si>
    <t>observation, recommend one of the two options for the insurer and fully support the</t>
  </si>
  <si>
    <t>recommendation.</t>
  </si>
  <si>
    <t>2016 Exam 8 Q16</t>
  </si>
  <si>
    <t>a.) Calculate the difference in price between Option 1 and the expiring structure.</t>
  </si>
  <si>
    <t>b.) The insurer observed an upward trend of ground-up losses in the insured's industry for</t>
  </si>
  <si>
    <t>Expiring Structure</t>
  </si>
  <si>
    <t>Where LBA is the loss based assessment factor.</t>
  </si>
  <si>
    <t>The expiring policy has a $100,000 deductible so the</t>
  </si>
  <si>
    <t>Expected Excess Loss =</t>
  </si>
  <si>
    <t>Hence the expected limited loss =</t>
  </si>
  <si>
    <t>Since we have an aggregate deductible and a per-occurrence deductible we need to calculate</t>
  </si>
  <si>
    <t>a limited entry ratio = Aggregate Deductible / Expected Limited Loss</t>
  </si>
  <si>
    <t xml:space="preserve">Limited Entry Ratio = </t>
  </si>
  <si>
    <t>Using the Modified Table M to look up the limited entry ratio and deductible yields</t>
  </si>
  <si>
    <t>an insurance charge of</t>
  </si>
  <si>
    <t>Expiring LDD Premium =</t>
  </si>
  <si>
    <t>Option 1 Pricing</t>
  </si>
  <si>
    <t>$200,000 deductible so the expected excess loss is</t>
  </si>
  <si>
    <t>Expected Limited Loss =</t>
  </si>
  <si>
    <t>New aggregate deductible =</t>
  </si>
  <si>
    <t>Limited Entry Ratio =</t>
  </si>
  <si>
    <t>Using the Modified Table M to look up the insurance charge of</t>
  </si>
  <si>
    <t>Option 1 LDD Premium =</t>
  </si>
  <si>
    <t xml:space="preserve">Recommend Option 1 from the insurer's perspective because an upward trend in the ground-up </t>
  </si>
  <si>
    <t xml:space="preserve">losses will be amplified in an excess layer. This is because claims already in the excess layer </t>
  </si>
  <si>
    <t xml:space="preserve">have the trend apply entirely in the excess layer, while claims just below the layer will be </t>
  </si>
  <si>
    <t>pushed into the excess layer. The insurer will handle all claims under the LDD policy so has</t>
  </si>
  <si>
    <t>an incentive to keep costs down and offset the observed trend.</t>
  </si>
  <si>
    <t xml:space="preserve">Further, since LDD policies compete on both price and service, they could support a more </t>
  </si>
  <si>
    <t>conservative profit and expense load which would hedge against the observed trend.</t>
  </si>
  <si>
    <t>Calculate the LDD premiums</t>
  </si>
  <si>
    <t>Loss based assessment factor</t>
  </si>
  <si>
    <t>Ratio of ULAE to Loss</t>
  </si>
  <si>
    <t>General overhead expense</t>
  </si>
  <si>
    <t>Risk load for credit risk</t>
  </si>
  <si>
    <t>Acquisition expense</t>
  </si>
  <si>
    <t xml:space="preserve">Taxes </t>
  </si>
  <si>
    <t>Profit</t>
  </si>
  <si>
    <t xml:space="preserve">Given the following information about a Workers' </t>
  </si>
  <si>
    <t>Compensation book of business:</t>
  </si>
  <si>
    <t>2016 Exam 8 Q15</t>
  </si>
  <si>
    <t xml:space="preserve">policy that minimizes the insured's loss retention with a maximum </t>
  </si>
  <si>
    <t>premium of $100,000.</t>
  </si>
  <si>
    <t>to the profit load in an excess Workers' Compensation policy.</t>
  </si>
  <si>
    <t xml:space="preserve">a.) Calculate the deductible for an excess Workers' Compensation </t>
  </si>
  <si>
    <t xml:space="preserve">b.) Contrast the profit load in a large dollar deductible (LDD) policy </t>
  </si>
  <si>
    <t>Calculate the deductible</t>
  </si>
  <si>
    <t>The premium for an excess Workers' Compensation policy is given by</t>
  </si>
  <si>
    <t>Recall this type of policy only handles and pays out on claims above the deductible.</t>
  </si>
  <si>
    <t>So at maximum premium we have</t>
  </si>
  <si>
    <t>100,000 =</t>
  </si>
  <si>
    <t>(Expected Excess Loss * 1.05 + 840,000*2%) / (1 - 5% - 3% - -8.8%)</t>
  </si>
  <si>
    <t>Solving for the expected excess loss at maximum premium yields</t>
  </si>
  <si>
    <t>Expected Excess Loss at Max. Premium =</t>
  </si>
  <si>
    <t xml:space="preserve">Using the graph provided we can estimate the expected unlimited loss. </t>
  </si>
  <si>
    <t>Notice here we're using "loss" to mean Loss + ALAE</t>
  </si>
  <si>
    <t>Expected Unlimited Loss &amp; ALAE =</t>
  </si>
  <si>
    <t>The ratio of expected excess loss at maximum premium to expected unlimited loss is</t>
  </si>
  <si>
    <t>The excess ratio at deductible d is defined as the average excess loss above the deductible</t>
  </si>
  <si>
    <t>divided by the expected unlimited loss.</t>
  </si>
  <si>
    <t>We need to find a deductible d that produces an excess ratio of 0.16</t>
  </si>
  <si>
    <t>Using trial and error we get when d = $600,000</t>
  </si>
  <si>
    <t xml:space="preserve">Excess ratio @ $600,000 = </t>
  </si>
  <si>
    <t>So the required deductible is $600,000.</t>
  </si>
  <si>
    <t>The profit load for a large dollar deductible plan is usually higher than that for an excess Workers'</t>
  </si>
  <si>
    <t>Compensation plan because the LDD plan competes on both price and service while the excess</t>
  </si>
  <si>
    <t>WC plan competes on price alone.</t>
  </si>
  <si>
    <t xml:space="preserve">Alice: "This was a tricky question because excess Workers' Compensation policies are </t>
  </si>
  <si>
    <r>
      <t xml:space="preserve">said to have a </t>
    </r>
    <r>
      <rPr>
        <b/>
        <i/>
        <u/>
        <sz val="11"/>
        <color rgb="FF0070C0"/>
        <rFont val="Calibri"/>
        <family val="2"/>
        <scheme val="minor"/>
      </rPr>
      <t>retention</t>
    </r>
    <r>
      <rPr>
        <b/>
        <i/>
        <sz val="11"/>
        <color rgb="FF0070C0"/>
        <rFont val="Calibri"/>
        <family val="2"/>
        <scheme val="minor"/>
      </rPr>
      <t xml:space="preserve"> rather than a deductible. Make sure you state any assumptions</t>
    </r>
  </si>
  <si>
    <t>you make on the exam."</t>
  </si>
  <si>
    <t>Incurred Loss Retro</t>
  </si>
  <si>
    <t>Maximum Ratable Loss</t>
  </si>
  <si>
    <t>Paid Loss Deductible</t>
  </si>
  <si>
    <t>The following apply to both plans:</t>
  </si>
  <si>
    <t>Expected Ultimate Losses</t>
  </si>
  <si>
    <t>Expected Ultimate Losses limited by occurrence</t>
  </si>
  <si>
    <t>Expected Ultimate Losses limited by occurrence and aggregate</t>
  </si>
  <si>
    <t>Fixed underwriting expenses including commission &amp; profit</t>
  </si>
  <si>
    <t>LAE as a percentage of Loss</t>
  </si>
  <si>
    <t xml:space="preserve">An insured is considering an incurred loss retrospective rating plan and a </t>
  </si>
  <si>
    <t>paid loss deductible plan with the following characteristics:</t>
  </si>
  <si>
    <t>both premium and deductible payments, from the perspective of the insured.</t>
  </si>
  <si>
    <t>of the insured.</t>
  </si>
  <si>
    <t>why each would be beneficial for the insured.</t>
  </si>
  <si>
    <t xml:space="preserve">c.) Propose two changes to the recommended plan in part (b) above and briefly explain </t>
  </si>
  <si>
    <t xml:space="preserve">b.) Recommend and briefly justify one of the two plans above from the perspective </t>
  </si>
  <si>
    <t xml:space="preserve">a.) Compare the expected total cost of insurance of the two plans, taking into account </t>
  </si>
  <si>
    <t>Compare and contrast LDD and retrospective rating plans</t>
  </si>
  <si>
    <t>2018 Exam 8 Q12</t>
  </si>
  <si>
    <t>Per-occurrence limit and maximum ratable loss implies an aggregate limit is also present.</t>
  </si>
  <si>
    <t>Cost = [(Expected Excess Loss paid by insurer + Primary loss paid by insured)*(1+LAE%) + fixed expense]*(1 + tax rate%)</t>
  </si>
  <si>
    <t xml:space="preserve">          = [(Expected Ultimate Loss)*(1+LAE%) + fixed expense]*(tax multiplier)</t>
  </si>
  <si>
    <t>Cost = Deductible Payments + Premium</t>
  </si>
  <si>
    <t>Deductible Payments = Expected Ultimate Loss limited by occurrence and aggregate</t>
  </si>
  <si>
    <t>Premium = [(Expected Ultimate Loss - Expected Ultimate Loss limited by occurrence and aggregate) + (Expected Ultimate Loss)*LAE% + fixed expense]*(Tax multiplier)</t>
  </si>
  <si>
    <t>Cost =</t>
  </si>
  <si>
    <t>The expected total cost of the paid loss deductible is lower than the incurred loss retro plan.</t>
  </si>
  <si>
    <t>Recommend the paid loss deductible plan because:</t>
  </si>
  <si>
    <t>The total cost is lower than that of the incurred loss retro plan in part due to not paying taxes on the deductible payments.</t>
  </si>
  <si>
    <t>There is a cash flow benefit to the insured because they do not have to pay their deductible until the loss is paid and the insurer seeks reimbursement.</t>
  </si>
  <si>
    <t>They could generate investment income from the delayed payments.</t>
  </si>
  <si>
    <t>The insured handles all claims below the deductible, saving on expense handling.</t>
  </si>
  <si>
    <t>1.) Increase the per-occurrence deductible. This would lower the premium paid and increase the cash flow advantage for the insured.</t>
  </si>
  <si>
    <t>2.) Change from a paid loss deductible plan to an excess loss with self-insured retention.</t>
  </si>
  <si>
    <t>2018 Exam 8 Q10</t>
  </si>
  <si>
    <t>Policy effective date</t>
  </si>
  <si>
    <t>Policy term</t>
  </si>
  <si>
    <t>One Year</t>
  </si>
  <si>
    <t>Annual loss trend</t>
  </si>
  <si>
    <t>Cap for individual claims</t>
  </si>
  <si>
    <t>Credibility factor</t>
  </si>
  <si>
    <t>Expected ultimate loss before modification</t>
  </si>
  <si>
    <t>Reported Losses on Individual Claims by Policy Year as of June 30, 2018</t>
  </si>
  <si>
    <t>Maturity to</t>
  </si>
  <si>
    <t>Limited</t>
  </si>
  <si>
    <t>Limited Expected</t>
  </si>
  <si>
    <t>Ultimate</t>
  </si>
  <si>
    <t>LDFs</t>
  </si>
  <si>
    <t>18 months</t>
  </si>
  <si>
    <t>30 months</t>
  </si>
  <si>
    <t>42 months</t>
  </si>
  <si>
    <t xml:space="preserve">An actuary is analyzing an experience rating plan using three years of </t>
  </si>
  <si>
    <t>experience that has the following information:</t>
  </si>
  <si>
    <t xml:space="preserve">The actuary has determined limited loss development factors (LDFs) and </t>
  </si>
  <si>
    <t>limited expected values using aggregate data from similar policies as follows:</t>
  </si>
  <si>
    <t xml:space="preserve">a.) Calculate the expected reported losses for this plan for the three years </t>
  </si>
  <si>
    <t>of experience combined.</t>
  </si>
  <si>
    <t>b.) Calculate the experience modification factor for this policy.</t>
  </si>
  <si>
    <t>Do not use policy year 2018 as this year is incomplete. Assume the LDFs are policy year LDFs.</t>
  </si>
  <si>
    <t>Excess ratio:</t>
  </si>
  <si>
    <t>Year</t>
  </si>
  <si>
    <t>Expected Ultimate Unlimited Loss</t>
  </si>
  <si>
    <t>% Limited</t>
  </si>
  <si>
    <t>Loss Trend</t>
  </si>
  <si>
    <t>LDF</t>
  </si>
  <si>
    <t>Expected Ultimate Limited Loss</t>
  </si>
  <si>
    <t>Trend from 2017 to 2019 is 2 years, and so on.</t>
  </si>
  <si>
    <t>Historical Capped Losses</t>
  </si>
  <si>
    <t>Mod =</t>
  </si>
  <si>
    <t>Calculate the expected reported losses and experience modification factor</t>
  </si>
  <si>
    <t>Expected reported loss =</t>
  </si>
  <si>
    <t>Source Text</t>
  </si>
  <si>
    <t>The following table which represents a Lee diagram for</t>
  </si>
  <si>
    <t>expected unlimited losses:</t>
  </si>
  <si>
    <t>CDF</t>
  </si>
  <si>
    <t>All risks have the same expected unlimited loss of $1,000.</t>
  </si>
  <si>
    <t>Determine the probability of a loss</t>
  </si>
  <si>
    <t>Since we only have information about unlimited losses we will use the Table M entry ratio.</t>
  </si>
  <si>
    <t>Table M Entry Ratio = actual losses / expected unlimited losses.</t>
  </si>
  <si>
    <t>So an entry ratio of 1.000 corresponds to a loss of $1,000 and</t>
  </si>
  <si>
    <t>an entry ratio of 2.70 corresponds to a loss of $2,700 for example.</t>
  </si>
  <si>
    <t>a.) Calculate the probability of a loss of exactly $2,700.</t>
  </si>
  <si>
    <t>The difference in CDF between the preceding entry ratio and 2.70 is</t>
  </si>
  <si>
    <t>So there is a 30% chance of a loss of exactly $2,700.</t>
  </si>
  <si>
    <t>The following information, construct the Table M charges and</t>
  </si>
  <si>
    <t>Table M savings for loss ratios between 0% and 150%, using</t>
  </si>
  <si>
    <t>increments of 10%.</t>
  </si>
  <si>
    <t xml:space="preserve">You may assume all risks are similarly sized with the same </t>
  </si>
  <si>
    <t>expected loss ratio.</t>
  </si>
  <si>
    <t>Table M Entry Ratio = actual loss / expected unlimited loss</t>
  </si>
  <si>
    <t>Fisher.LtdTableM</t>
  </si>
  <si>
    <t>Construct a Limited Table M</t>
  </si>
  <si>
    <t>The following information, construct the Limited Table M charges and</t>
  </si>
  <si>
    <t>Limited Table M savings for loss ratios between 0% and 150%, using</t>
  </si>
  <si>
    <t>expected loss ratio and per-occurrence and aggregate limits.</t>
  </si>
  <si>
    <r>
      <t>φ</t>
    </r>
    <r>
      <rPr>
        <vertAlign val="subscript"/>
        <sz val="11"/>
        <color theme="1"/>
        <rFont val="Calibri"/>
        <family val="2"/>
      </rPr>
      <t>D</t>
    </r>
    <r>
      <rPr>
        <sz val="11"/>
        <color theme="1"/>
        <rFont val="Calibri"/>
        <family val="2"/>
      </rPr>
      <t>(r)</t>
    </r>
  </si>
  <si>
    <r>
      <t>ψ</t>
    </r>
    <r>
      <rPr>
        <vertAlign val="subscript"/>
        <sz val="11"/>
        <color theme="1"/>
        <rFont val="Calibri"/>
        <family val="2"/>
      </rPr>
      <t>D</t>
    </r>
    <r>
      <rPr>
        <sz val="11"/>
        <color theme="1"/>
        <rFont val="Calibri"/>
        <family val="2"/>
      </rPr>
      <t>(r)</t>
    </r>
  </si>
  <si>
    <t>Limited Table M Entry Ratio = actual limited loss / expected limited loss</t>
  </si>
  <si>
    <t>The following information, construct the Table L charges and</t>
  </si>
  <si>
    <t>Table L savings for loss ratios between 0% and 150%, using</t>
  </si>
  <si>
    <t>Table L Entry Ratio = actual limited loss / expected unlimited loss</t>
  </si>
  <si>
    <r>
      <t>φ</t>
    </r>
    <r>
      <rPr>
        <vertAlign val="subscript"/>
        <sz val="11"/>
        <color theme="1"/>
        <rFont val="Calibri"/>
        <family val="2"/>
      </rPr>
      <t>D</t>
    </r>
    <r>
      <rPr>
        <sz val="11"/>
        <color theme="1"/>
        <rFont val="Calibri"/>
        <family val="2"/>
      </rPr>
      <t>(r) - k</t>
    </r>
  </si>
  <si>
    <t>Fisher_RiskSharing1</t>
  </si>
  <si>
    <t>Fisher_OtherLSPlans1</t>
  </si>
  <si>
    <t>Fisher_RiskSharing2</t>
  </si>
  <si>
    <t>Fisher_AggExcess1</t>
  </si>
  <si>
    <t>Fisher_OtherLSPlans2</t>
  </si>
  <si>
    <t>Fisher_OtherLSPlans3</t>
  </si>
  <si>
    <t>Fisher_OtherLSPlans4</t>
  </si>
  <si>
    <t>Fisher_Visualization1</t>
  </si>
  <si>
    <t>Fisher_Visualization2</t>
  </si>
  <si>
    <t>Fisher_Visualization3</t>
  </si>
  <si>
    <t>Fisher_Visualization4</t>
  </si>
  <si>
    <t>Fisher_Visualization5</t>
  </si>
  <si>
    <t>Fisher_Visualization6</t>
  </si>
  <si>
    <t>Fisher_Visualization7</t>
  </si>
  <si>
    <t>Fisher_Visualization8</t>
  </si>
  <si>
    <t>Fisher_Visualization9</t>
  </si>
  <si>
    <t>Fisher_TableM1</t>
  </si>
  <si>
    <t>Fisher_TableM2</t>
  </si>
  <si>
    <t>Fisher_TableM3</t>
  </si>
  <si>
    <t>Fisher_TableM4</t>
  </si>
  <si>
    <t>Fisher_TableM5</t>
  </si>
  <si>
    <t>Fisher_TableM6</t>
  </si>
  <si>
    <t>Fisher_LtdTableM1</t>
  </si>
  <si>
    <t>Fisher_TableL1</t>
  </si>
  <si>
    <t>Fisher_CaseStudy1</t>
  </si>
  <si>
    <t>Fisher_TableL2</t>
  </si>
  <si>
    <t>Fisher_TableL3</t>
  </si>
  <si>
    <t>Fisher_TableL4</t>
  </si>
  <si>
    <t>Fisher_TableL5</t>
  </si>
  <si>
    <t>Fisher_CaseStudy2</t>
  </si>
  <si>
    <t>Fisher_CaseStudy3</t>
  </si>
  <si>
    <t>Fisher_CaseStudy4</t>
  </si>
  <si>
    <t>Fisher_CaseStudy5</t>
  </si>
  <si>
    <t>Fisher_CaseStudy6</t>
  </si>
  <si>
    <t>Fisher_CaseStudy7</t>
  </si>
  <si>
    <t>Fisher_CaseStudy8</t>
  </si>
  <si>
    <t>Fisher_CaseStudy9</t>
  </si>
  <si>
    <t>CAS Sample IQ</t>
  </si>
  <si>
    <t xml:space="preserve">An insured is deciding between purchasing a large deductible plan or a </t>
  </si>
  <si>
    <t>retrospective rating plan. The following information is provided:</t>
  </si>
  <si>
    <t>Expected Annual Loss Amount before Modification</t>
  </si>
  <si>
    <t>Annual Loss Trend</t>
  </si>
  <si>
    <t>Limited LDF to Ultimate (18-Ult)</t>
  </si>
  <si>
    <t>Limited LDF to Ultimate (30-Ult)</t>
  </si>
  <si>
    <t>Limited LDF to Ultimate (42-Ult)</t>
  </si>
  <si>
    <t>Excess Ratio @ $100,000</t>
  </si>
  <si>
    <t>Actual Losses Capped @ $100,000 - 2nd prior policy period</t>
  </si>
  <si>
    <t>Actual Losses Capped @ $100,000 - 3rd prior policy period</t>
  </si>
  <si>
    <t>Actual Losses Capped @ $100,000 - 4th prior policy period</t>
  </si>
  <si>
    <t>Credibility</t>
  </si>
  <si>
    <t>Loss Adjustment Expenses (% of Loss)</t>
  </si>
  <si>
    <t>Premium Tax (% of Premium)</t>
  </si>
  <si>
    <t>Commission (% of Premium)</t>
  </si>
  <si>
    <t>Fixed Overhead Expenses</t>
  </si>
  <si>
    <t>Underwriting Profit (% of Excess Loss)</t>
  </si>
  <si>
    <t>None</t>
  </si>
  <si>
    <t>Minimum Ratable Loss</t>
  </si>
  <si>
    <t>The experience modification is based on three years of reported losses with</t>
  </si>
  <si>
    <t>individual claims capped at $100,000.</t>
  </si>
  <si>
    <t>a.) Calculate the experience modified expected losses for the account.</t>
  </si>
  <si>
    <t>b.) Calculate the premium under a large dollar deductible plan for the account.</t>
  </si>
  <si>
    <t>c.) Calculate the premium under a retrospective rating plan for the account.</t>
  </si>
  <si>
    <t>d.) Describe two reasons why the insured might choose the policy with the</t>
  </si>
  <si>
    <t>higher premium.</t>
  </si>
  <si>
    <t>Compare and constrast an LDD plan and a retrospectively rated plan.</t>
  </si>
  <si>
    <t>The experience period is the latest three years lagged by one year.</t>
  </si>
  <si>
    <t>Period</t>
  </si>
  <si>
    <t>2nd</t>
  </si>
  <si>
    <t>3rd</t>
  </si>
  <si>
    <t>4th</t>
  </si>
  <si>
    <t>E[A]</t>
  </si>
  <si>
    <t>E[AD]</t>
  </si>
  <si>
    <t>Detrend</t>
  </si>
  <si>
    <t>De-LDF</t>
  </si>
  <si>
    <t>Actual Ratable Losses</t>
  </si>
  <si>
    <t>Experience Mod = [ Actual Ratable Losses * Credibility + Expected Ratable Losses * (1 - Credibility) ] / Expected Ratable Losses</t>
  </si>
  <si>
    <t>Experience Modified Expected Loss = Experience Mod * Expected Annual Loss Amount before Modification</t>
  </si>
  <si>
    <t>E[AD] =</t>
  </si>
  <si>
    <t>Experience modified expected loss * (1 - loss elimination ratio)</t>
  </si>
  <si>
    <t>This is the expected deductible layer loss</t>
  </si>
  <si>
    <t>Expected experience modified loss in excess of the deductible</t>
  </si>
  <si>
    <t>LAE (paid on all losses as LDD administers all claims)</t>
  </si>
  <si>
    <t>Fixed expense</t>
  </si>
  <si>
    <t>UW Profit</t>
  </si>
  <si>
    <t>Basic Premium = Expenses + UW Profit + converted Excess Losses</t>
  </si>
  <si>
    <t>Since we're not told the plan is balanced we must work from first principles.</t>
  </si>
  <si>
    <t>Fixed Expenses</t>
  </si>
  <si>
    <t>Expected Retrospective Premium = (Basic Premium + converted expected ratable loss) * Tax Multiplier</t>
  </si>
  <si>
    <t xml:space="preserve">Expected ratable loss </t>
  </si>
  <si>
    <t>Expected Retrospective Premium</t>
  </si>
  <si>
    <t>The LDD premium plus the expected deductible payments is</t>
  </si>
  <si>
    <t>So the retrospective rating plan is more expensive.</t>
  </si>
  <si>
    <t>The insured might choose the retrospective rating plan even though it is more expensive because:</t>
  </si>
  <si>
    <t>1.) The insured may have made changes to their safety procedures so they may expect lower losses</t>
  </si>
  <si>
    <t>in the future. The higher retrospective premiums would eventually adjust downward, saving the company money.</t>
  </si>
  <si>
    <t>2.) The insured may be in a type of business which generates a large number of very small losses.</t>
  </si>
  <si>
    <t>A large dollar deductible policy would require the insured to pay most of their losses.</t>
  </si>
  <si>
    <t>Fisher_CaseStudy10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</si>
</sst>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00000"/>
    <numFmt numFmtId="165" formatCode="0.00000"/>
    <numFmt numFmtId="166" formatCode="0.0000"/>
    <numFmt numFmtId="167" formatCode="0.000"/>
    <numFmt numFmtId="168" formatCode="0.000000000"/>
    <numFmt numFmtId="169" formatCode="0.0%"/>
    <numFmt numFmtId="170" formatCode="#,##0.000"/>
    <numFmt numFmtId="171" formatCode="&quot;$&quot;#,##0.00"/>
    <numFmt numFmtId="172" formatCode="&quot;$&quot;#,##0"/>
    <numFmt numFmtId="173" formatCode="0.0000%"/>
    <numFmt numFmtId="174" formatCode="&quot;$&quot;#,##0.0000_);[Red]\(&quot;$&quot;#,##0.0000\)"/>
    <numFmt numFmtId="175" formatCode="0.0"/>
    <numFmt numFmtId="176" formatCode="[$-409]mmmm\ d\,\ yyyy;@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sz val="8"/>
      <name val="Calibri"/>
      <family val="2"/>
      <scheme val="minor"/>
    </font>
    <font>
      <b/>
      <i/>
      <u/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</font>
    <font>
      <vertAlign val="superscript"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i/>
      <u/>
      <sz val="11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514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0" xfId="1" applyFill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5" fillId="2" borderId="3" xfId="0" applyFont="1" applyFill="1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1" fillId="2" borderId="5" xfId="0" applyFont="1" applyFill="1" applyBorder="1" applyProtection="1">
      <protection locked="0"/>
    </xf>
    <xf numFmtId="0" fontId="0" fillId="2" borderId="6" xfId="0" applyFill="1" applyBorder="1" applyProtection="1">
      <protection locked="0"/>
    </xf>
    <xf numFmtId="3" fontId="0" fillId="2" borderId="5" xfId="0" applyNumberFormat="1" applyFill="1" applyBorder="1" applyProtection="1">
      <protection locked="0"/>
    </xf>
    <xf numFmtId="3" fontId="0" fillId="2" borderId="6" xfId="0" applyNumberFormat="1" applyFill="1" applyBorder="1" applyProtection="1">
      <protection locked="0"/>
    </xf>
    <xf numFmtId="3" fontId="1" fillId="2" borderId="5" xfId="0" applyNumberFormat="1" applyFont="1" applyFill="1" applyBorder="1" applyProtection="1">
      <protection locked="0"/>
    </xf>
    <xf numFmtId="0" fontId="0" fillId="2" borderId="5" xfId="0" applyFill="1" applyBorder="1"/>
    <xf numFmtId="0" fontId="0" fillId="2" borderId="7" xfId="0" applyFill="1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7" fontId="0" fillId="0" borderId="14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167" fontId="0" fillId="0" borderId="16" xfId="0" applyNumberFormat="1" applyBorder="1" applyAlignment="1">
      <alignment horizontal="center"/>
    </xf>
    <xf numFmtId="0" fontId="0" fillId="0" borderId="17" xfId="0" applyBorder="1" applyAlignment="1">
      <alignment horizontal="center"/>
    </xf>
    <xf numFmtId="167" fontId="0" fillId="0" borderId="18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167" fontId="0" fillId="0" borderId="19" xfId="0" applyNumberFormat="1" applyBorder="1" applyAlignment="1">
      <alignment horizontal="center"/>
    </xf>
    <xf numFmtId="167" fontId="0" fillId="0" borderId="20" xfId="0" applyNumberFormat="1" applyBorder="1" applyAlignment="1">
      <alignment horizontal="center"/>
    </xf>
    <xf numFmtId="167" fontId="0" fillId="0" borderId="21" xfId="0" applyNumberFormat="1" applyBorder="1" applyAlignment="1">
      <alignment horizontal="center"/>
    </xf>
    <xf numFmtId="166" fontId="0" fillId="3" borderId="0" xfId="0" applyNumberFormat="1" applyFill="1" applyAlignment="1">
      <alignment horizontal="center"/>
    </xf>
    <xf numFmtId="166" fontId="0" fillId="0" borderId="0" xfId="0" applyNumberFormat="1" applyAlignment="1">
      <alignment horizontal="center"/>
    </xf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3" fontId="0" fillId="0" borderId="0" xfId="0" applyNumberFormat="1" applyAlignment="1">
      <alignment horizontal="center"/>
    </xf>
    <xf numFmtId="0" fontId="0" fillId="2" borderId="0" xfId="0" applyFill="1"/>
    <xf numFmtId="0" fontId="0" fillId="2" borderId="6" xfId="0" applyFill="1" applyBorder="1"/>
    <xf numFmtId="0" fontId="0" fillId="2" borderId="0" xfId="0" applyFill="1" applyAlignment="1">
      <alignment horizontal="centerContinuous"/>
    </xf>
    <xf numFmtId="0" fontId="0" fillId="2" borderId="0" xfId="0" applyFill="1" applyAlignment="1">
      <alignment horizontal="center"/>
    </xf>
    <xf numFmtId="3" fontId="0" fillId="2" borderId="0" xfId="0" applyNumberFormat="1" applyFill="1" applyAlignment="1">
      <alignment horizontal="center"/>
    </xf>
    <xf numFmtId="0" fontId="0" fillId="2" borderId="22" xfId="0" applyFill="1" applyBorder="1"/>
    <xf numFmtId="0" fontId="0" fillId="2" borderId="23" xfId="0" applyFill="1" applyBorder="1"/>
    <xf numFmtId="0" fontId="0" fillId="2" borderId="12" xfId="0" applyFill="1" applyBorder="1"/>
    <xf numFmtId="0" fontId="0" fillId="2" borderId="13" xfId="0" applyFill="1" applyBorder="1" applyAlignment="1">
      <alignment horizontal="centerContinuous"/>
    </xf>
    <xf numFmtId="0" fontId="0" fillId="2" borderId="14" xfId="0" applyFill="1" applyBorder="1" applyAlignment="1">
      <alignment horizontal="center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3" fontId="0" fillId="2" borderId="13" xfId="0" applyNumberFormat="1" applyFill="1" applyBorder="1" applyAlignment="1">
      <alignment horizontal="center"/>
    </xf>
    <xf numFmtId="3" fontId="0" fillId="2" borderId="14" xfId="0" applyNumberForma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3" fontId="0" fillId="2" borderId="16" xfId="0" applyNumberForma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0" fontId="0" fillId="2" borderId="12" xfId="0" applyFill="1" applyBorder="1" applyAlignment="1">
      <alignment horizontal="centerContinuous"/>
    </xf>
    <xf numFmtId="0" fontId="0" fillId="2" borderId="14" xfId="0" applyFill="1" applyBorder="1" applyAlignment="1">
      <alignment horizontal="centerContinuous"/>
    </xf>
    <xf numFmtId="3" fontId="0" fillId="2" borderId="12" xfId="0" applyNumberFormat="1" applyFill="1" applyBorder="1" applyAlignment="1">
      <alignment horizontal="center"/>
    </xf>
    <xf numFmtId="3" fontId="0" fillId="2" borderId="15" xfId="0" applyNumberFormat="1" applyFill="1" applyBorder="1" applyAlignment="1">
      <alignment horizontal="center"/>
    </xf>
    <xf numFmtId="3" fontId="0" fillId="2" borderId="17" xfId="0" applyNumberFormat="1" applyFill="1" applyBorder="1" applyAlignment="1">
      <alignment horizontal="center"/>
    </xf>
    <xf numFmtId="6" fontId="0" fillId="0" borderId="0" xfId="0" applyNumberFormat="1"/>
    <xf numFmtId="0" fontId="1" fillId="2" borderId="5" xfId="0" applyFont="1" applyFill="1" applyBorder="1"/>
    <xf numFmtId="0" fontId="0" fillId="2" borderId="13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6" fontId="0" fillId="2" borderId="16" xfId="0" applyNumberFormat="1" applyFill="1" applyBorder="1" applyAlignment="1">
      <alignment horizontal="center"/>
    </xf>
    <xf numFmtId="6" fontId="0" fillId="2" borderId="18" xfId="0" applyNumberFormat="1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6" fontId="0" fillId="2" borderId="20" xfId="0" applyNumberFormat="1" applyFill="1" applyBorder="1" applyAlignment="1">
      <alignment horizontal="center"/>
    </xf>
    <xf numFmtId="6" fontId="0" fillId="2" borderId="21" xfId="0" applyNumberFormat="1" applyFill="1" applyBorder="1" applyAlignment="1">
      <alignment horizontal="center"/>
    </xf>
    <xf numFmtId="2" fontId="0" fillId="2" borderId="20" xfId="0" applyNumberFormat="1" applyFill="1" applyBorder="1" applyAlignment="1">
      <alignment horizontal="center"/>
    </xf>
    <xf numFmtId="2" fontId="0" fillId="2" borderId="21" xfId="0" applyNumberForma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66" fontId="0" fillId="0" borderId="16" xfId="0" applyNumberFormat="1" applyBorder="1" applyAlignment="1">
      <alignment horizontal="center"/>
    </xf>
    <xf numFmtId="166" fontId="0" fillId="0" borderId="18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166" fontId="0" fillId="0" borderId="20" xfId="0" applyNumberFormat="1" applyBorder="1" applyAlignment="1">
      <alignment horizontal="center"/>
    </xf>
    <xf numFmtId="166" fontId="0" fillId="0" borderId="21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3" fontId="0" fillId="0" borderId="16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18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1" xfId="0" applyBorder="1" applyAlignment="1">
      <alignment horizontal="center"/>
    </xf>
    <xf numFmtId="3" fontId="0" fillId="0" borderId="20" xfId="0" applyNumberFormat="1" applyBorder="1" applyAlignment="1">
      <alignment horizontal="center"/>
    </xf>
    <xf numFmtId="3" fontId="0" fillId="0" borderId="21" xfId="0" applyNumberFormat="1" applyBorder="1" applyAlignment="1">
      <alignment horizontal="center"/>
    </xf>
    <xf numFmtId="0" fontId="0" fillId="0" borderId="12" xfId="0" applyBorder="1"/>
    <xf numFmtId="0" fontId="0" fillId="0" borderId="13" xfId="0" applyBorder="1" applyAlignment="1">
      <alignment horizontal="centerContinuous"/>
    </xf>
    <xf numFmtId="0" fontId="0" fillId="0" borderId="14" xfId="0" applyBorder="1" applyAlignment="1">
      <alignment horizontal="centerContinuous"/>
    </xf>
    <xf numFmtId="0" fontId="0" fillId="0" borderId="19" xfId="0" applyBorder="1"/>
    <xf numFmtId="0" fontId="0" fillId="0" borderId="20" xfId="0" applyBorder="1" applyAlignment="1">
      <alignment horizontal="center"/>
    </xf>
    <xf numFmtId="0" fontId="0" fillId="2" borderId="19" xfId="0" applyFill="1" applyBorder="1"/>
    <xf numFmtId="3" fontId="0" fillId="2" borderId="20" xfId="0" applyNumberFormat="1" applyFill="1" applyBorder="1" applyAlignment="1">
      <alignment horizontal="center"/>
    </xf>
    <xf numFmtId="3" fontId="0" fillId="2" borderId="21" xfId="0" applyNumberFormat="1" applyFill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9" fillId="0" borderId="15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0" fillId="2" borderId="22" xfId="0" applyFill="1" applyBorder="1" applyProtection="1">
      <protection locked="0"/>
    </xf>
    <xf numFmtId="0" fontId="0" fillId="2" borderId="3" xfId="0" applyFill="1" applyBorder="1"/>
    <xf numFmtId="0" fontId="0" fillId="2" borderId="16" xfId="0" applyFill="1" applyBorder="1" applyAlignment="1">
      <alignment horizontal="centerContinuous"/>
    </xf>
    <xf numFmtId="0" fontId="0" fillId="2" borderId="20" xfId="0" applyFill="1" applyBorder="1"/>
    <xf numFmtId="0" fontId="0" fillId="2" borderId="20" xfId="0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0" borderId="14" xfId="0" applyBorder="1"/>
    <xf numFmtId="0" fontId="0" fillId="0" borderId="18" xfId="0" applyBorder="1"/>
    <xf numFmtId="0" fontId="0" fillId="2" borderId="8" xfId="0" applyFill="1" applyBorder="1" applyAlignment="1" applyProtection="1">
      <alignment horizontal="center"/>
      <protection locked="0"/>
    </xf>
    <xf numFmtId="0" fontId="0" fillId="2" borderId="11" xfId="0" applyFill="1" applyBorder="1" applyAlignment="1">
      <alignment horizontal="center"/>
    </xf>
    <xf numFmtId="6" fontId="0" fillId="2" borderId="19" xfId="0" applyNumberFormat="1" applyFill="1" applyBorder="1" applyAlignment="1">
      <alignment horizontal="center"/>
    </xf>
    <xf numFmtId="0" fontId="0" fillId="2" borderId="13" xfId="0" applyFill="1" applyBorder="1"/>
    <xf numFmtId="0" fontId="0" fillId="2" borderId="14" xfId="0" applyFill="1" applyBorder="1"/>
    <xf numFmtId="0" fontId="0" fillId="2" borderId="16" xfId="0" applyFill="1" applyBorder="1"/>
    <xf numFmtId="0" fontId="0" fillId="2" borderId="1" xfId="0" applyFill="1" applyBorder="1"/>
    <xf numFmtId="0" fontId="0" fillId="2" borderId="18" xfId="0" applyFill="1" applyBorder="1"/>
    <xf numFmtId="0" fontId="1" fillId="2" borderId="7" xfId="0" applyFont="1" applyFill="1" applyBorder="1"/>
    <xf numFmtId="0" fontId="0" fillId="3" borderId="0" xfId="0" applyFill="1" applyAlignment="1">
      <alignment horizontal="center"/>
    </xf>
    <xf numFmtId="9" fontId="0" fillId="2" borderId="0" xfId="0" applyNumberFormat="1" applyFill="1" applyAlignment="1">
      <alignment horizontal="center"/>
    </xf>
    <xf numFmtId="3" fontId="0" fillId="2" borderId="19" xfId="0" applyNumberFormat="1" applyFill="1" applyBorder="1" applyAlignment="1">
      <alignment horizontal="center"/>
    </xf>
    <xf numFmtId="9" fontId="0" fillId="2" borderId="12" xfId="0" applyNumberFormat="1" applyFill="1" applyBorder="1" applyAlignment="1">
      <alignment horizontal="center"/>
    </xf>
    <xf numFmtId="9" fontId="0" fillId="2" borderId="13" xfId="0" applyNumberFormat="1" applyFill="1" applyBorder="1" applyAlignment="1">
      <alignment horizontal="center"/>
    </xf>
    <xf numFmtId="9" fontId="0" fillId="2" borderId="14" xfId="0" applyNumberFormat="1" applyFill="1" applyBorder="1" applyAlignment="1">
      <alignment horizontal="center"/>
    </xf>
    <xf numFmtId="9" fontId="0" fillId="2" borderId="15" xfId="0" applyNumberFormat="1" applyFill="1" applyBorder="1" applyAlignment="1">
      <alignment horizontal="center"/>
    </xf>
    <xf numFmtId="9" fontId="0" fillId="2" borderId="16" xfId="0" applyNumberFormat="1" applyFill="1" applyBorder="1" applyAlignment="1">
      <alignment horizontal="center"/>
    </xf>
    <xf numFmtId="9" fontId="0" fillId="2" borderId="17" xfId="0" applyNumberFormat="1" applyFill="1" applyBorder="1" applyAlignment="1">
      <alignment horizontal="center"/>
    </xf>
    <xf numFmtId="9" fontId="0" fillId="2" borderId="1" xfId="0" applyNumberFormat="1" applyFill="1" applyBorder="1" applyAlignment="1">
      <alignment horizontal="center"/>
    </xf>
    <xf numFmtId="9" fontId="0" fillId="2" borderId="18" xfId="0" applyNumberFormat="1" applyFill="1" applyBorder="1" applyAlignment="1">
      <alignment horizontal="center"/>
    </xf>
    <xf numFmtId="168" fontId="0" fillId="0" borderId="15" xfId="0" applyNumberFormat="1" applyBorder="1" applyAlignment="1">
      <alignment horizontal="center"/>
    </xf>
    <xf numFmtId="168" fontId="0" fillId="0" borderId="0" xfId="0" applyNumberFormat="1" applyAlignment="1">
      <alignment horizontal="center"/>
    </xf>
    <xf numFmtId="168" fontId="0" fillId="0" borderId="16" xfId="0" applyNumberFormat="1" applyBorder="1" applyAlignment="1">
      <alignment horizontal="center"/>
    </xf>
    <xf numFmtId="168" fontId="0" fillId="0" borderId="17" xfId="0" applyNumberFormat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168" fontId="0" fillId="0" borderId="18" xfId="0" applyNumberFormat="1" applyBorder="1" applyAlignment="1">
      <alignment horizontal="center"/>
    </xf>
    <xf numFmtId="0" fontId="0" fillId="0" borderId="20" xfId="0" applyBorder="1"/>
    <xf numFmtId="0" fontId="0" fillId="0" borderId="21" xfId="0" applyBorder="1"/>
    <xf numFmtId="0" fontId="0" fillId="0" borderId="8" xfId="0" applyBorder="1"/>
    <xf numFmtId="164" fontId="0" fillId="0" borderId="15" xfId="0" applyNumberFormat="1" applyBorder="1"/>
    <xf numFmtId="164" fontId="0" fillId="0" borderId="0" xfId="0" applyNumberFormat="1"/>
    <xf numFmtId="164" fontId="0" fillId="0" borderId="16" xfId="0" applyNumberFormat="1" applyBorder="1"/>
    <xf numFmtId="164" fontId="0" fillId="0" borderId="17" xfId="0" applyNumberFormat="1" applyBorder="1"/>
    <xf numFmtId="164" fontId="0" fillId="0" borderId="1" xfId="0" applyNumberFormat="1" applyBorder="1"/>
    <xf numFmtId="164" fontId="0" fillId="0" borderId="18" xfId="0" applyNumberFormat="1" applyBorder="1"/>
    <xf numFmtId="165" fontId="0" fillId="0" borderId="13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2" borderId="21" xfId="0" applyFill="1" applyBorder="1" applyAlignment="1" applyProtection="1">
      <alignment horizontal="center"/>
      <protection locked="0"/>
    </xf>
    <xf numFmtId="3" fontId="0" fillId="0" borderId="13" xfId="0" applyNumberFormat="1" applyBorder="1" applyAlignment="1">
      <alignment horizontal="center"/>
    </xf>
    <xf numFmtId="169" fontId="0" fillId="0" borderId="14" xfId="2" applyNumberFormat="1" applyFont="1" applyBorder="1" applyAlignment="1">
      <alignment horizontal="center"/>
    </xf>
    <xf numFmtId="169" fontId="0" fillId="0" borderId="16" xfId="2" applyNumberFormat="1" applyFont="1" applyBorder="1" applyAlignment="1">
      <alignment horizontal="center"/>
    </xf>
    <xf numFmtId="169" fontId="0" fillId="0" borderId="18" xfId="2" applyNumberFormat="1" applyFon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169" fontId="0" fillId="0" borderId="19" xfId="2" applyNumberFormat="1" applyFont="1" applyBorder="1" applyAlignment="1">
      <alignment horizontal="center"/>
    </xf>
    <xf numFmtId="169" fontId="0" fillId="0" borderId="20" xfId="2" applyNumberFormat="1" applyFont="1" applyBorder="1" applyAlignment="1">
      <alignment horizontal="center"/>
    </xf>
    <xf numFmtId="169" fontId="0" fillId="0" borderId="21" xfId="2" applyNumberFormat="1" applyFont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2" fontId="0" fillId="2" borderId="17" xfId="0" applyNumberFormat="1" applyFill="1" applyBorder="1" applyAlignment="1">
      <alignment horizontal="center"/>
    </xf>
    <xf numFmtId="2" fontId="0" fillId="2" borderId="18" xfId="0" applyNumberFormat="1" applyFill="1" applyBorder="1" applyAlignment="1">
      <alignment horizontal="center"/>
    </xf>
    <xf numFmtId="0" fontId="0" fillId="2" borderId="0" xfId="0" applyFill="1" applyAlignment="1">
      <alignment horizontal="left"/>
    </xf>
    <xf numFmtId="0" fontId="0" fillId="2" borderId="22" xfId="0" applyFill="1" applyBorder="1" applyAlignment="1">
      <alignment horizontal="left"/>
    </xf>
    <xf numFmtId="0" fontId="0" fillId="2" borderId="15" xfId="0" applyFill="1" applyBorder="1" applyAlignment="1">
      <alignment horizontal="centerContinuous"/>
    </xf>
    <xf numFmtId="0" fontId="0" fillId="2" borderId="8" xfId="0" applyFill="1" applyBorder="1" applyAlignment="1">
      <alignment horizontal="center"/>
    </xf>
    <xf numFmtId="3" fontId="0" fillId="2" borderId="8" xfId="0" applyNumberForma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 wrapText="1"/>
    </xf>
    <xf numFmtId="0" fontId="1" fillId="2" borderId="1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18" xfId="0" applyFont="1" applyFill="1" applyBorder="1" applyAlignment="1">
      <alignment horizontal="center" wrapText="1"/>
    </xf>
    <xf numFmtId="2" fontId="0" fillId="2" borderId="14" xfId="0" applyNumberFormat="1" applyFill="1" applyBorder="1" applyAlignment="1">
      <alignment horizontal="center"/>
    </xf>
    <xf numFmtId="0" fontId="1" fillId="2" borderId="19" xfId="0" applyFont="1" applyFill="1" applyBorder="1" applyAlignment="1">
      <alignment horizontal="center" wrapText="1"/>
    </xf>
    <xf numFmtId="0" fontId="1" fillId="2" borderId="21" xfId="0" applyFont="1" applyFill="1" applyBorder="1" applyAlignment="1">
      <alignment horizontal="center" wrapText="1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2" fontId="0" fillId="2" borderId="19" xfId="0" applyNumberFormat="1" applyFill="1" applyBorder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Continuous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3" fontId="0" fillId="0" borderId="0" xfId="0" applyNumberFormat="1" applyAlignment="1" applyProtection="1">
      <alignment horizontal="left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170" fontId="0" fillId="0" borderId="14" xfId="0" applyNumberFormat="1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170" fontId="0" fillId="0" borderId="16" xfId="0" applyNumberFormat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70" fontId="0" fillId="0" borderId="18" xfId="0" applyNumberForma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170" fontId="0" fillId="0" borderId="19" xfId="0" applyNumberFormat="1" applyBorder="1" applyAlignment="1" applyProtection="1">
      <alignment horizontal="center"/>
      <protection locked="0"/>
    </xf>
    <xf numFmtId="170" fontId="0" fillId="0" borderId="20" xfId="0" applyNumberFormat="1" applyBorder="1" applyAlignment="1" applyProtection="1">
      <alignment horizontal="center"/>
      <protection locked="0"/>
    </xf>
    <xf numFmtId="170" fontId="0" fillId="0" borderId="21" xfId="0" applyNumberFormat="1" applyBorder="1" applyAlignment="1" applyProtection="1">
      <alignment horizontal="center"/>
      <protection locked="0"/>
    </xf>
    <xf numFmtId="3" fontId="0" fillId="0" borderId="14" xfId="0" applyNumberFormat="1" applyBorder="1" applyAlignment="1" applyProtection="1">
      <alignment horizontal="center"/>
      <protection locked="0"/>
    </xf>
    <xf numFmtId="3" fontId="0" fillId="0" borderId="16" xfId="0" applyNumberFormat="1" applyBorder="1" applyAlignment="1" applyProtection="1">
      <alignment horizontal="center"/>
      <protection locked="0"/>
    </xf>
    <xf numFmtId="3" fontId="0" fillId="0" borderId="18" xfId="0" applyNumberFormat="1" applyBorder="1" applyAlignment="1" applyProtection="1">
      <alignment horizontal="center"/>
      <protection locked="0"/>
    </xf>
    <xf numFmtId="3" fontId="0" fillId="0" borderId="19" xfId="0" applyNumberFormat="1" applyBorder="1" applyAlignment="1" applyProtection="1">
      <alignment horizontal="center"/>
      <protection locked="0"/>
    </xf>
    <xf numFmtId="3" fontId="0" fillId="0" borderId="20" xfId="0" applyNumberFormat="1" applyBorder="1" applyAlignment="1" applyProtection="1">
      <alignment horizontal="center"/>
      <protection locked="0"/>
    </xf>
    <xf numFmtId="3" fontId="0" fillId="0" borderId="21" xfId="0" applyNumberFormat="1" applyBorder="1" applyAlignment="1" applyProtection="1">
      <alignment horizontal="center"/>
      <protection locked="0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9" fontId="0" fillId="2" borderId="9" xfId="0" applyNumberForma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9" fontId="0" fillId="2" borderId="11" xfId="0" applyNumberFormat="1" applyFill="1" applyBorder="1" applyAlignment="1">
      <alignment horizontal="center"/>
    </xf>
    <xf numFmtId="0" fontId="0" fillId="2" borderId="8" xfId="0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169" fontId="0" fillId="0" borderId="0" xfId="2" applyNumberFormat="1" applyFont="1" applyProtection="1">
      <protection locked="0"/>
    </xf>
    <xf numFmtId="9" fontId="0" fillId="0" borderId="0" xfId="0" applyNumberFormat="1" applyProtection="1">
      <protection locked="0"/>
    </xf>
    <xf numFmtId="169" fontId="0" fillId="3" borderId="0" xfId="0" applyNumberFormat="1" applyFill="1" applyAlignment="1" applyProtection="1">
      <alignment horizontal="center"/>
      <protection locked="0"/>
    </xf>
    <xf numFmtId="9" fontId="0" fillId="2" borderId="8" xfId="0" applyNumberFormat="1" applyFill="1" applyBorder="1" applyAlignment="1">
      <alignment horizontal="center"/>
    </xf>
    <xf numFmtId="0" fontId="1" fillId="2" borderId="0" xfId="0" applyFont="1" applyFill="1" applyAlignment="1">
      <alignment horizontal="center" wrapText="1"/>
    </xf>
    <xf numFmtId="9" fontId="0" fillId="2" borderId="0" xfId="2" applyFont="1" applyFill="1" applyBorder="1" applyAlignment="1" applyProtection="1">
      <alignment horizontal="center"/>
    </xf>
    <xf numFmtId="0" fontId="6" fillId="2" borderId="0" xfId="0" applyFont="1" applyFill="1" applyAlignment="1">
      <alignment horizontal="centerContinuous"/>
    </xf>
    <xf numFmtId="0" fontId="0" fillId="2" borderId="6" xfId="0" applyFill="1" applyBorder="1" applyAlignment="1">
      <alignment horizontal="centerContinuous"/>
    </xf>
    <xf numFmtId="0" fontId="1" fillId="2" borderId="18" xfId="0" applyFon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3" fontId="0" fillId="2" borderId="10" xfId="0" applyNumberFormat="1" applyFill="1" applyBorder="1" applyAlignment="1">
      <alignment horizontal="center"/>
    </xf>
    <xf numFmtId="9" fontId="0" fillId="2" borderId="10" xfId="0" applyNumberFormat="1" applyFill="1" applyBorder="1" applyAlignment="1">
      <alignment horizontal="center"/>
    </xf>
    <xf numFmtId="9" fontId="0" fillId="2" borderId="11" xfId="2" applyFont="1" applyFill="1" applyBorder="1" applyAlignment="1" applyProtection="1">
      <alignment horizontal="center"/>
    </xf>
    <xf numFmtId="9" fontId="0" fillId="2" borderId="19" xfId="0" applyNumberFormat="1" applyFill="1" applyBorder="1" applyAlignment="1">
      <alignment horizontal="center"/>
    </xf>
    <xf numFmtId="9" fontId="0" fillId="2" borderId="20" xfId="0" applyNumberFormat="1" applyFill="1" applyBorder="1" applyAlignment="1">
      <alignment horizontal="center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10" fontId="0" fillId="0" borderId="0" xfId="0" applyNumberFormat="1" applyProtection="1">
      <protection locked="0"/>
    </xf>
    <xf numFmtId="6" fontId="0" fillId="2" borderId="8" xfId="0" applyNumberFormat="1" applyFill="1" applyBorder="1" applyAlignment="1">
      <alignment horizontal="center"/>
    </xf>
    <xf numFmtId="2" fontId="0" fillId="2" borderId="8" xfId="0" applyNumberFormat="1" applyFill="1" applyBorder="1" applyAlignment="1">
      <alignment horizontal="center"/>
    </xf>
    <xf numFmtId="169" fontId="0" fillId="2" borderId="8" xfId="0" applyNumberForma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0" fillId="2" borderId="9" xfId="0" applyFill="1" applyBorder="1"/>
    <xf numFmtId="0" fontId="0" fillId="2" borderId="11" xfId="0" applyFill="1" applyBorder="1"/>
    <xf numFmtId="166" fontId="0" fillId="2" borderId="8" xfId="0" applyNumberFormat="1" applyFill="1" applyBorder="1" applyAlignment="1">
      <alignment horizontal="left"/>
    </xf>
    <xf numFmtId="0" fontId="13" fillId="2" borderId="0" xfId="0" applyFont="1" applyFill="1"/>
    <xf numFmtId="165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8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6" fontId="0" fillId="0" borderId="13" xfId="0" applyNumberFormat="1" applyBorder="1" applyAlignment="1" applyProtection="1">
      <alignment horizontal="center"/>
      <protection locked="0"/>
    </xf>
    <xf numFmtId="169" fontId="0" fillId="0" borderId="14" xfId="2" applyNumberFormat="1" applyFont="1" applyBorder="1" applyAlignment="1" applyProtection="1">
      <alignment horizontal="center"/>
      <protection locked="0"/>
    </xf>
    <xf numFmtId="6" fontId="0" fillId="0" borderId="0" xfId="0" applyNumberFormat="1" applyAlignment="1" applyProtection="1">
      <alignment horizontal="center"/>
      <protection locked="0"/>
    </xf>
    <xf numFmtId="169" fontId="0" fillId="0" borderId="16" xfId="2" applyNumberFormat="1" applyFont="1" applyBorder="1" applyAlignment="1" applyProtection="1">
      <alignment horizontal="center"/>
      <protection locked="0"/>
    </xf>
    <xf numFmtId="6" fontId="0" fillId="0" borderId="1" xfId="0" applyNumberFormat="1" applyBorder="1" applyAlignment="1" applyProtection="1">
      <alignment horizontal="center"/>
      <protection locked="0"/>
    </xf>
    <xf numFmtId="169" fontId="0" fillId="0" borderId="18" xfId="2" applyNumberFormat="1" applyFont="1" applyBorder="1" applyAlignment="1" applyProtection="1">
      <alignment horizontal="center"/>
      <protection locked="0"/>
    </xf>
    <xf numFmtId="6" fontId="0" fillId="0" borderId="19" xfId="0" applyNumberFormat="1" applyBorder="1" applyAlignment="1" applyProtection="1">
      <alignment horizontal="center"/>
      <protection locked="0"/>
    </xf>
    <xf numFmtId="6" fontId="0" fillId="0" borderId="20" xfId="0" applyNumberFormat="1" applyBorder="1" applyAlignment="1" applyProtection="1">
      <alignment horizontal="center"/>
      <protection locked="0"/>
    </xf>
    <xf numFmtId="6" fontId="0" fillId="0" borderId="21" xfId="0" applyNumberFormat="1" applyBorder="1" applyAlignment="1" applyProtection="1">
      <alignment horizontal="center"/>
      <protection locked="0"/>
    </xf>
    <xf numFmtId="169" fontId="0" fillId="0" borderId="19" xfId="2" applyNumberFormat="1" applyFont="1" applyBorder="1" applyAlignment="1" applyProtection="1">
      <alignment horizontal="center"/>
      <protection locked="0"/>
    </xf>
    <xf numFmtId="169" fontId="0" fillId="0" borderId="20" xfId="2" applyNumberFormat="1" applyFont="1" applyBorder="1" applyAlignment="1" applyProtection="1">
      <alignment horizontal="center"/>
      <protection locked="0"/>
    </xf>
    <xf numFmtId="169" fontId="0" fillId="0" borderId="21" xfId="2" applyNumberFormat="1" applyFont="1" applyBorder="1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0" fontId="0" fillId="2" borderId="15" xfId="0" applyFill="1" applyBorder="1"/>
    <xf numFmtId="0" fontId="0" fillId="2" borderId="17" xfId="0" applyFill="1" applyBorder="1"/>
    <xf numFmtId="9" fontId="0" fillId="2" borderId="21" xfId="0" applyNumberFormat="1" applyFill="1" applyBorder="1" applyAlignment="1">
      <alignment horizontal="center"/>
    </xf>
    <xf numFmtId="8" fontId="0" fillId="0" borderId="0" xfId="0" applyNumberFormat="1"/>
    <xf numFmtId="8" fontId="0" fillId="3" borderId="0" xfId="0" applyNumberFormat="1" applyFill="1"/>
    <xf numFmtId="6" fontId="0" fillId="0" borderId="0" xfId="0" applyNumberFormat="1" applyAlignment="1">
      <alignment horizontal="center"/>
    </xf>
    <xf numFmtId="6" fontId="0" fillId="0" borderId="15" xfId="0" applyNumberFormat="1" applyBorder="1" applyAlignment="1">
      <alignment horizontal="center"/>
    </xf>
    <xf numFmtId="6" fontId="0" fillId="0" borderId="16" xfId="0" applyNumberFormat="1" applyBorder="1" applyAlignment="1">
      <alignment horizontal="center"/>
    </xf>
    <xf numFmtId="6" fontId="0" fillId="0" borderId="17" xfId="0" applyNumberFormat="1" applyBorder="1" applyAlignment="1">
      <alignment horizontal="center"/>
    </xf>
    <xf numFmtId="6" fontId="0" fillId="0" borderId="18" xfId="0" applyNumberFormat="1" applyBorder="1" applyAlignment="1">
      <alignment horizontal="center"/>
    </xf>
    <xf numFmtId="6" fontId="0" fillId="0" borderId="20" xfId="0" applyNumberFormat="1" applyBorder="1" applyAlignment="1">
      <alignment horizontal="center"/>
    </xf>
    <xf numFmtId="6" fontId="0" fillId="0" borderId="21" xfId="0" applyNumberFormat="1" applyBorder="1" applyAlignment="1">
      <alignment horizontal="center"/>
    </xf>
    <xf numFmtId="172" fontId="0" fillId="2" borderId="20" xfId="0" applyNumberFormat="1" applyFill="1" applyBorder="1" applyAlignment="1">
      <alignment horizontal="center"/>
    </xf>
    <xf numFmtId="172" fontId="0" fillId="0" borderId="0" xfId="0" applyNumberFormat="1"/>
    <xf numFmtId="171" fontId="0" fillId="3" borderId="0" xfId="0" applyNumberFormat="1" applyFill="1" applyAlignment="1">
      <alignment horizontal="center"/>
    </xf>
    <xf numFmtId="167" fontId="0" fillId="2" borderId="20" xfId="0" applyNumberFormat="1" applyFill="1" applyBorder="1" applyAlignment="1">
      <alignment horizontal="center"/>
    </xf>
    <xf numFmtId="0" fontId="0" fillId="2" borderId="12" xfId="0" applyFill="1" applyBorder="1" applyAlignment="1">
      <alignment horizontal="left"/>
    </xf>
    <xf numFmtId="6" fontId="0" fillId="2" borderId="14" xfId="0" applyNumberFormat="1" applyFill="1" applyBorder="1" applyAlignment="1">
      <alignment horizontal="center"/>
    </xf>
    <xf numFmtId="0" fontId="0" fillId="2" borderId="15" xfId="0" applyFill="1" applyBorder="1" applyAlignment="1">
      <alignment horizontal="left"/>
    </xf>
    <xf numFmtId="0" fontId="0" fillId="2" borderId="17" xfId="0" applyFill="1" applyBorder="1" applyAlignment="1">
      <alignment horizontal="left"/>
    </xf>
    <xf numFmtId="0" fontId="0" fillId="2" borderId="0" xfId="0" applyFill="1" applyAlignment="1">
      <alignment horizontal="left" indent="2"/>
    </xf>
    <xf numFmtId="0" fontId="0" fillId="2" borderId="22" xfId="0" applyFill="1" applyBorder="1" applyAlignment="1">
      <alignment horizontal="left" indent="2"/>
    </xf>
    <xf numFmtId="0" fontId="0" fillId="2" borderId="10" xfId="0" applyFill="1" applyBorder="1"/>
    <xf numFmtId="0" fontId="0" fillId="3" borderId="0" xfId="0" applyFill="1"/>
    <xf numFmtId="0" fontId="1" fillId="2" borderId="9" xfId="0" applyFont="1" applyFill="1" applyBorder="1" applyAlignment="1">
      <alignment horizontal="centerContinuous"/>
    </xf>
    <xf numFmtId="0" fontId="1" fillId="2" borderId="10" xfId="0" applyFont="1" applyFill="1" applyBorder="1" applyAlignment="1">
      <alignment horizontal="centerContinuous"/>
    </xf>
    <xf numFmtId="0" fontId="1" fillId="2" borderId="11" xfId="0" applyFont="1" applyFill="1" applyBorder="1" applyAlignment="1">
      <alignment horizontal="centerContinuous"/>
    </xf>
    <xf numFmtId="6" fontId="0" fillId="2" borderId="0" xfId="0" applyNumberFormat="1" applyFill="1" applyAlignment="1">
      <alignment horizontal="center"/>
    </xf>
    <xf numFmtId="167" fontId="0" fillId="0" borderId="0" xfId="0" applyNumberFormat="1" applyAlignment="1" applyProtection="1">
      <alignment horizontal="left"/>
      <protection locked="0"/>
    </xf>
    <xf numFmtId="6" fontId="0" fillId="0" borderId="0" xfId="0" applyNumberFormat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9" fontId="0" fillId="0" borderId="0" xfId="0" applyNumberFormat="1"/>
    <xf numFmtId="9" fontId="0" fillId="0" borderId="0" xfId="2" applyFont="1"/>
    <xf numFmtId="10" fontId="0" fillId="0" borderId="0" xfId="0" applyNumberFormat="1"/>
    <xf numFmtId="6" fontId="0" fillId="3" borderId="0" xfId="0" applyNumberFormat="1" applyFill="1"/>
    <xf numFmtId="0" fontId="0" fillId="4" borderId="9" xfId="0" applyFill="1" applyBorder="1"/>
    <xf numFmtId="0" fontId="0" fillId="4" borderId="10" xfId="0" applyFill="1" applyBorder="1"/>
    <xf numFmtId="0" fontId="12" fillId="4" borderId="10" xfId="0" applyFont="1" applyFill="1" applyBorder="1"/>
    <xf numFmtId="0" fontId="0" fillId="4" borderId="11" xfId="0" applyFill="1" applyBorder="1"/>
    <xf numFmtId="0" fontId="0" fillId="2" borderId="9" xfId="0" applyFill="1" applyBorder="1" applyAlignment="1">
      <alignment vertical="center"/>
    </xf>
    <xf numFmtId="0" fontId="17" fillId="0" borderId="0" xfId="0" applyFont="1"/>
    <xf numFmtId="10" fontId="0" fillId="0" borderId="0" xfId="0" applyNumberFormat="1" applyAlignment="1">
      <alignment horizontal="center"/>
    </xf>
    <xf numFmtId="173" fontId="0" fillId="0" borderId="0" xfId="0" applyNumberFormat="1" applyAlignment="1">
      <alignment horizontal="center"/>
    </xf>
    <xf numFmtId="169" fontId="0" fillId="3" borderId="0" xfId="2" applyNumberFormat="1" applyFont="1" applyFill="1" applyAlignment="1">
      <alignment horizontal="center"/>
    </xf>
    <xf numFmtId="170" fontId="0" fillId="2" borderId="21" xfId="0" applyNumberFormat="1" applyFill="1" applyBorder="1" applyAlignment="1">
      <alignment horizontal="center"/>
    </xf>
    <xf numFmtId="0" fontId="13" fillId="0" borderId="0" xfId="0" applyFont="1"/>
    <xf numFmtId="3" fontId="0" fillId="0" borderId="0" xfId="0" applyNumberFormat="1"/>
    <xf numFmtId="165" fontId="0" fillId="0" borderId="0" xfId="0" applyNumberFormat="1"/>
    <xf numFmtId="172" fontId="0" fillId="3" borderId="0" xfId="0" applyNumberFormat="1" applyFill="1" applyAlignment="1">
      <alignment horizontal="center"/>
    </xf>
    <xf numFmtId="10" fontId="0" fillId="3" borderId="0" xfId="2" applyNumberFormat="1" applyFont="1" applyFill="1" applyAlignment="1">
      <alignment horizontal="center"/>
    </xf>
    <xf numFmtId="10" fontId="0" fillId="2" borderId="15" xfId="0" applyNumberFormat="1" applyFill="1" applyBorder="1" applyAlignment="1">
      <alignment horizontal="center"/>
    </xf>
    <xf numFmtId="6" fontId="0" fillId="2" borderId="15" xfId="0" applyNumberFormat="1" applyFill="1" applyBorder="1" applyAlignment="1">
      <alignment horizontal="center"/>
    </xf>
    <xf numFmtId="0" fontId="0" fillId="2" borderId="20" xfId="0" applyFill="1" applyBorder="1" applyAlignment="1" applyProtection="1">
      <alignment horizontal="center"/>
      <protection locked="0"/>
    </xf>
    <xf numFmtId="0" fontId="0" fillId="2" borderId="10" xfId="0" applyFill="1" applyBorder="1" applyAlignment="1">
      <alignment horizontal="left"/>
    </xf>
    <xf numFmtId="0" fontId="0" fillId="2" borderId="11" xfId="0" applyFill="1" applyBorder="1" applyAlignment="1">
      <alignment horizontal="left"/>
    </xf>
    <xf numFmtId="0" fontId="0" fillId="2" borderId="16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18" xfId="0" applyFill="1" applyBorder="1" applyAlignment="1">
      <alignment horizontal="left"/>
    </xf>
    <xf numFmtId="6" fontId="0" fillId="0" borderId="11" xfId="0" applyNumberFormat="1" applyBorder="1" applyAlignment="1">
      <alignment horizontal="center"/>
    </xf>
    <xf numFmtId="6" fontId="0" fillId="0" borderId="8" xfId="0" applyNumberFormat="1" applyBorder="1" applyAlignment="1">
      <alignment horizontal="center"/>
    </xf>
    <xf numFmtId="172" fontId="0" fillId="0" borderId="0" xfId="3" applyNumberFormat="1" applyFont="1"/>
    <xf numFmtId="2" fontId="0" fillId="0" borderId="0" xfId="0" applyNumberFormat="1" applyAlignment="1">
      <alignment horizontal="center"/>
    </xf>
    <xf numFmtId="171" fontId="0" fillId="3" borderId="0" xfId="0" applyNumberFormat="1" applyFill="1"/>
    <xf numFmtId="167" fontId="0" fillId="2" borderId="8" xfId="0" applyNumberFormat="1" applyFill="1" applyBorder="1" applyAlignment="1">
      <alignment horizontal="center"/>
    </xf>
    <xf numFmtId="6" fontId="0" fillId="0" borderId="0" xfId="0" applyNumberFormat="1" applyProtection="1">
      <protection locked="0"/>
    </xf>
    <xf numFmtId="167" fontId="0" fillId="0" borderId="0" xfId="0" applyNumberFormat="1" applyProtection="1">
      <protection locked="0"/>
    </xf>
    <xf numFmtId="0" fontId="12" fillId="0" borderId="0" xfId="0" applyFont="1" applyProtection="1">
      <protection locked="0"/>
    </xf>
    <xf numFmtId="6" fontId="0" fillId="3" borderId="0" xfId="0" applyNumberFormat="1" applyFill="1" applyAlignment="1" applyProtection="1">
      <alignment horizontal="center"/>
      <protection locked="0"/>
    </xf>
    <xf numFmtId="165" fontId="0" fillId="3" borderId="0" xfId="0" applyNumberFormat="1" applyFill="1" applyAlignment="1" applyProtection="1">
      <alignment horizontal="center"/>
      <protection locked="0"/>
    </xf>
    <xf numFmtId="6" fontId="0" fillId="2" borderId="19" xfId="0" applyNumberFormat="1" applyFill="1" applyBorder="1"/>
    <xf numFmtId="6" fontId="0" fillId="2" borderId="21" xfId="0" applyNumberFormat="1" applyFill="1" applyBorder="1"/>
    <xf numFmtId="0" fontId="1" fillId="2" borderId="0" xfId="0" applyFont="1" applyFill="1" applyAlignment="1">
      <alignment horizontal="centerContinuous"/>
    </xf>
    <xf numFmtId="0" fontId="1" fillId="0" borderId="13" xfId="0" applyFont="1" applyBorder="1" applyAlignment="1">
      <alignment horizontal="centerContinuous"/>
    </xf>
    <xf numFmtId="3" fontId="0" fillId="0" borderId="8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3" borderId="0" xfId="0" applyNumberFormat="1" applyFill="1" applyAlignment="1">
      <alignment horizontal="center"/>
    </xf>
    <xf numFmtId="9" fontId="0" fillId="0" borderId="20" xfId="2" applyFont="1" applyBorder="1" applyAlignment="1">
      <alignment horizontal="center"/>
    </xf>
    <xf numFmtId="9" fontId="0" fillId="0" borderId="21" xfId="2" applyFont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12" fillId="3" borderId="11" xfId="0" applyFont="1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0" fontId="0" fillId="0" borderId="0" xfId="0" quotePrefix="1"/>
    <xf numFmtId="169" fontId="0" fillId="0" borderId="0" xfId="2" applyNumberFormat="1" applyFont="1" applyAlignment="1">
      <alignment horizontal="center"/>
    </xf>
    <xf numFmtId="10" fontId="0" fillId="0" borderId="0" xfId="2" applyNumberFormat="1" applyFont="1" applyAlignment="1">
      <alignment horizontal="center"/>
    </xf>
    <xf numFmtId="169" fontId="0" fillId="0" borderId="0" xfId="0" applyNumberFormat="1"/>
    <xf numFmtId="167" fontId="0" fillId="2" borderId="21" xfId="0" applyNumberFormat="1" applyFill="1" applyBorder="1" applyAlignment="1">
      <alignment horizontal="center"/>
    </xf>
    <xf numFmtId="169" fontId="0" fillId="2" borderId="16" xfId="0" applyNumberFormat="1" applyFill="1" applyBorder="1" applyAlignment="1">
      <alignment horizontal="center"/>
    </xf>
    <xf numFmtId="169" fontId="0" fillId="2" borderId="18" xfId="0" applyNumberFormat="1" applyFill="1" applyBorder="1" applyAlignment="1">
      <alignment horizontal="center"/>
    </xf>
    <xf numFmtId="166" fontId="0" fillId="0" borderId="0" xfId="0" applyNumberFormat="1"/>
    <xf numFmtId="6" fontId="0" fillId="5" borderId="0" xfId="0" applyNumberFormat="1" applyFill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6" fontId="0" fillId="2" borderId="0" xfId="0" applyNumberFormat="1" applyFill="1"/>
    <xf numFmtId="2" fontId="0" fillId="0" borderId="0" xfId="0" applyNumberFormat="1" applyAlignment="1" applyProtection="1">
      <alignment horizontal="center"/>
      <protection locked="0"/>
    </xf>
    <xf numFmtId="167" fontId="0" fillId="0" borderId="14" xfId="0" applyNumberFormat="1" applyBorder="1" applyAlignment="1" applyProtection="1">
      <alignment horizontal="center"/>
      <protection locked="0"/>
    </xf>
    <xf numFmtId="167" fontId="0" fillId="0" borderId="16" xfId="0" applyNumberFormat="1" applyBorder="1" applyAlignment="1" applyProtection="1">
      <alignment horizontal="center"/>
      <protection locked="0"/>
    </xf>
    <xf numFmtId="167" fontId="0" fillId="0" borderId="18" xfId="0" applyNumberFormat="1" applyBorder="1" applyAlignment="1" applyProtection="1">
      <alignment horizontal="center"/>
      <protection locked="0"/>
    </xf>
    <xf numFmtId="9" fontId="0" fillId="0" borderId="14" xfId="2" applyFont="1" applyBorder="1" applyAlignment="1" applyProtection="1">
      <alignment horizontal="center"/>
      <protection locked="0"/>
    </xf>
    <xf numFmtId="9" fontId="0" fillId="0" borderId="16" xfId="2" applyFont="1" applyBorder="1" applyAlignment="1" applyProtection="1">
      <alignment horizontal="center"/>
      <protection locked="0"/>
    </xf>
    <xf numFmtId="9" fontId="0" fillId="0" borderId="18" xfId="2" applyFont="1" applyBorder="1" applyAlignment="1" applyProtection="1">
      <alignment horizontal="center"/>
      <protection locked="0"/>
    </xf>
    <xf numFmtId="167" fontId="0" fillId="0" borderId="19" xfId="0" applyNumberFormat="1" applyBorder="1" applyAlignment="1" applyProtection="1">
      <alignment horizontal="center"/>
      <protection locked="0"/>
    </xf>
    <xf numFmtId="167" fontId="0" fillId="0" borderId="20" xfId="0" applyNumberFormat="1" applyBorder="1" applyAlignment="1" applyProtection="1">
      <alignment horizontal="center"/>
      <protection locked="0"/>
    </xf>
    <xf numFmtId="167" fontId="0" fillId="0" borderId="21" xfId="0" applyNumberFormat="1" applyBorder="1" applyAlignment="1" applyProtection="1">
      <alignment horizontal="center"/>
      <protection locked="0"/>
    </xf>
    <xf numFmtId="0" fontId="0" fillId="2" borderId="5" xfId="0" applyFill="1" applyBorder="1" applyProtection="1">
      <protection locked="0"/>
    </xf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0" xfId="0" applyFont="1" applyFill="1" applyAlignment="1" applyProtection="1">
      <alignment horizontal="center"/>
      <protection locked="0"/>
    </xf>
    <xf numFmtId="6" fontId="0" fillId="2" borderId="8" xfId="0" applyNumberFormat="1" applyFill="1" applyBorder="1" applyAlignment="1" applyProtection="1">
      <alignment horizontal="center"/>
      <protection locked="0"/>
    </xf>
    <xf numFmtId="6" fontId="0" fillId="2" borderId="0" xfId="0" applyNumberFormat="1" applyFill="1" applyAlignment="1" applyProtection="1">
      <alignment horizontal="center"/>
      <protection locked="0"/>
    </xf>
    <xf numFmtId="6" fontId="0" fillId="2" borderId="0" xfId="0" applyNumberFormat="1" applyFill="1" applyProtection="1">
      <protection locked="0"/>
    </xf>
    <xf numFmtId="169" fontId="0" fillId="2" borderId="0" xfId="0" applyNumberFormat="1" applyFill="1" applyProtection="1">
      <protection locked="0"/>
    </xf>
    <xf numFmtId="167" fontId="0" fillId="2" borderId="0" xfId="0" applyNumberFormat="1" applyFill="1" applyProtection="1">
      <protection locked="0"/>
    </xf>
    <xf numFmtId="0" fontId="0" fillId="2" borderId="7" xfId="0" applyFill="1" applyBorder="1" applyProtection="1">
      <protection locked="0"/>
    </xf>
    <xf numFmtId="0" fontId="0" fillId="2" borderId="23" xfId="0" applyFill="1" applyBorder="1" applyProtection="1">
      <protection locked="0"/>
    </xf>
    <xf numFmtId="166" fontId="0" fillId="0" borderId="14" xfId="0" applyNumberFormat="1" applyBorder="1" applyAlignment="1" applyProtection="1">
      <alignment horizontal="center"/>
      <protection locked="0"/>
    </xf>
    <xf numFmtId="166" fontId="0" fillId="0" borderId="16" xfId="0" applyNumberFormat="1" applyBorder="1" applyAlignment="1" applyProtection="1">
      <alignment horizontal="center"/>
      <protection locked="0"/>
    </xf>
    <xf numFmtId="166" fontId="0" fillId="0" borderId="18" xfId="0" applyNumberFormat="1" applyBorder="1" applyAlignment="1" applyProtection="1">
      <alignment horizontal="center"/>
      <protection locked="0"/>
    </xf>
    <xf numFmtId="2" fontId="0" fillId="0" borderId="14" xfId="0" applyNumberFormat="1" applyBorder="1" applyAlignment="1" applyProtection="1">
      <alignment horizontal="center"/>
      <protection locked="0"/>
    </xf>
    <xf numFmtId="2" fontId="0" fillId="0" borderId="16" xfId="0" applyNumberFormat="1" applyBorder="1" applyAlignment="1" applyProtection="1">
      <alignment horizontal="center"/>
      <protection locked="0"/>
    </xf>
    <xf numFmtId="2" fontId="0" fillId="0" borderId="18" xfId="0" applyNumberFormat="1" applyBorder="1" applyAlignment="1" applyProtection="1">
      <alignment horizontal="center"/>
      <protection locked="0"/>
    </xf>
    <xf numFmtId="2" fontId="0" fillId="0" borderId="12" xfId="0" applyNumberFormat="1" applyBorder="1" applyAlignment="1" applyProtection="1">
      <alignment horizontal="center"/>
      <protection locked="0"/>
    </xf>
    <xf numFmtId="2" fontId="0" fillId="0" borderId="15" xfId="0" applyNumberFormat="1" applyBorder="1" applyAlignment="1" applyProtection="1">
      <alignment horizontal="center"/>
      <protection locked="0"/>
    </xf>
    <xf numFmtId="2" fontId="0" fillId="0" borderId="17" xfId="0" applyNumberFormat="1" applyBorder="1" applyAlignment="1" applyProtection="1">
      <alignment horizontal="center"/>
      <protection locked="0"/>
    </xf>
    <xf numFmtId="6" fontId="0" fillId="2" borderId="1" xfId="0" applyNumberFormat="1" applyFill="1" applyBorder="1" applyAlignment="1">
      <alignment horizontal="center"/>
    </xf>
    <xf numFmtId="0" fontId="20" fillId="0" borderId="8" xfId="0" applyFont="1" applyBorder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left"/>
      <protection locked="0"/>
    </xf>
    <xf numFmtId="6" fontId="0" fillId="5" borderId="0" xfId="0" applyNumberFormat="1" applyFill="1" applyAlignment="1" applyProtection="1">
      <alignment horizontal="center"/>
      <protection locked="0"/>
    </xf>
    <xf numFmtId="3" fontId="0" fillId="2" borderId="11" xfId="0" applyNumberFormat="1" applyFill="1" applyBorder="1" applyAlignment="1">
      <alignment horizontal="center"/>
    </xf>
    <xf numFmtId="9" fontId="0" fillId="0" borderId="0" xfId="2" applyFont="1" applyAlignment="1">
      <alignment horizontal="center"/>
    </xf>
    <xf numFmtId="172" fontId="0" fillId="0" borderId="0" xfId="0" applyNumberFormat="1" applyAlignment="1">
      <alignment horizontal="center"/>
    </xf>
    <xf numFmtId="2" fontId="0" fillId="5" borderId="15" xfId="0" applyNumberFormat="1" applyFill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3" borderId="15" xfId="0" applyNumberFormat="1" applyFill="1" applyBorder="1" applyAlignment="1">
      <alignment horizontal="center"/>
    </xf>
    <xf numFmtId="2" fontId="0" fillId="3" borderId="16" xfId="0" applyNumberFormat="1" applyFill="1" applyBorder="1" applyAlignment="1">
      <alignment horizontal="center"/>
    </xf>
    <xf numFmtId="2" fontId="0" fillId="3" borderId="17" xfId="0" applyNumberFormat="1" applyFill="1" applyBorder="1" applyAlignment="1">
      <alignment horizontal="center"/>
    </xf>
    <xf numFmtId="2" fontId="0" fillId="3" borderId="18" xfId="0" applyNumberFormat="1" applyFill="1" applyBorder="1" applyAlignment="1">
      <alignment horizontal="center"/>
    </xf>
    <xf numFmtId="0" fontId="0" fillId="2" borderId="17" xfId="0" applyFill="1" applyBorder="1" applyAlignment="1">
      <alignment horizontal="centerContinuous"/>
    </xf>
    <xf numFmtId="0" fontId="0" fillId="2" borderId="1" xfId="0" applyFill="1" applyBorder="1" applyAlignment="1">
      <alignment horizontal="centerContinuous"/>
    </xf>
    <xf numFmtId="0" fontId="0" fillId="2" borderId="18" xfId="0" applyFill="1" applyBorder="1" applyAlignment="1">
      <alignment horizontal="centerContinuous"/>
    </xf>
    <xf numFmtId="6" fontId="0" fillId="2" borderId="13" xfId="0" applyNumberFormat="1" applyFill="1" applyBorder="1" applyAlignment="1">
      <alignment horizontal="center"/>
    </xf>
    <xf numFmtId="6" fontId="0" fillId="2" borderId="13" xfId="0" quotePrefix="1" applyNumberFormat="1" applyFill="1" applyBorder="1" applyAlignment="1">
      <alignment horizontal="center"/>
    </xf>
    <xf numFmtId="6" fontId="0" fillId="2" borderId="0" xfId="0" quotePrefix="1" applyNumberFormat="1" applyFill="1" applyAlignment="1">
      <alignment horizontal="center"/>
    </xf>
    <xf numFmtId="6" fontId="0" fillId="2" borderId="1" xfId="0" quotePrefix="1" applyNumberFormat="1" applyFill="1" applyBorder="1" applyAlignment="1">
      <alignment horizontal="center"/>
    </xf>
    <xf numFmtId="0" fontId="0" fillId="2" borderId="9" xfId="0" applyFill="1" applyBorder="1" applyAlignment="1">
      <alignment horizontal="centerContinuous"/>
    </xf>
    <xf numFmtId="0" fontId="0" fillId="2" borderId="10" xfId="0" applyFill="1" applyBorder="1" applyAlignment="1">
      <alignment horizontal="centerContinuous"/>
    </xf>
    <xf numFmtId="0" fontId="0" fillId="2" borderId="11" xfId="0" applyFill="1" applyBorder="1" applyAlignment="1">
      <alignment horizontal="centerContinuous"/>
    </xf>
    <xf numFmtId="166" fontId="0" fillId="2" borderId="12" xfId="0" applyNumberFormat="1" applyFill="1" applyBorder="1" applyAlignment="1">
      <alignment horizontal="center"/>
    </xf>
    <xf numFmtId="166" fontId="0" fillId="2" borderId="13" xfId="0" applyNumberFormat="1" applyFill="1" applyBorder="1" applyAlignment="1">
      <alignment horizontal="center"/>
    </xf>
    <xf numFmtId="166" fontId="0" fillId="2" borderId="14" xfId="0" applyNumberFormat="1" applyFill="1" applyBorder="1" applyAlignment="1">
      <alignment horizontal="center"/>
    </xf>
    <xf numFmtId="166" fontId="0" fillId="2" borderId="15" xfId="0" applyNumberFormat="1" applyFill="1" applyBorder="1" applyAlignment="1">
      <alignment horizontal="center"/>
    </xf>
    <xf numFmtId="166" fontId="0" fillId="2" borderId="0" xfId="0" applyNumberFormat="1" applyFill="1" applyAlignment="1">
      <alignment horizontal="center"/>
    </xf>
    <xf numFmtId="166" fontId="0" fillId="2" borderId="16" xfId="0" applyNumberFormat="1" applyFill="1" applyBorder="1" applyAlignment="1">
      <alignment horizontal="center"/>
    </xf>
    <xf numFmtId="166" fontId="0" fillId="2" borderId="17" xfId="0" applyNumberFormat="1" applyFill="1" applyBorder="1" applyAlignment="1">
      <alignment horizontal="center"/>
    </xf>
    <xf numFmtId="166" fontId="0" fillId="2" borderId="1" xfId="0" applyNumberFormat="1" applyFill="1" applyBorder="1" applyAlignment="1">
      <alignment horizontal="center"/>
    </xf>
    <xf numFmtId="166" fontId="0" fillId="2" borderId="18" xfId="0" applyNumberFormat="1" applyFill="1" applyBorder="1" applyAlignment="1">
      <alignment horizontal="center"/>
    </xf>
    <xf numFmtId="169" fontId="0" fillId="2" borderId="20" xfId="2" applyNumberFormat="1" applyFont="1" applyFill="1" applyBorder="1" applyAlignment="1">
      <alignment horizontal="center"/>
    </xf>
    <xf numFmtId="174" fontId="0" fillId="0" borderId="0" xfId="0" applyNumberFormat="1"/>
    <xf numFmtId="6" fontId="0" fillId="3" borderId="0" xfId="0" applyNumberFormat="1" applyFill="1" applyAlignment="1">
      <alignment horizontal="center"/>
    </xf>
    <xf numFmtId="2" fontId="0" fillId="0" borderId="19" xfId="0" applyNumberFormat="1" applyBorder="1" applyAlignment="1">
      <alignment horizontal="center"/>
    </xf>
    <xf numFmtId="9" fontId="0" fillId="3" borderId="15" xfId="0" applyNumberFormat="1" applyFill="1" applyBorder="1" applyAlignment="1">
      <alignment horizontal="center"/>
    </xf>
    <xf numFmtId="9" fontId="0" fillId="3" borderId="17" xfId="0" applyNumberFormat="1" applyFill="1" applyBorder="1" applyAlignment="1">
      <alignment horizontal="center"/>
    </xf>
    <xf numFmtId="6" fontId="0" fillId="3" borderId="0" xfId="0" applyNumberFormat="1" applyFill="1" applyProtection="1">
      <protection locked="0"/>
    </xf>
    <xf numFmtId="169" fontId="0" fillId="2" borderId="20" xfId="0" applyNumberFormat="1" applyFill="1" applyBorder="1" applyAlignment="1">
      <alignment horizontal="center"/>
    </xf>
    <xf numFmtId="169" fontId="0" fillId="2" borderId="21" xfId="0" applyNumberFormat="1" applyFill="1" applyBorder="1" applyAlignment="1">
      <alignment horizontal="center"/>
    </xf>
    <xf numFmtId="0" fontId="0" fillId="2" borderId="13" xfId="0" quotePrefix="1" applyFill="1" applyBorder="1" applyAlignment="1">
      <alignment horizontal="center"/>
    </xf>
    <xf numFmtId="0" fontId="0" fillId="2" borderId="0" xfId="0" quotePrefix="1" applyFill="1" applyAlignment="1">
      <alignment horizontal="center"/>
    </xf>
    <xf numFmtId="0" fontId="0" fillId="2" borderId="1" xfId="0" quotePrefix="1" applyFill="1" applyBorder="1" applyAlignment="1">
      <alignment horizontal="center"/>
    </xf>
    <xf numFmtId="2" fontId="0" fillId="0" borderId="0" xfId="0" applyNumberFormat="1" applyAlignment="1" applyProtection="1">
      <alignment horizontal="left"/>
      <protection locked="0"/>
    </xf>
    <xf numFmtId="2" fontId="0" fillId="0" borderId="0" xfId="0" applyNumberFormat="1"/>
    <xf numFmtId="0" fontId="12" fillId="0" borderId="0" xfId="0" applyFont="1"/>
    <xf numFmtId="169" fontId="0" fillId="2" borderId="19" xfId="0" applyNumberFormat="1" applyFill="1" applyBorder="1" applyAlignment="1">
      <alignment horizontal="center"/>
    </xf>
    <xf numFmtId="6" fontId="1" fillId="2" borderId="8" xfId="0" applyNumberFormat="1" applyFont="1" applyFill="1" applyBorder="1" applyAlignment="1">
      <alignment horizontal="center"/>
    </xf>
    <xf numFmtId="175" fontId="1" fillId="2" borderId="8" xfId="0" applyNumberFormat="1" applyFont="1" applyFill="1" applyBorder="1" applyAlignment="1">
      <alignment horizontal="center"/>
    </xf>
    <xf numFmtId="0" fontId="1" fillId="2" borderId="0" xfId="0" applyFont="1" applyFill="1"/>
    <xf numFmtId="0" fontId="14" fillId="0" borderId="0" xfId="0" applyFont="1" applyProtection="1">
      <protection locked="0"/>
    </xf>
    <xf numFmtId="169" fontId="0" fillId="2" borderId="0" xfId="0" applyNumberFormat="1" applyFill="1" applyAlignment="1">
      <alignment horizontal="center"/>
    </xf>
    <xf numFmtId="167" fontId="0" fillId="2" borderId="0" xfId="0" applyNumberFormat="1" applyFill="1" applyAlignment="1">
      <alignment horizontal="center"/>
    </xf>
    <xf numFmtId="6" fontId="0" fillId="3" borderId="0" xfId="0" applyNumberFormat="1" applyFill="1" applyAlignment="1" applyProtection="1">
      <alignment horizontal="left"/>
      <protection locked="0"/>
    </xf>
    <xf numFmtId="176" fontId="0" fillId="2" borderId="14" xfId="0" applyNumberFormat="1" applyFill="1" applyBorder="1" applyAlignment="1">
      <alignment horizontal="center"/>
    </xf>
    <xf numFmtId="0" fontId="0" fillId="0" borderId="10" xfId="0" applyBorder="1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3" fontId="0" fillId="3" borderId="0" xfId="0" applyNumberFormat="1" applyFill="1" applyAlignment="1" applyProtection="1">
      <alignment horizontal="center"/>
      <protection locked="0"/>
    </xf>
    <xf numFmtId="167" fontId="0" fillId="3" borderId="0" xfId="0" applyNumberFormat="1" applyFill="1" applyAlignment="1" applyProtection="1">
      <alignment horizontal="center"/>
      <protection locked="0"/>
    </xf>
    <xf numFmtId="3" fontId="0" fillId="0" borderId="15" xfId="0" applyNumberFormat="1" applyBorder="1" applyAlignment="1" applyProtection="1">
      <alignment horizontal="center"/>
      <protection locked="0"/>
    </xf>
    <xf numFmtId="3" fontId="0" fillId="0" borderId="0" xfId="0" applyNumberFormat="1" applyAlignment="1" applyProtection="1">
      <alignment horizontal="center"/>
      <protection locked="0"/>
    </xf>
    <xf numFmtId="3" fontId="0" fillId="0" borderId="17" xfId="0" applyNumberFormat="1" applyBorder="1" applyAlignment="1" applyProtection="1">
      <alignment horizontal="center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3" fontId="0" fillId="0" borderId="11" xfId="0" applyNumberFormat="1" applyBorder="1" applyAlignment="1" applyProtection="1">
      <alignment horizontal="center"/>
      <protection locked="0"/>
    </xf>
    <xf numFmtId="166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169" fontId="0" fillId="0" borderId="0" xfId="2" applyNumberFormat="1" applyFont="1" applyBorder="1" applyAlignment="1" applyProtection="1">
      <alignment horizontal="center"/>
      <protection locked="0"/>
    </xf>
    <xf numFmtId="169" fontId="0" fillId="0" borderId="1" xfId="2" applyNumberFormat="1" applyFont="1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3" fontId="0" fillId="0" borderId="24" xfId="0" applyNumberFormat="1" applyBorder="1" applyAlignment="1" applyProtection="1">
      <alignment horizontal="center"/>
      <protection locked="0"/>
    </xf>
    <xf numFmtId="2" fontId="0" fillId="2" borderId="12" xfId="0" applyNumberFormat="1" applyFill="1" applyBorder="1" applyAlignment="1">
      <alignment horizontal="center"/>
    </xf>
    <xf numFmtId="9" fontId="0" fillId="2" borderId="22" xfId="0" applyNumberFormat="1" applyFill="1" applyBorder="1"/>
    <xf numFmtId="0" fontId="0" fillId="2" borderId="19" xfId="0" applyFill="1" applyBorder="1" applyAlignment="1" applyProtection="1">
      <alignment horizontal="center"/>
      <protection locked="0"/>
    </xf>
    <xf numFmtId="169" fontId="0" fillId="0" borderId="0" xfId="2" applyNumberFormat="1" applyFont="1" applyAlignment="1" applyProtection="1">
      <alignment horizontal="center"/>
      <protection locked="0"/>
    </xf>
    <xf numFmtId="167" fontId="0" fillId="0" borderId="0" xfId="0" applyNumberFormat="1" applyAlignment="1">
      <alignment horizontal="center"/>
    </xf>
    <xf numFmtId="169" fontId="0" fillId="0" borderId="0" xfId="2" applyNumberFormat="1" applyFon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69" fontId="0" fillId="0" borderId="1" xfId="2" applyNumberFormat="1" applyFont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9" fontId="0" fillId="3" borderId="20" xfId="0" applyNumberFormat="1" applyFill="1" applyBorder="1" applyAlignment="1">
      <alignment horizontal="center"/>
    </xf>
    <xf numFmtId="9" fontId="0" fillId="3" borderId="21" xfId="0" applyNumberFormat="1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12" fillId="3" borderId="21" xfId="0" applyFont="1" applyFill="1" applyBorder="1" applyAlignment="1">
      <alignment horizontal="center"/>
    </xf>
    <xf numFmtId="0" fontId="12" fillId="3" borderId="18" xfId="0" applyFont="1" applyFill="1" applyBorder="1" applyAlignment="1">
      <alignment horizontal="center"/>
    </xf>
    <xf numFmtId="166" fontId="0" fillId="3" borderId="20" xfId="0" applyNumberFormat="1" applyFill="1" applyBorder="1" applyAlignment="1">
      <alignment horizontal="center"/>
    </xf>
    <xf numFmtId="166" fontId="0" fillId="3" borderId="16" xfId="0" applyNumberFormat="1" applyFill="1" applyBorder="1" applyAlignment="1">
      <alignment horizontal="center"/>
    </xf>
    <xf numFmtId="166" fontId="0" fillId="3" borderId="21" xfId="0" applyNumberFormat="1" applyFill="1" applyBorder="1" applyAlignment="1">
      <alignment horizontal="center"/>
    </xf>
    <xf numFmtId="166" fontId="0" fillId="3" borderId="18" xfId="0" applyNumberFormat="1" applyFill="1" applyBorder="1" applyAlignment="1">
      <alignment horizontal="center"/>
    </xf>
    <xf numFmtId="0" fontId="12" fillId="0" borderId="21" xfId="0" applyFont="1" applyBorder="1" applyAlignment="1">
      <alignment horizontal="center"/>
    </xf>
    <xf numFmtId="171" fontId="0" fillId="0" borderId="0" xfId="0" applyNumberFormat="1"/>
    <xf numFmtId="0" fontId="4" fillId="0" borderId="0" xfId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3" xfId="1" applyFill="1" applyBorder="1" applyAlignment="1" applyProtection="1">
      <alignment horizontal="right"/>
      <protection locked="0"/>
    </xf>
    <xf numFmtId="0" fontId="4" fillId="2" borderId="4" xfId="1" applyFill="1" applyBorder="1" applyAlignment="1" applyProtection="1">
      <alignment horizontal="right"/>
      <protection locked="0"/>
    </xf>
    <xf numFmtId="0" fontId="1" fillId="2" borderId="12" xfId="0" applyFont="1" applyFill="1" applyBorder="1" applyAlignment="1">
      <alignment horizontal="center" wrapText="1"/>
    </xf>
    <xf numFmtId="0" fontId="1" fillId="2" borderId="17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166" fontId="1" fillId="2" borderId="8" xfId="0" applyNumberFormat="1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0" fillId="0" borderId="13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9" xfId="0" applyBorder="1" applyAlignment="1" applyProtection="1">
      <alignment horizontal="center" wrapText="1"/>
      <protection locked="0"/>
    </xf>
    <xf numFmtId="0" fontId="0" fillId="0" borderId="20" xfId="0" applyBorder="1" applyAlignment="1" applyProtection="1">
      <alignment horizontal="center" wrapText="1"/>
      <protection locked="0"/>
    </xf>
    <xf numFmtId="0" fontId="0" fillId="0" borderId="21" xfId="0" applyBorder="1" applyAlignment="1" applyProtection="1">
      <alignment horizontal="center" wrapText="1"/>
      <protection locked="0"/>
    </xf>
    <xf numFmtId="0" fontId="0" fillId="0" borderId="19" xfId="0" applyBorder="1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9" fontId="0" fillId="0" borderId="0" xfId="2" applyFon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9" fontId="0" fillId="0" borderId="1" xfId="2" applyFont="1" applyBorder="1" applyAlignment="1" applyProtection="1">
      <alignment horizontal="center"/>
      <protection locked="0"/>
    </xf>
    <xf numFmtId="2" fontId="0" fillId="0" borderId="20" xfId="0" applyNumberFormat="1" applyBorder="1" applyAlignment="1" applyProtection="1">
      <alignment horizontal="center"/>
      <protection locked="0"/>
    </xf>
    <xf numFmtId="2" fontId="0" fillId="0" borderId="21" xfId="0" applyNumberFormat="1" applyBorder="1" applyAlignment="1" applyProtection="1">
      <alignment horizontal="center"/>
      <protection locked="0"/>
    </xf>
  </cellXfs>
  <cellStyles count="4">
    <cellStyle name="Currency" xfId="3" builtinId="4"/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2</xdr:col>
      <xdr:colOff>1210522</xdr:colOff>
      <xdr:row>4</xdr:row>
      <xdr:rowOff>70486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B23976-5FBD-4AF3-9E23-573CDB9D3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750"/>
          <a:ext cx="3334597" cy="800736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0</xdr:row>
      <xdr:rowOff>138112</xdr:rowOff>
    </xdr:from>
    <xdr:ext cx="2149563" cy="3592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A8CCAB7-1C45-4515-8322-0117E3A4D501}"/>
                </a:ext>
              </a:extLst>
            </xdr:cNvPr>
            <xdr:cNvSpPr txBox="1"/>
          </xdr:nvSpPr>
          <xdr:spPr>
            <a:xfrm>
              <a:off x="6164580" y="138112"/>
              <a:ext cx="2149563" cy="359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𝐸𝑥𝑐𝑒𝑠𝑠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𝑅𝑎𝑡𝑖𝑜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𝑘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 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A8CCAB7-1C45-4515-8322-0117E3A4D501}"/>
                </a:ext>
              </a:extLst>
            </xdr:cNvPr>
            <xdr:cNvSpPr txBox="1"/>
          </xdr:nvSpPr>
          <xdr:spPr>
            <a:xfrm>
              <a:off x="6164580" y="138112"/>
              <a:ext cx="2149563" cy="359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𝐸𝑥𝑐𝑒𝑠𝑠 𝑅𝑎𝑡𝑖𝑜 𝑘=   (𝐸[𝑋]−𝐸[𝑋;𝐿])/(𝐸[𝑋])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9525</xdr:colOff>
      <xdr:row>4</xdr:row>
      <xdr:rowOff>138112</xdr:rowOff>
    </xdr:from>
    <xdr:ext cx="2025747" cy="320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435B7756-F633-4313-9B90-053895FF0DAF}"/>
                </a:ext>
              </a:extLst>
            </xdr:cNvPr>
            <xdr:cNvSpPr txBox="1"/>
          </xdr:nvSpPr>
          <xdr:spPr>
            <a:xfrm>
              <a:off x="6174105" y="884872"/>
              <a:ext cx="2025747" cy="320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𝐼𝐶𝑅𝐿𝐿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𝐴𝑑𝑗𝑢𝑠𝑡𝑚𝑒𝑛𝑡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1+0.8⋅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𝑘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𝑘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435B7756-F633-4313-9B90-053895FF0DAF}"/>
                </a:ext>
              </a:extLst>
            </xdr:cNvPr>
            <xdr:cNvSpPr txBox="1"/>
          </xdr:nvSpPr>
          <xdr:spPr>
            <a:xfrm>
              <a:off x="6174105" y="884872"/>
              <a:ext cx="2025747" cy="320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𝐼𝐶𝑅𝐿𝐿 𝐴𝑑𝑗𝑢𝑠𝑡𝑚𝑒𝑛𝑡=  (1+0.8⋅𝑘)/(1−𝑘)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7620</xdr:colOff>
      <xdr:row>9</xdr:row>
      <xdr:rowOff>168592</xdr:rowOff>
    </xdr:from>
    <xdr:ext cx="2149563" cy="3592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2D4D8CC-2F64-4468-B6AF-F9B4B69249F3}"/>
                </a:ext>
              </a:extLst>
            </xdr:cNvPr>
            <xdr:cNvSpPr txBox="1"/>
          </xdr:nvSpPr>
          <xdr:spPr>
            <a:xfrm>
              <a:off x="5951220" y="1814512"/>
              <a:ext cx="2149563" cy="359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𝐸𝑥𝑐𝑒𝑠𝑠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𝑅𝑎𝑡𝑖𝑜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𝑘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 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;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42D4D8CC-2F64-4468-B6AF-F9B4B69249F3}"/>
                </a:ext>
              </a:extLst>
            </xdr:cNvPr>
            <xdr:cNvSpPr txBox="1"/>
          </xdr:nvSpPr>
          <xdr:spPr>
            <a:xfrm>
              <a:off x="5951220" y="1814512"/>
              <a:ext cx="2149563" cy="359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𝐸𝑥𝑐𝑒𝑠𝑠 𝑅𝑎𝑡𝑖𝑜 𝑘=   (𝐸[𝑋]−𝐸[𝑋;𝐿])/(𝐸[𝑋])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9525</xdr:colOff>
      <xdr:row>18</xdr:row>
      <xdr:rowOff>138112</xdr:rowOff>
    </xdr:from>
    <xdr:ext cx="2025747" cy="32028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1D420AF-6BAC-41F1-ACBA-2C5952B727D0}"/>
                </a:ext>
              </a:extLst>
            </xdr:cNvPr>
            <xdr:cNvSpPr txBox="1"/>
          </xdr:nvSpPr>
          <xdr:spPr>
            <a:xfrm>
              <a:off x="6082665" y="869632"/>
              <a:ext cx="2025747" cy="320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𝐼𝐶𝑅𝐿𝐿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𝐴𝑑𝑗𝑢𝑠𝑡𝑚𝑒𝑛𝑡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1+0.8⋅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𝑘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𝑘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A1D420AF-6BAC-41F1-ACBA-2C5952B727D0}"/>
                </a:ext>
              </a:extLst>
            </xdr:cNvPr>
            <xdr:cNvSpPr txBox="1"/>
          </xdr:nvSpPr>
          <xdr:spPr>
            <a:xfrm>
              <a:off x="6082665" y="869632"/>
              <a:ext cx="2025747" cy="32028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𝐼𝐶𝑅𝐿𝐿 𝐴𝑑𝑗𝑢𝑠𝑡𝑚𝑒𝑛𝑡=  (1+0.8⋅𝑘)/(1−𝑘)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15240</xdr:colOff>
      <xdr:row>34</xdr:row>
      <xdr:rowOff>8572</xdr:rowOff>
    </xdr:from>
    <xdr:ext cx="2304221" cy="35650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1F15366-A1F2-43FA-8D8E-6B132B6C16EA}"/>
                </a:ext>
              </a:extLst>
            </xdr:cNvPr>
            <xdr:cNvSpPr txBox="1"/>
          </xdr:nvSpPr>
          <xdr:spPr>
            <a:xfrm>
              <a:off x="5958840" y="6226492"/>
              <a:ext cx="2304221" cy="3565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𝜙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sub>
                    </m:sSub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𝐻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𝜙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𝐷</m:t>
                        </m:r>
                      </m:sub>
                    </m:sSub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</m:d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𝐻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𝐷</m:t>
                                </m:r>
                              </m:sub>
                            </m:sSub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71F15366-A1F2-43FA-8D8E-6B132B6C16EA}"/>
                </a:ext>
              </a:extLst>
            </xdr:cNvPr>
            <xdr:cNvSpPr txBox="1"/>
          </xdr:nvSpPr>
          <xdr:spPr>
            <a:xfrm>
              <a:off x="5958840" y="6226492"/>
              <a:ext cx="2304221" cy="35650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𝜙_𝐷 (𝑟_𝐻 )−𝜙_𝐷 (𝑟_𝐺 )=((𝑒+𝐸[𝐴])𝑇−𝐻)/𝑐𝐸[𝐴_𝐷 ]𝑇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13335</xdr:colOff>
      <xdr:row>36</xdr:row>
      <xdr:rowOff>48577</xdr:rowOff>
    </xdr:from>
    <xdr:ext cx="1166153" cy="3456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5E58B5B2-EFBF-432C-A476-DE1A06EBB667}"/>
                </a:ext>
              </a:extLst>
            </xdr:cNvPr>
            <xdr:cNvSpPr txBox="1"/>
          </xdr:nvSpPr>
          <xdr:spPr>
            <a:xfrm>
              <a:off x="5956935" y="6632257"/>
              <a:ext cx="1166153" cy="3456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𝐺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𝐻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𝐺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𝐻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𝐷</m:t>
                                </m:r>
                              </m:sub>
                            </m:sSub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5" name="TextBox 4">
              <a:extLst>
                <a:ext uri="{FF2B5EF4-FFF2-40B4-BE49-F238E27FC236}">
                  <a16:creationId xmlns:a16="http://schemas.microsoft.com/office/drawing/2014/main" id="{5E58B5B2-EFBF-432C-A476-DE1A06EBB667}"/>
                </a:ext>
              </a:extLst>
            </xdr:cNvPr>
            <xdr:cNvSpPr txBox="1"/>
          </xdr:nvSpPr>
          <xdr:spPr>
            <a:xfrm>
              <a:off x="5956935" y="6632257"/>
              <a:ext cx="1166153" cy="3456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𝑟_𝐺−𝑟_𝐻=(𝐺−𝐻)/𝑐𝐸[𝐴_𝐷 ]𝑇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236220</xdr:colOff>
      <xdr:row>2</xdr:row>
      <xdr:rowOff>83820</xdr:rowOff>
    </xdr:from>
    <xdr:ext cx="9423605" cy="3581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9EC0C37-E89C-4DA3-89A8-A28ACDB80EB2}"/>
                </a:ext>
              </a:extLst>
            </xdr:cNvPr>
            <xdr:cNvSpPr txBox="1"/>
          </xdr:nvSpPr>
          <xdr:spPr>
            <a:xfrm>
              <a:off x="6332220" y="449580"/>
              <a:ext cx="9423605" cy="3581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𝐿𝐷𝐷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 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𝑃𝑟𝑒𝑚𝑖𝑢𝑚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𝐸𝑥𝑝𝑒𝑐𝑡𝑒𝑑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𝐸𝑥𝑐𝑒𝑠𝑠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𝐿𝑜𝑠𝑠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𝐼𝑛𝑠𝑢𝑟𝑎𝑛𝑐𝑒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𝐶h𝑎𝑟𝑔𝑒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⋅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𝐸𝑥𝑝𝑒𝑐𝑡𝑒𝑑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𝐿𝑖𝑚𝑖𝑡𝑒𝑑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𝐿𝑜𝑠𝑠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𝐸𝑥𝑝𝑒𝑐𝑡𝑒𝑑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𝑈𝑛𝑙𝑖𝑚𝑖𝑡𝑒𝑑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𝐿𝑜𝑠𝑠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𝑈𝐿𝐴𝐸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%+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𝐿𝐵𝐴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𝐹𝑖𝑥𝑒𝑑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𝐸𝑥𝑝𝑒𝑛𝑠𝑒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1 −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𝑃𝑟𝑜𝑓𝑖𝑡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&amp;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𝑉𝑎𝑟𝑖𝑎𝑏𝑙𝑒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 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𝐸𝑥𝑝𝑒𝑛𝑠𝑒𝑠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59EC0C37-E89C-4DA3-89A8-A28ACDB80EB2}"/>
                </a:ext>
              </a:extLst>
            </xdr:cNvPr>
            <xdr:cNvSpPr txBox="1"/>
          </xdr:nvSpPr>
          <xdr:spPr>
            <a:xfrm>
              <a:off x="6332220" y="449580"/>
              <a:ext cx="9423605" cy="3581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𝐿𝐷𝐷 𝑃𝑟𝑒𝑚𝑖𝑢𝑚=  ((𝐸𝑥𝑝𝑒𝑐𝑡𝑒𝑑 𝐸𝑥𝑐𝑒𝑠𝑠 𝐿𝑜𝑠𝑠+𝐼𝑛𝑠𝑢𝑟𝑎𝑛𝑐𝑒 𝐶ℎ𝑎𝑟𝑔𝑒⋅𝐸𝑥𝑝𝑒𝑐𝑡𝑒𝑑 𝐿𝑖𝑚𝑖𝑡𝑒𝑑 𝐿𝑜𝑠𝑠)+𝐸𝑥𝑝𝑒𝑐𝑡𝑒𝑑 𝑈𝑛𝑙𝑖𝑚𝑖𝑡𝑒𝑑 𝐿𝑜𝑠𝑠⋅(𝑈𝐿𝐴𝐸%+𝐿𝐵𝐴)+𝐹𝑖𝑥𝑒𝑑 𝐸𝑥𝑝𝑒𝑛𝑠𝑒)/(1 −𝑃𝑟𝑜𝑓𝑖𝑡 &amp; 𝑉𝑎𝑟𝑖𝑎𝑏𝑙𝑒 𝐸𝑥𝑝𝑒𝑛𝑠𝑒𝑠)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171451</xdr:colOff>
      <xdr:row>6</xdr:row>
      <xdr:rowOff>36195</xdr:rowOff>
    </xdr:from>
    <xdr:to>
      <xdr:col>6</xdr:col>
      <xdr:colOff>493103</xdr:colOff>
      <xdr:row>20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7C65AE-9D66-47C9-A9B3-F665BCD717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1" y="1133475"/>
          <a:ext cx="4284052" cy="2705100"/>
        </a:xfrm>
        <a:prstGeom prst="rect">
          <a:avLst/>
        </a:prstGeom>
      </xdr:spPr>
    </xdr:pic>
    <xdr:clientData/>
  </xdr:twoCellAnchor>
  <xdr:oneCellAnchor>
    <xdr:from>
      <xdr:col>8</xdr:col>
      <xdr:colOff>28575</xdr:colOff>
      <xdr:row>2</xdr:row>
      <xdr:rowOff>42862</xdr:rowOff>
    </xdr:from>
    <xdr:ext cx="6188169" cy="34528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1934EF3-6D7C-4AA4-8E9E-83E97847A8A9}"/>
                </a:ext>
              </a:extLst>
            </xdr:cNvPr>
            <xdr:cNvSpPr txBox="1"/>
          </xdr:nvSpPr>
          <xdr:spPr>
            <a:xfrm>
              <a:off x="4966335" y="408622"/>
              <a:ext cx="6188169" cy="3452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/>
                <a:t>Excess</a:t>
              </a:r>
              <a14:m>
                <m:oMath xmlns:m="http://schemas.openxmlformats.org/officeDocument/2006/math">
                  <m:r>
                    <a:rPr lang="en-US" sz="1400" b="0" i="1">
                      <a:latin typeface="Cambria Math" panose="02040503050406030204" pitchFamily="18" charset="0"/>
                    </a:rPr>
                    <m:t> </m:t>
                  </m:r>
                  <m:r>
                    <a:rPr lang="en-US" sz="1400" b="0" i="1">
                      <a:latin typeface="Cambria Math" panose="02040503050406030204" pitchFamily="18" charset="0"/>
                    </a:rPr>
                    <m:t>𝑃𝑟𝑒𝑚𝑖𝑢𝑚</m:t>
                  </m:r>
                  <m:r>
                    <a:rPr lang="en-US" sz="1400" b="0" i="1">
                      <a:latin typeface="Cambria Math" panose="02040503050406030204" pitchFamily="18" charset="0"/>
                    </a:rPr>
                    <m:t>= </m:t>
                  </m:r>
                  <m:f>
                    <m:fPr>
                      <m:ctrlPr>
                        <a:rPr lang="en-US" sz="1400" b="0" i="1">
                          <a:latin typeface="Cambria Math" panose="02040503050406030204" pitchFamily="18" charset="0"/>
                        </a:rPr>
                      </m:ctrlPr>
                    </m:fPr>
                    <m:num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𝐸𝑥𝑝𝑒𝑐𝑡𝑒𝑑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𝐸𝑥𝑐𝑒𝑠𝑠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𝐿𝑜𝑠𝑠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⋅</m:t>
                      </m:r>
                      <m:d>
                        <m:dPr>
                          <m:ctrlPr>
                            <a:rPr lang="en-US" sz="1400" b="0" i="1">
                              <a:latin typeface="Cambria Math" panose="02040503050406030204" pitchFamily="18" charset="0"/>
                            </a:rPr>
                          </m:ctrlPr>
                        </m:dPr>
                        <m:e>
                          <m:r>
                            <a:rPr lang="en-US" sz="1400" b="0" i="1">
                              <a:latin typeface="Cambria Math" panose="02040503050406030204" pitchFamily="18" charset="0"/>
                            </a:rPr>
                            <m:t>1+</m:t>
                          </m:r>
                          <m:r>
                            <a:rPr lang="en-US" sz="1400" b="0" i="1">
                              <a:latin typeface="Cambria Math" panose="02040503050406030204" pitchFamily="18" charset="0"/>
                            </a:rPr>
                            <m:t>𝑈𝐿𝐴𝐸</m:t>
                          </m:r>
                          <m:r>
                            <a:rPr lang="en-US" sz="1400" b="0" i="1">
                              <a:latin typeface="Cambria Math" panose="02040503050406030204" pitchFamily="18" charset="0"/>
                            </a:rPr>
                            <m:t>%</m:t>
                          </m:r>
                        </m:e>
                      </m:d>
                      <m:r>
                        <a:rPr lang="en-US" sz="1400" b="0" i="1">
                          <a:latin typeface="Cambria Math" panose="02040503050406030204" pitchFamily="18" charset="0"/>
                        </a:rPr>
                        <m:t>+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𝑆𝑡𝑎𝑛𝑑𝑎𝑟𝑑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𝑃𝑟𝑒𝑚𝑖𝑢𝑚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 ∗ 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𝐺𝑒𝑛𝑒𝑟𝑎𝑙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 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𝐸𝑥𝑝𝑒𝑛𝑠𝑒</m:t>
                      </m:r>
                    </m:num>
                    <m:den>
                      <m:r>
                        <a:rPr lang="en-US" sz="1400" b="0" i="1">
                          <a:latin typeface="Cambria Math" panose="02040503050406030204" pitchFamily="18" charset="0"/>
                        </a:rPr>
                        <m:t>1−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𝐴𝑐𝑞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. −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𝑇𝑎𝑥𝑒𝑠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 −</m:t>
                      </m:r>
                      <m:r>
                        <a:rPr lang="en-US" sz="1400" b="0" i="1">
                          <a:latin typeface="Cambria Math" panose="02040503050406030204" pitchFamily="18" charset="0"/>
                        </a:rPr>
                        <m:t>𝑃𝑟𝑜𝑓𝑖𝑡</m:t>
                      </m:r>
                    </m:den>
                  </m:f>
                </m:oMath>
              </a14:m>
              <a:endParaRPr lang="en-GB" sz="14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F1934EF3-6D7C-4AA4-8E9E-83E97847A8A9}"/>
                </a:ext>
              </a:extLst>
            </xdr:cNvPr>
            <xdr:cNvSpPr txBox="1"/>
          </xdr:nvSpPr>
          <xdr:spPr>
            <a:xfrm>
              <a:off x="4966335" y="408622"/>
              <a:ext cx="6188169" cy="34528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400" b="0"/>
                <a:t>Excess</a:t>
              </a:r>
              <a:r>
                <a:rPr lang="en-US" sz="1400" b="0" i="0">
                  <a:latin typeface="Cambria Math" panose="02040503050406030204" pitchFamily="18" charset="0"/>
                </a:rPr>
                <a:t> 𝑃𝑟𝑒𝑚𝑖𝑢𝑚=  (𝐸𝑥𝑝𝑒𝑐𝑡𝑒𝑑 𝐸𝑥𝑐𝑒𝑠𝑠 𝐿𝑜𝑠𝑠⋅(1+𝑈𝐿𝐴𝐸%)+𝑆𝑡𝑎𝑛𝑑𝑎𝑟𝑑 𝑃𝑟𝑒𝑚𝑖𝑢𝑚 ∗ 𝐺𝑒𝑛𝑒𝑟𝑎𝑙 𝐸𝑥𝑝𝑒𝑛𝑠𝑒)/(1−𝐴𝑐𝑞. −𝑇𝑎𝑥𝑒𝑠 −𝑃𝑟𝑜𝑓𝑖𝑡)</a:t>
              </a:r>
              <a:endParaRPr lang="en-GB" sz="1400"/>
            </a:p>
          </xdr:txBody>
        </xdr:sp>
      </mc:Fallback>
    </mc:AlternateContent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180975</xdr:colOff>
      <xdr:row>2</xdr:row>
      <xdr:rowOff>109537</xdr:rowOff>
    </xdr:from>
    <xdr:ext cx="1628587" cy="3592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D325E06-EA43-44B0-A8DE-38AA38D4D227}"/>
                </a:ext>
              </a:extLst>
            </xdr:cNvPr>
            <xdr:cNvSpPr txBox="1"/>
          </xdr:nvSpPr>
          <xdr:spPr>
            <a:xfrm>
              <a:off x="7465695" y="490537"/>
              <a:ext cx="1628587" cy="359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𝑘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 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𝑋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;100,000]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[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𝑋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]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9D325E06-EA43-44B0-A8DE-38AA38D4D227}"/>
                </a:ext>
              </a:extLst>
            </xdr:cNvPr>
            <xdr:cNvSpPr txBox="1"/>
          </xdr:nvSpPr>
          <xdr:spPr>
            <a:xfrm>
              <a:off x="7465695" y="490537"/>
              <a:ext cx="1628587" cy="359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𝑘=  (𝐸[𝑋]−𝐸[𝑋;100,000])/(𝐸[𝑋])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9</xdr:col>
      <xdr:colOff>38100</xdr:colOff>
      <xdr:row>27</xdr:row>
      <xdr:rowOff>128587</xdr:rowOff>
    </xdr:from>
    <xdr:ext cx="3293850" cy="3803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91A5965-0167-4DE3-BC09-C0DBFDF4B9C0}"/>
                </a:ext>
              </a:extLst>
            </xdr:cNvPr>
            <xdr:cNvSpPr txBox="1"/>
          </xdr:nvSpPr>
          <xdr:spPr>
            <a:xfrm>
              <a:off x="6697980" y="5081587"/>
              <a:ext cx="329385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Experience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 </m:t>
                    </m:r>
                    <m:r>
                      <m:rPr>
                        <m:nor/>
                      </m:rPr>
                      <a:rPr lang="en-US" sz="1100" b="0" i="0">
                        <a:latin typeface="Cambria Math" panose="02040503050406030204" pitchFamily="18" charset="0"/>
                      </a:rPr>
                      <m:t>Mod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𝑍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𝐴𝑐𝑡𝑢𝑎𝑙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𝐿𝑜𝑠𝑠</m:t>
                            </m:r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𝐸𝑥𝑝𝑒𝑐𝑡𝑒𝑑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𝐿𝑜𝑠𝑠</m:t>
                            </m:r>
                          </m:den>
                        </m:f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</m:t>
                        </m:r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⋅1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091A5965-0167-4DE3-BC09-C0DBFDF4B9C0}"/>
                </a:ext>
              </a:extLst>
            </xdr:cNvPr>
            <xdr:cNvSpPr txBox="1"/>
          </xdr:nvSpPr>
          <xdr:spPr>
            <a:xfrm>
              <a:off x="6697980" y="5081587"/>
              <a:ext cx="3293850" cy="3803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"Experience Mod"=𝑍⋅((𝐴𝑐𝑡𝑢𝑎𝑙 𝐿𝑜𝑠𝑠)/(𝐸𝑥𝑝𝑒𝑐𝑡𝑒𝑑 𝐿𝑜𝑠𝑠))+(1−𝑍)⋅1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333375</xdr:colOff>
      <xdr:row>7</xdr:row>
      <xdr:rowOff>128587</xdr:rowOff>
    </xdr:from>
    <xdr:ext cx="983794" cy="33483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9712665-532B-4DAD-6A4B-E5C5EF9DA614}"/>
                </a:ext>
              </a:extLst>
            </xdr:cNvPr>
            <xdr:cNvSpPr txBox="1"/>
          </xdr:nvSpPr>
          <xdr:spPr>
            <a:xfrm>
              <a:off x="1876425" y="1462087"/>
              <a:ext cx="983794" cy="3348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𝑍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+50,000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9712665-532B-4DAD-6A4B-E5C5EF9DA614}"/>
                </a:ext>
              </a:extLst>
            </xdr:cNvPr>
            <xdr:cNvSpPr txBox="1"/>
          </xdr:nvSpPr>
          <xdr:spPr>
            <a:xfrm>
              <a:off x="1876425" y="1462087"/>
              <a:ext cx="983794" cy="33483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𝑍=𝐸/(𝐸+50,000)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8</xdr:col>
      <xdr:colOff>9525</xdr:colOff>
      <xdr:row>2</xdr:row>
      <xdr:rowOff>100012</xdr:rowOff>
    </xdr:from>
    <xdr:ext cx="1383327" cy="32739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764A9CD8-5C77-4590-19DF-571848E1140F}"/>
                </a:ext>
              </a:extLst>
            </xdr:cNvPr>
            <xdr:cNvSpPr txBox="1"/>
          </xdr:nvSpPr>
          <xdr:spPr>
            <a:xfrm>
              <a:off x="5000625" y="481012"/>
              <a:ext cx="1383327" cy="3273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𝑍𝐴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764A9CD8-5C77-4590-19DF-571848E1140F}"/>
                </a:ext>
              </a:extLst>
            </xdr:cNvPr>
            <xdr:cNvSpPr txBox="1"/>
          </xdr:nvSpPr>
          <xdr:spPr>
            <a:xfrm>
              <a:off x="5000625" y="481012"/>
              <a:ext cx="1383327" cy="3273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𝑀𝑜𝑑=(𝑍𝐴+(1−𝑍)𝐸)/𝐸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219075</xdr:colOff>
      <xdr:row>1</xdr:row>
      <xdr:rowOff>33337</xdr:rowOff>
    </xdr:from>
    <xdr:ext cx="3013325" cy="33162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8216206-4036-9745-D14A-A0B2256E170C}"/>
                </a:ext>
              </a:extLst>
            </xdr:cNvPr>
            <xdr:cNvSpPr txBox="1"/>
          </xdr:nvSpPr>
          <xdr:spPr>
            <a:xfrm>
              <a:off x="4962525" y="223837"/>
              <a:ext cx="3013325" cy="3316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𝑀𝑜𝑑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𝑍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𝑃</m:t>
                                </m:r>
                              </m:sub>
                            </m:sSub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+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𝑍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𝑒</m:t>
                                </m:r>
                              </m:sub>
                            </m:sSub>
                          </m:e>
                        </m:d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8216206-4036-9745-D14A-A0B2256E170C}"/>
                </a:ext>
              </a:extLst>
            </xdr:cNvPr>
            <xdr:cNvSpPr txBox="1"/>
          </xdr:nvSpPr>
          <xdr:spPr>
            <a:xfrm>
              <a:off x="4962525" y="223837"/>
              <a:ext cx="3013325" cy="33162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𝑀𝑜𝑑=(𝑍_𝑝 𝐴_𝑝+(1−𝑍_𝑃 ) 𝐸_𝑝+𝑍_𝑒 𝐴_𝑒+(1−𝑍_𝑒 ) 𝐸_𝑒)/𝐸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6</xdr:row>
      <xdr:rowOff>42862</xdr:rowOff>
    </xdr:from>
    <xdr:ext cx="2242216" cy="35259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3854368-BA1F-6AAF-689B-F8888C17A814}"/>
                </a:ext>
              </a:extLst>
            </xdr:cNvPr>
            <xdr:cNvSpPr txBox="1"/>
          </xdr:nvSpPr>
          <xdr:spPr>
            <a:xfrm>
              <a:off x="952500" y="1185862"/>
              <a:ext cx="2242216" cy="3525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𝑀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=1+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𝑝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𝑝</m:t>
                                </m:r>
                              </m:sub>
                            </m:s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𝑝</m:t>
                                </m:r>
                              </m:sub>
                            </m:sSub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𝑍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</m:sub>
                        </m:sSub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𝑒</m:t>
                                </m:r>
                              </m:sub>
                            </m:s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𝐸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𝑒</m:t>
                                </m:r>
                              </m:sub>
                            </m:sSub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𝐸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3854368-BA1F-6AAF-689B-F8888C17A814}"/>
                </a:ext>
              </a:extLst>
            </xdr:cNvPr>
            <xdr:cNvSpPr txBox="1"/>
          </xdr:nvSpPr>
          <xdr:spPr>
            <a:xfrm>
              <a:off x="952500" y="1185862"/>
              <a:ext cx="2242216" cy="35259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𝑀=1+(𝑍_𝑝 (𝐴_𝑝−𝐸_𝑝 ))/𝐸+(𝑍_𝑒 (𝐴_𝑒−𝐸_𝑒 ))/𝐸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6</xdr:row>
      <xdr:rowOff>0</xdr:rowOff>
    </xdr:from>
    <xdr:to>
      <xdr:col>6</xdr:col>
      <xdr:colOff>552450</xdr:colOff>
      <xdr:row>23</xdr:row>
      <xdr:rowOff>58937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441047-71D9-156B-A2A7-978050AD7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1143000"/>
          <a:ext cx="4448175" cy="329743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85726</xdr:colOff>
      <xdr:row>5</xdr:row>
      <xdr:rowOff>180975</xdr:rowOff>
    </xdr:from>
    <xdr:to>
      <xdr:col>7</xdr:col>
      <xdr:colOff>561976</xdr:colOff>
      <xdr:row>24</xdr:row>
      <xdr:rowOff>162648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6B54FD-4347-CC52-1FEE-02CF05D23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6" y="1133475"/>
          <a:ext cx="5067300" cy="3601173"/>
        </a:xfrm>
        <a:prstGeom prst="rect">
          <a:avLst/>
        </a:prstGeom>
      </xdr:spPr>
    </xdr:pic>
    <xdr:clientData/>
  </xdr:twoCellAnchor>
  <xdr:twoCellAnchor>
    <xdr:from>
      <xdr:col>3</xdr:col>
      <xdr:colOff>85725</xdr:colOff>
      <xdr:row>32</xdr:row>
      <xdr:rowOff>66675</xdr:rowOff>
    </xdr:from>
    <xdr:to>
      <xdr:col>8</xdr:col>
      <xdr:colOff>558165</xdr:colOff>
      <xdr:row>32</xdr:row>
      <xdr:rowOff>523875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13F7980-12D2-F778-8A27-42A52E0A98B5}"/>
            </a:ext>
          </a:extLst>
        </xdr:cNvPr>
        <xdr:cNvSpPr txBox="1"/>
      </xdr:nvSpPr>
      <xdr:spPr>
        <a:xfrm>
          <a:off x="2238375" y="6162675"/>
          <a:ext cx="352044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l-GR" sz="1100" i="1"/>
            <a:t>φ</a:t>
          </a:r>
          <a:r>
            <a:rPr lang="el-GR" sz="1100"/>
            <a:t> – </a:t>
          </a:r>
          <a:r>
            <a:rPr lang="en-GB" sz="1100"/>
            <a:t>The Table M insurance charge at r</a:t>
          </a:r>
          <a:r>
            <a:rPr lang="en-GB" sz="1100" baseline="-25000"/>
            <a:t>2</a:t>
          </a:r>
        </a:p>
      </xdr:txBody>
    </xdr:sp>
    <xdr:clientData/>
  </xdr:twoCellAnchor>
  <xdr:twoCellAnchor>
    <xdr:from>
      <xdr:col>3</xdr:col>
      <xdr:colOff>85725</xdr:colOff>
      <xdr:row>33</xdr:row>
      <xdr:rowOff>47625</xdr:rowOff>
    </xdr:from>
    <xdr:to>
      <xdr:col>8</xdr:col>
      <xdr:colOff>558165</xdr:colOff>
      <xdr:row>33</xdr:row>
      <xdr:rowOff>504825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47BD005-D7A7-4E5C-878E-BCCA0944F046}"/>
            </a:ext>
          </a:extLst>
        </xdr:cNvPr>
        <xdr:cNvSpPr txBox="1"/>
      </xdr:nvSpPr>
      <xdr:spPr>
        <a:xfrm>
          <a:off x="2238375" y="6715125"/>
          <a:ext cx="352044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l-GR" sz="1100" i="1"/>
            <a:t>ψ</a:t>
          </a:r>
          <a:r>
            <a:rPr lang="el-GR" sz="1100" i="0"/>
            <a:t> – </a:t>
          </a:r>
          <a:r>
            <a:rPr lang="en-GB" sz="1100" i="0"/>
            <a:t>The Table M savings at r</a:t>
          </a:r>
          <a:r>
            <a:rPr lang="en-GB" sz="1100" i="0" baseline="-25000"/>
            <a:t>1</a:t>
          </a:r>
        </a:p>
      </xdr:txBody>
    </xdr:sp>
    <xdr:clientData/>
  </xdr:twoCellAnchor>
  <xdr:twoCellAnchor>
    <xdr:from>
      <xdr:col>3</xdr:col>
      <xdr:colOff>85725</xdr:colOff>
      <xdr:row>34</xdr:row>
      <xdr:rowOff>47625</xdr:rowOff>
    </xdr:from>
    <xdr:to>
      <xdr:col>8</xdr:col>
      <xdr:colOff>558165</xdr:colOff>
      <xdr:row>34</xdr:row>
      <xdr:rowOff>504825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2D92F99-73AC-4E6B-A7B1-EF9070F39399}"/>
            </a:ext>
          </a:extLst>
        </xdr:cNvPr>
        <xdr:cNvSpPr txBox="1"/>
      </xdr:nvSpPr>
      <xdr:spPr>
        <a:xfrm>
          <a:off x="2238375" y="7286625"/>
          <a:ext cx="352044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l-GR" sz="1100" i="1"/>
            <a:t>φ*</a:t>
          </a:r>
          <a:r>
            <a:rPr lang="el-GR" sz="1100" i="0"/>
            <a:t> – </a:t>
          </a:r>
          <a:r>
            <a:rPr lang="en-GB" sz="1100" i="0"/>
            <a:t>The Table L insurance charge at r</a:t>
          </a:r>
          <a:r>
            <a:rPr lang="en-GB" sz="1100" i="0" baseline="-25000"/>
            <a:t>2</a:t>
          </a:r>
        </a:p>
      </xdr:txBody>
    </xdr:sp>
    <xdr:clientData/>
  </xdr:twoCellAnchor>
  <xdr:twoCellAnchor>
    <xdr:from>
      <xdr:col>3</xdr:col>
      <xdr:colOff>76200</xdr:colOff>
      <xdr:row>35</xdr:row>
      <xdr:rowOff>76201</xdr:rowOff>
    </xdr:from>
    <xdr:to>
      <xdr:col>8</xdr:col>
      <xdr:colOff>548640</xdr:colOff>
      <xdr:row>35</xdr:row>
      <xdr:rowOff>533401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4D807A73-7B0D-4FD4-86F5-F903E40A09C2}"/>
            </a:ext>
          </a:extLst>
        </xdr:cNvPr>
        <xdr:cNvSpPr txBox="1"/>
      </xdr:nvSpPr>
      <xdr:spPr>
        <a:xfrm>
          <a:off x="2228850" y="7886701"/>
          <a:ext cx="352044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l-GR" sz="1100" i="1"/>
            <a:t>ψ*</a:t>
          </a:r>
          <a:r>
            <a:rPr lang="el-GR" sz="1100" i="0"/>
            <a:t> – </a:t>
          </a:r>
          <a:r>
            <a:rPr lang="en-GB" sz="1100" i="0"/>
            <a:t>The Table L savings at r</a:t>
          </a:r>
          <a:r>
            <a:rPr lang="en-GB" sz="1100" i="0" baseline="-25000"/>
            <a:t>1</a:t>
          </a:r>
        </a:p>
      </xdr:txBody>
    </xdr:sp>
    <xdr:clientData/>
  </xdr:twoCellAnchor>
  <xdr:twoCellAnchor>
    <xdr:from>
      <xdr:col>3</xdr:col>
      <xdr:colOff>76201</xdr:colOff>
      <xdr:row>36</xdr:row>
      <xdr:rowOff>85725</xdr:rowOff>
    </xdr:from>
    <xdr:to>
      <xdr:col>8</xdr:col>
      <xdr:colOff>552451</xdr:colOff>
      <xdr:row>36</xdr:row>
      <xdr:rowOff>542925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31B6645-99A6-491E-BFD1-7C56272B7D8E}"/>
            </a:ext>
          </a:extLst>
        </xdr:cNvPr>
        <xdr:cNvSpPr txBox="1"/>
      </xdr:nvSpPr>
      <xdr:spPr>
        <a:xfrm>
          <a:off x="2228851" y="8467725"/>
          <a:ext cx="352425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1100" i="1"/>
            <a:t>I – The amount expected to be paid by the insured with an aggregate limit but no per-accident limit.</a:t>
          </a:r>
          <a:endParaRPr lang="en-GB" sz="1100" i="0" baseline="-25000"/>
        </a:p>
      </xdr:txBody>
    </xdr:sp>
    <xdr:clientData/>
  </xdr:twoCellAnchor>
  <xdr:twoCellAnchor>
    <xdr:from>
      <xdr:col>3</xdr:col>
      <xdr:colOff>95250</xdr:colOff>
      <xdr:row>37</xdr:row>
      <xdr:rowOff>47623</xdr:rowOff>
    </xdr:from>
    <xdr:to>
      <xdr:col>8</xdr:col>
      <xdr:colOff>567690</xdr:colOff>
      <xdr:row>37</xdr:row>
      <xdr:rowOff>504823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F1DA561-B310-4C04-9A08-68590022D3FB}"/>
            </a:ext>
          </a:extLst>
        </xdr:cNvPr>
        <xdr:cNvSpPr txBox="1"/>
      </xdr:nvSpPr>
      <xdr:spPr>
        <a:xfrm>
          <a:off x="2247900" y="9001123"/>
          <a:ext cx="3520440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1100" i="1"/>
            <a:t>I* – The amount expected to be paid by the insured in the presence of both an aggregate and a per-accident limit.</a:t>
          </a:r>
          <a:endParaRPr lang="en-GB" sz="1100" i="0" baseline="-250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38100</xdr:colOff>
      <xdr:row>2</xdr:row>
      <xdr:rowOff>23812</xdr:rowOff>
    </xdr:from>
    <xdr:ext cx="2086660" cy="3592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2FD57EB-4DD1-9AB8-244B-9A1A60566822}"/>
                </a:ext>
              </a:extLst>
            </xdr:cNvPr>
            <xdr:cNvSpPr txBox="1"/>
          </xdr:nvSpPr>
          <xdr:spPr>
            <a:xfrm>
              <a:off x="5715000" y="1433512"/>
              <a:ext cx="2086660" cy="359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b="0" i="1">
                        <a:latin typeface="Cambria Math" panose="02040503050406030204" pitchFamily="18" charset="0"/>
                      </a:rPr>
                      <m:t>𝜙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𝐻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r>
                      <a:rPr lang="en-US" sz="1100" b="0" i="1">
                        <a:latin typeface="Cambria Math" panose="02040503050406030204" pitchFamily="18" charset="0"/>
                      </a:rPr>
                      <m:t>𝜙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𝐸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d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𝐴</m:t>
                                </m:r>
                              </m:e>
                            </m:d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𝐻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E2FD57EB-4DD1-9AB8-244B-9A1A60566822}"/>
                </a:ext>
              </a:extLst>
            </xdr:cNvPr>
            <xdr:cNvSpPr txBox="1"/>
          </xdr:nvSpPr>
          <xdr:spPr>
            <a:xfrm>
              <a:off x="5715000" y="1433512"/>
              <a:ext cx="2086660" cy="3592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𝜙(𝑟_𝐻 )−𝜙(𝑟_𝐺 )=((𝑒+𝐸[𝐴])𝑇−𝐻)/𝑐𝐸[𝐴]𝑇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28575</xdr:colOff>
      <xdr:row>4</xdr:row>
      <xdr:rowOff>109537</xdr:rowOff>
    </xdr:from>
    <xdr:ext cx="1085425" cy="34233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A223A2F-4861-AD71-FC59-D5D86D92B3C8}"/>
                </a:ext>
              </a:extLst>
            </xdr:cNvPr>
            <xdr:cNvSpPr txBox="1"/>
          </xdr:nvSpPr>
          <xdr:spPr>
            <a:xfrm>
              <a:off x="5705475" y="1900237"/>
              <a:ext cx="1085425" cy="3423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𝐺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−</m:t>
                    </m:r>
                    <m:sSub>
                      <m:sSub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𝑟</m:t>
                        </m:r>
                      </m:e>
                      <m: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𝐻</m:t>
                        </m:r>
                      </m:sub>
                    </m:sSub>
                    <m:r>
                      <a:rPr lang="en-US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𝐺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𝐻</m:t>
                        </m:r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𝑐𝐸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𝐴</m:t>
                            </m:r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𝑇</m:t>
                        </m:r>
                      </m:den>
                    </m:f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9A223A2F-4861-AD71-FC59-D5D86D92B3C8}"/>
                </a:ext>
              </a:extLst>
            </xdr:cNvPr>
            <xdr:cNvSpPr txBox="1"/>
          </xdr:nvSpPr>
          <xdr:spPr>
            <a:xfrm>
              <a:off x="5705475" y="1900237"/>
              <a:ext cx="1085425" cy="3423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100" b="0" i="0">
                  <a:latin typeface="Cambria Math" panose="02040503050406030204" pitchFamily="18" charset="0"/>
                </a:rPr>
                <a:t>𝑟_𝐺−𝑟_𝐻=(𝐺−𝐻)/𝑐𝐸[𝐴]𝑇</a:t>
              </a:r>
              <a:endParaRPr lang="en-GB" sz="1100"/>
            </a:p>
          </xdr:txBody>
        </xdr:sp>
      </mc:Fallback>
    </mc:AlternateContent>
    <xdr:clientData/>
  </xdr:oneCellAnchor>
  <xdr:oneCellAnchor>
    <xdr:from>
      <xdr:col>10</xdr:col>
      <xdr:colOff>9525</xdr:colOff>
      <xdr:row>26</xdr:row>
      <xdr:rowOff>33337</xdr:rowOff>
    </xdr:from>
    <xdr:ext cx="3355342" cy="41043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C382602-1889-63C0-BBB1-8973301B8BAC}"/>
                </a:ext>
              </a:extLst>
            </xdr:cNvPr>
            <xdr:cNvSpPr txBox="1"/>
          </xdr:nvSpPr>
          <xdr:spPr>
            <a:xfrm>
              <a:off x="5686425" y="5072062"/>
              <a:ext cx="3355342" cy="4104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𝐺</m:t>
                            </m:r>
                          </m:sub>
                        </m:sSub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𝐻</m:t>
                            </m:r>
                          </m:sub>
                        </m:sSub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⋅</m:t>
                    </m:r>
                    <m:d>
                      <m:d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1−</m:t>
                        </m:r>
                        <m:f>
                          <m:f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𝑟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𝐺</m:t>
                                </m:r>
                              </m:sub>
                            </m:sSub>
                          </m:num>
                          <m:den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2</m:t>
                            </m:r>
                          </m:den>
                        </m:f>
                      </m:e>
                    </m:d>
                    <m:r>
                      <a:rPr lang="en-US" sz="1100" b="0" i="1">
                        <a:latin typeface="Cambria Math" panose="02040503050406030204" pitchFamily="18" charset="0"/>
                      </a:rPr>
                      <m:t>+</m:t>
                    </m:r>
                    <m:f>
                      <m:fPr>
                        <m:ctrlPr>
                          <a:rPr lang="en-US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𝑟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𝐺</m:t>
                                </m:r>
                              </m:sub>
                            </m:sSub>
                            <m:r>
                              <a:rPr lang="en-US" sz="1100" b="0" i="1">
                                <a:latin typeface="Cambria Math" panose="02040503050406030204" pitchFamily="18" charset="0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𝑟</m:t>
                                </m:r>
                              </m:e>
                              <m: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𝐻</m:t>
                                </m:r>
                              </m:sub>
                            </m:sSub>
                          </m:e>
                        </m:d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⋅</m:t>
                        </m:r>
                        <m:d>
                          <m:dPr>
                            <m:ctrlPr>
                              <a:rPr lang="en-US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𝑟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𝐺</m:t>
                                    </m:r>
                                  </m:sub>
                                </m:sSub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−</m:t>
                                </m:r>
                                <m:sSub>
                                  <m:sSubPr>
                                    <m:ctrlP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</m:ctrlPr>
                                  </m:sSubPr>
                                  <m:e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𝑟</m:t>
                                    </m:r>
                                  </m:e>
                                  <m:sub>
                                    <m:r>
                                      <a:rPr lang="en-US" sz="1100" b="0" i="1">
                                        <a:latin typeface="Cambria Math" panose="02040503050406030204" pitchFamily="18" charset="0"/>
                                      </a:rPr>
                                      <m:t>𝐻</m:t>
                                    </m:r>
                                  </m:sub>
                                </m:sSub>
                              </m:num>
                              <m:den>
                                <m:r>
                                  <a:rPr lang="en-US" sz="1100" b="0" i="1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den>
                            </m:f>
                          </m:e>
                        </m:d>
                      </m:num>
                      <m:den>
                        <m:r>
                          <a:rPr lang="en-US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n-US" sz="1100" b="0" i="1">
                        <a:latin typeface="Cambria Math" panose="02040503050406030204" pitchFamily="18" charset="0"/>
                      </a:rPr>
                      <m:t>=0.633333</m:t>
                    </m:r>
                  </m:oMath>
                </m:oMathPara>
              </a14:m>
              <a:endParaRPr lang="en-GB" sz="1100"/>
            </a:p>
          </xdr:txBody>
        </xdr:sp>
      </mc:Choice>
      <mc:Fallback xmlns="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1C382602-1889-63C0-BBB1-8973301B8BAC}"/>
                </a:ext>
              </a:extLst>
            </xdr:cNvPr>
            <xdr:cNvSpPr txBox="1"/>
          </xdr:nvSpPr>
          <xdr:spPr>
            <a:xfrm>
              <a:off x="5686425" y="5072062"/>
              <a:ext cx="3355342" cy="4104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b="0" i="0">
                  <a:latin typeface="Cambria Math" panose="02040503050406030204" pitchFamily="18" charset="0"/>
                </a:rPr>
                <a:t>(𝑟_𝐺−𝑟_𝐻 )⋅(1−𝑟_𝐺/2)+((𝑟_𝐺−𝑟_𝐻 )⋅((𝑟_𝐺−𝑟_𝐻)/2))/2=0.633333</a:t>
              </a:r>
              <a:endParaRPr lang="en-GB" sz="1100"/>
            </a:p>
          </xdr:txBody>
        </xdr:sp>
      </mc:Fallback>
    </mc:AlternateContent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885825</xdr:colOff>
      <xdr:row>14</xdr:row>
      <xdr:rowOff>28575</xdr:rowOff>
    </xdr:from>
    <xdr:to>
      <xdr:col>8</xdr:col>
      <xdr:colOff>57150</xdr:colOff>
      <xdr:row>28</xdr:row>
      <xdr:rowOff>157931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231D3A9-A8A7-4E24-804F-3D89C5621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2695575"/>
          <a:ext cx="4562475" cy="279635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6</xdr:row>
      <xdr:rowOff>161926</xdr:rowOff>
    </xdr:from>
    <xdr:to>
      <xdr:col>6</xdr:col>
      <xdr:colOff>219075</xdr:colOff>
      <xdr:row>24</xdr:row>
      <xdr:rowOff>11168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C3EF68A-DB4A-7A79-8E4C-A3D98A7C3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1304926"/>
          <a:ext cx="4181475" cy="3316342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24</xdr:row>
      <xdr:rowOff>28577</xdr:rowOff>
    </xdr:from>
    <xdr:to>
      <xdr:col>6</xdr:col>
      <xdr:colOff>190500</xdr:colOff>
      <xdr:row>41</xdr:row>
      <xdr:rowOff>118619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E75DDA9-7287-F8BC-56B4-5D7E047F1E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" y="4600577"/>
          <a:ext cx="4076700" cy="33285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E5B10-EFF7-441F-BCE8-3F06A538F43E}">
  <dimension ref="A5:C1048576"/>
  <sheetViews>
    <sheetView showGridLines="0" tabSelected="1" workbookViewId="0"/>
  </sheetViews>
  <sheetFormatPr defaultRowHeight="14.4" x14ac:dyDescent="0.3"/>
  <cols>
    <col min="2" max="2" width="22.6640625" style="1" customWidth="1"/>
    <col min="3" max="3" width="64" customWidth="1"/>
  </cols>
  <sheetData>
    <row r="5" spans="1:3" ht="15" customHeight="1" x14ac:dyDescent="0.3">
      <c r="A5" s="488" t="s">
        <v>11</v>
      </c>
      <c r="B5" s="488"/>
      <c r="C5" s="488"/>
    </row>
    <row r="6" spans="1:3" ht="15" customHeight="1" x14ac:dyDescent="0.3">
      <c r="A6" s="488"/>
      <c r="B6" s="488"/>
      <c r="C6" s="488"/>
    </row>
    <row r="7" spans="1:3" ht="15" customHeight="1" x14ac:dyDescent="0.3"/>
    <row r="8" spans="1:3" ht="15" customHeight="1" x14ac:dyDescent="0.35">
      <c r="A8" s="489" t="s">
        <v>0</v>
      </c>
      <c r="B8" s="489"/>
      <c r="C8" s="489"/>
    </row>
    <row r="9" spans="1:3" ht="21" x14ac:dyDescent="0.4">
      <c r="A9" s="2"/>
      <c r="B9" s="2"/>
      <c r="C9" s="2"/>
    </row>
    <row r="10" spans="1:3" x14ac:dyDescent="0.3">
      <c r="A10" s="3" t="s">
        <v>1</v>
      </c>
      <c r="B10" s="3" t="s">
        <v>2</v>
      </c>
      <c r="C10" s="3" t="s">
        <v>3</v>
      </c>
    </row>
    <row r="11" spans="1:3" x14ac:dyDescent="0.3">
      <c r="A11" s="4">
        <v>1</v>
      </c>
      <c r="B11" s="1" t="s">
        <v>13</v>
      </c>
      <c r="C11" t="s">
        <v>23</v>
      </c>
    </row>
    <row r="12" spans="1:3" x14ac:dyDescent="0.3">
      <c r="A12" s="4">
        <v>2</v>
      </c>
      <c r="B12" s="1" t="s">
        <v>369</v>
      </c>
      <c r="C12" t="s">
        <v>63</v>
      </c>
    </row>
    <row r="13" spans="1:3" x14ac:dyDescent="0.3">
      <c r="A13" s="4">
        <v>3</v>
      </c>
      <c r="B13" s="1" t="s">
        <v>370</v>
      </c>
      <c r="C13" t="s">
        <v>86</v>
      </c>
    </row>
    <row r="14" spans="1:3" x14ac:dyDescent="0.3">
      <c r="A14" s="4">
        <v>4</v>
      </c>
      <c r="B14" s="1" t="s">
        <v>371</v>
      </c>
      <c r="C14" t="s">
        <v>63</v>
      </c>
    </row>
    <row r="15" spans="1:3" x14ac:dyDescent="0.3">
      <c r="A15" s="4">
        <v>5</v>
      </c>
      <c r="B15" s="1" t="s">
        <v>372</v>
      </c>
      <c r="C15" t="s">
        <v>137</v>
      </c>
    </row>
    <row r="16" spans="1:3" x14ac:dyDescent="0.3">
      <c r="A16" s="4">
        <v>6</v>
      </c>
      <c r="B16" s="1" t="s">
        <v>373</v>
      </c>
      <c r="C16" t="s">
        <v>200</v>
      </c>
    </row>
    <row r="17" spans="1:3" x14ac:dyDescent="0.3">
      <c r="A17" s="4">
        <v>7</v>
      </c>
      <c r="B17" s="1" t="s">
        <v>374</v>
      </c>
      <c r="C17" t="s">
        <v>63</v>
      </c>
    </row>
    <row r="18" spans="1:3" x14ac:dyDescent="0.3">
      <c r="A18" s="4">
        <v>8</v>
      </c>
      <c r="B18" s="1" t="s">
        <v>375</v>
      </c>
      <c r="C18" t="s">
        <v>245</v>
      </c>
    </row>
    <row r="19" spans="1:3" x14ac:dyDescent="0.3">
      <c r="A19" s="487">
        <v>9</v>
      </c>
      <c r="B19" s="1" t="s">
        <v>376</v>
      </c>
      <c r="C19" t="s">
        <v>255</v>
      </c>
    </row>
    <row r="20" spans="1:3" x14ac:dyDescent="0.3">
      <c r="A20" s="487">
        <v>10</v>
      </c>
      <c r="B20" s="1" t="s">
        <v>377</v>
      </c>
      <c r="C20" t="s">
        <v>281</v>
      </c>
    </row>
    <row r="21" spans="1:3" x14ac:dyDescent="0.3">
      <c r="A21" s="487">
        <v>11</v>
      </c>
      <c r="B21" s="1" t="s">
        <v>378</v>
      </c>
      <c r="C21" t="s">
        <v>15</v>
      </c>
    </row>
    <row r="22" spans="1:3" x14ac:dyDescent="0.3">
      <c r="A22" s="487">
        <v>12</v>
      </c>
      <c r="B22" s="1" t="s">
        <v>379</v>
      </c>
      <c r="C22" t="s">
        <v>15</v>
      </c>
    </row>
    <row r="23" spans="1:3" x14ac:dyDescent="0.3">
      <c r="A23" s="487">
        <v>13</v>
      </c>
      <c r="B23" s="1" t="s">
        <v>1432</v>
      </c>
      <c r="C23" t="s">
        <v>475</v>
      </c>
    </row>
    <row r="24" spans="1:3" x14ac:dyDescent="0.3">
      <c r="A24" s="487">
        <v>14</v>
      </c>
      <c r="B24" s="1" t="s">
        <v>1434</v>
      </c>
      <c r="C24" t="s">
        <v>523</v>
      </c>
    </row>
    <row r="25" spans="1:3" x14ac:dyDescent="0.3">
      <c r="A25" s="487">
        <v>15</v>
      </c>
      <c r="B25" s="1" t="s">
        <v>1433</v>
      </c>
      <c r="C25" t="s">
        <v>381</v>
      </c>
    </row>
    <row r="26" spans="1:3" x14ac:dyDescent="0.3">
      <c r="A26" s="487">
        <v>16</v>
      </c>
      <c r="B26" s="1" t="s">
        <v>1436</v>
      </c>
      <c r="C26" t="s">
        <v>381</v>
      </c>
    </row>
    <row r="27" spans="1:3" x14ac:dyDescent="0.3">
      <c r="A27" s="487">
        <v>17</v>
      </c>
      <c r="B27" s="1" t="s">
        <v>1437</v>
      </c>
      <c r="C27" t="s">
        <v>381</v>
      </c>
    </row>
    <row r="28" spans="1:3" x14ac:dyDescent="0.3">
      <c r="A28" s="487">
        <v>18</v>
      </c>
      <c r="B28" s="1" t="s">
        <v>1438</v>
      </c>
      <c r="C28" t="s">
        <v>475</v>
      </c>
    </row>
    <row r="29" spans="1:3" x14ac:dyDescent="0.3">
      <c r="A29" s="487">
        <v>19</v>
      </c>
      <c r="B29" s="1" t="s">
        <v>1435</v>
      </c>
      <c r="C29" t="s">
        <v>785</v>
      </c>
    </row>
    <row r="30" spans="1:3" x14ac:dyDescent="0.3">
      <c r="A30" s="487">
        <v>20</v>
      </c>
      <c r="B30" s="1" t="s">
        <v>1439</v>
      </c>
      <c r="C30" t="s">
        <v>526</v>
      </c>
    </row>
    <row r="31" spans="1:3" x14ac:dyDescent="0.3">
      <c r="A31" s="487">
        <v>21</v>
      </c>
      <c r="B31" s="1" t="s">
        <v>1440</v>
      </c>
      <c r="C31" t="s">
        <v>543</v>
      </c>
    </row>
    <row r="32" spans="1:3" x14ac:dyDescent="0.3">
      <c r="A32" s="487">
        <v>22</v>
      </c>
      <c r="B32" s="1" t="s">
        <v>1441</v>
      </c>
      <c r="C32" t="s">
        <v>575</v>
      </c>
    </row>
    <row r="33" spans="1:3" x14ac:dyDescent="0.3">
      <c r="A33" s="487">
        <v>23</v>
      </c>
      <c r="B33" s="1" t="s">
        <v>1442</v>
      </c>
      <c r="C33" t="s">
        <v>543</v>
      </c>
    </row>
    <row r="34" spans="1:3" x14ac:dyDescent="0.3">
      <c r="A34" s="487">
        <v>24</v>
      </c>
      <c r="B34" s="1" t="s">
        <v>1443</v>
      </c>
      <c r="C34" t="s">
        <v>619</v>
      </c>
    </row>
    <row r="35" spans="1:3" x14ac:dyDescent="0.3">
      <c r="A35" s="487">
        <v>25</v>
      </c>
      <c r="B35" s="1" t="s">
        <v>1444</v>
      </c>
      <c r="C35" t="s">
        <v>651</v>
      </c>
    </row>
    <row r="36" spans="1:3" x14ac:dyDescent="0.3">
      <c r="A36" s="487">
        <v>26</v>
      </c>
      <c r="B36" s="1" t="s">
        <v>1445</v>
      </c>
      <c r="C36" t="s">
        <v>747</v>
      </c>
    </row>
    <row r="37" spans="1:3" x14ac:dyDescent="0.3">
      <c r="A37" s="487">
        <v>27</v>
      </c>
      <c r="B37" s="1" t="s">
        <v>1446</v>
      </c>
      <c r="C37" t="s">
        <v>1040</v>
      </c>
    </row>
    <row r="38" spans="1:3" x14ac:dyDescent="0.3">
      <c r="A38" s="487">
        <v>28</v>
      </c>
      <c r="B38" s="1" t="s">
        <v>1447</v>
      </c>
      <c r="C38" t="s">
        <v>1406</v>
      </c>
    </row>
    <row r="39" spans="1:3" x14ac:dyDescent="0.3">
      <c r="A39" s="487">
        <v>29</v>
      </c>
      <c r="B39" s="1" t="s">
        <v>1448</v>
      </c>
      <c r="C39" t="s">
        <v>800</v>
      </c>
    </row>
    <row r="40" spans="1:3" x14ac:dyDescent="0.3">
      <c r="A40" s="487">
        <v>30</v>
      </c>
      <c r="B40" s="1" t="s">
        <v>1449</v>
      </c>
      <c r="C40" t="s">
        <v>809</v>
      </c>
    </row>
    <row r="41" spans="1:3" x14ac:dyDescent="0.3">
      <c r="A41" s="487">
        <v>31</v>
      </c>
      <c r="B41" s="1" t="s">
        <v>1450</v>
      </c>
      <c r="C41" t="s">
        <v>850</v>
      </c>
    </row>
    <row r="42" spans="1:3" x14ac:dyDescent="0.3">
      <c r="A42" s="487">
        <v>32</v>
      </c>
      <c r="B42" s="1" t="s">
        <v>1451</v>
      </c>
      <c r="C42" t="s">
        <v>800</v>
      </c>
    </row>
    <row r="43" spans="1:3" x14ac:dyDescent="0.3">
      <c r="A43" s="487">
        <v>33</v>
      </c>
      <c r="B43" s="1" t="s">
        <v>1452</v>
      </c>
      <c r="C43" t="s">
        <v>543</v>
      </c>
    </row>
    <row r="44" spans="1:3" x14ac:dyDescent="0.3">
      <c r="A44" s="487">
        <v>34</v>
      </c>
      <c r="B44" s="1" t="s">
        <v>1453</v>
      </c>
      <c r="C44" t="s">
        <v>800</v>
      </c>
    </row>
    <row r="45" spans="1:3" x14ac:dyDescent="0.3">
      <c r="A45" s="487">
        <v>35</v>
      </c>
      <c r="B45" s="1" t="s">
        <v>1454</v>
      </c>
      <c r="C45" t="s">
        <v>1421</v>
      </c>
    </row>
    <row r="46" spans="1:3" x14ac:dyDescent="0.3">
      <c r="A46" s="487">
        <v>36</v>
      </c>
      <c r="B46" s="1" t="s">
        <v>1455</v>
      </c>
      <c r="C46" t="s">
        <v>948</v>
      </c>
    </row>
    <row r="47" spans="1:3" x14ac:dyDescent="0.3">
      <c r="A47" s="487">
        <v>37</v>
      </c>
      <c r="B47" s="1" t="s">
        <v>1457</v>
      </c>
      <c r="C47" t="s">
        <v>968</v>
      </c>
    </row>
    <row r="48" spans="1:3" x14ac:dyDescent="0.3">
      <c r="A48" s="487">
        <v>38</v>
      </c>
      <c r="B48" s="1" t="s">
        <v>1458</v>
      </c>
      <c r="C48" t="s">
        <v>948</v>
      </c>
    </row>
    <row r="49" spans="1:3" x14ac:dyDescent="0.3">
      <c r="A49" s="487">
        <v>39</v>
      </c>
      <c r="B49" s="1" t="s">
        <v>1459</v>
      </c>
      <c r="C49" t="s">
        <v>968</v>
      </c>
    </row>
    <row r="50" spans="1:3" x14ac:dyDescent="0.3">
      <c r="A50" s="487">
        <v>40</v>
      </c>
      <c r="B50" s="1" t="s">
        <v>1460</v>
      </c>
      <c r="C50" t="s">
        <v>948</v>
      </c>
    </row>
    <row r="51" spans="1:3" x14ac:dyDescent="0.3">
      <c r="A51" s="487">
        <v>41</v>
      </c>
      <c r="B51" s="1" t="s">
        <v>1456</v>
      </c>
      <c r="C51" t="s">
        <v>718</v>
      </c>
    </row>
    <row r="52" spans="1:3" x14ac:dyDescent="0.3">
      <c r="A52" s="487">
        <v>42</v>
      </c>
      <c r="B52" s="1" t="s">
        <v>1461</v>
      </c>
      <c r="C52" t="s">
        <v>1089</v>
      </c>
    </row>
    <row r="53" spans="1:3" x14ac:dyDescent="0.3">
      <c r="A53" s="487">
        <v>43</v>
      </c>
      <c r="B53" s="1" t="s">
        <v>1462</v>
      </c>
      <c r="C53" t="s">
        <v>1152</v>
      </c>
    </row>
    <row r="54" spans="1:3" x14ac:dyDescent="0.3">
      <c r="A54" s="487">
        <v>44</v>
      </c>
      <c r="B54" s="1" t="s">
        <v>1463</v>
      </c>
      <c r="C54" t="s">
        <v>1211</v>
      </c>
    </row>
    <row r="55" spans="1:3" x14ac:dyDescent="0.3">
      <c r="A55" s="487">
        <v>45</v>
      </c>
      <c r="B55" s="1" t="s">
        <v>1464</v>
      </c>
      <c r="C55" t="s">
        <v>1243</v>
      </c>
    </row>
    <row r="56" spans="1:3" x14ac:dyDescent="0.3">
      <c r="A56" s="487">
        <v>46</v>
      </c>
      <c r="B56" s="1" t="s">
        <v>1465</v>
      </c>
      <c r="C56" t="s">
        <v>1290</v>
      </c>
    </row>
    <row r="57" spans="1:3" x14ac:dyDescent="0.3">
      <c r="A57" s="487">
        <v>47</v>
      </c>
      <c r="B57" s="1" t="s">
        <v>1466</v>
      </c>
      <c r="C57" t="s">
        <v>1306</v>
      </c>
    </row>
    <row r="58" spans="1:3" x14ac:dyDescent="0.3">
      <c r="A58" s="487">
        <v>48</v>
      </c>
      <c r="B58" s="1" t="s">
        <v>1467</v>
      </c>
      <c r="C58" t="s">
        <v>1347</v>
      </c>
    </row>
    <row r="59" spans="1:3" x14ac:dyDescent="0.3">
      <c r="A59" s="487">
        <v>49</v>
      </c>
      <c r="B59" s="1" t="s">
        <v>1468</v>
      </c>
      <c r="C59" t="s">
        <v>1399</v>
      </c>
    </row>
    <row r="60" spans="1:3" x14ac:dyDescent="0.3">
      <c r="A60" s="487">
        <v>50</v>
      </c>
      <c r="B60" s="1" t="s">
        <v>1529</v>
      </c>
      <c r="C60" t="s">
        <v>1496</v>
      </c>
    </row>
    <row r="61" spans="1:3" x14ac:dyDescent="0.3">
      <c r="A61" s="5"/>
    </row>
    <row r="62" spans="1:3" x14ac:dyDescent="0.3">
      <c r="A62" s="5"/>
    </row>
    <row r="63" spans="1:3" x14ac:dyDescent="0.3">
      <c r="A63" s="5"/>
    </row>
    <row r="64" spans="1:3" x14ac:dyDescent="0.3">
      <c r="A64" s="5"/>
    </row>
    <row r="65" spans="1:1" x14ac:dyDescent="0.3">
      <c r="A65" s="5"/>
    </row>
    <row r="66" spans="1:1" x14ac:dyDescent="0.3">
      <c r="A66" s="5"/>
    </row>
    <row r="67" spans="1:1" x14ac:dyDescent="0.3">
      <c r="A67" s="5"/>
    </row>
    <row r="68" spans="1:1" x14ac:dyDescent="0.3">
      <c r="A68" s="5"/>
    </row>
    <row r="69" spans="1:1" x14ac:dyDescent="0.3">
      <c r="A69" s="5"/>
    </row>
    <row r="70" spans="1:1" x14ac:dyDescent="0.3">
      <c r="A70" s="5"/>
    </row>
    <row r="71" spans="1:1" x14ac:dyDescent="0.3">
      <c r="A71" s="5"/>
    </row>
    <row r="72" spans="1:1" x14ac:dyDescent="0.3">
      <c r="A72" s="5"/>
    </row>
    <row r="73" spans="1:1" x14ac:dyDescent="0.3">
      <c r="A73" s="5"/>
    </row>
    <row r="74" spans="1:1" x14ac:dyDescent="0.3">
      <c r="A74" s="5"/>
    </row>
    <row r="75" spans="1:1" x14ac:dyDescent="0.3">
      <c r="A75" s="5"/>
    </row>
    <row r="76" spans="1:1" x14ac:dyDescent="0.3">
      <c r="A76" s="5"/>
    </row>
    <row r="77" spans="1:1" x14ac:dyDescent="0.3">
      <c r="A77" s="5"/>
    </row>
    <row r="78" spans="1:1" x14ac:dyDescent="0.3">
      <c r="A78" s="5"/>
    </row>
    <row r="79" spans="1:1" x14ac:dyDescent="0.3">
      <c r="A79" s="5"/>
    </row>
    <row r="80" spans="1:1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" x14ac:dyDescent="0.3">
      <c r="A97" s="5"/>
    </row>
    <row r="98" spans="1:1" x14ac:dyDescent="0.3">
      <c r="A98" s="5"/>
    </row>
    <row r="99" spans="1:1" x14ac:dyDescent="0.3">
      <c r="A99" s="5"/>
    </row>
    <row r="100" spans="1:1" x14ac:dyDescent="0.3">
      <c r="A100" s="5"/>
    </row>
    <row r="101" spans="1:1" x14ac:dyDescent="0.3">
      <c r="A101" s="5"/>
    </row>
    <row r="102" spans="1:1" x14ac:dyDescent="0.3">
      <c r="A102" s="5"/>
    </row>
    <row r="103" spans="1:1" x14ac:dyDescent="0.3">
      <c r="A103" s="5"/>
    </row>
    <row r="104" spans="1:1" x14ac:dyDescent="0.3">
      <c r="A104" s="5"/>
    </row>
    <row r="105" spans="1:1" x14ac:dyDescent="0.3">
      <c r="A105" s="5"/>
    </row>
    <row r="106" spans="1:1" x14ac:dyDescent="0.3">
      <c r="A106" s="5"/>
    </row>
    <row r="107" spans="1:1" x14ac:dyDescent="0.3">
      <c r="A107" s="5"/>
    </row>
    <row r="108" spans="1:1" x14ac:dyDescent="0.3">
      <c r="A108" s="5"/>
    </row>
    <row r="109" spans="1:1" x14ac:dyDescent="0.3">
      <c r="A109" s="5"/>
    </row>
    <row r="110" spans="1:1" x14ac:dyDescent="0.3">
      <c r="A110" s="5"/>
    </row>
    <row r="111" spans="1:1" x14ac:dyDescent="0.3">
      <c r="A111" s="5"/>
    </row>
    <row r="112" spans="1:1" x14ac:dyDescent="0.3">
      <c r="A112" s="5"/>
    </row>
    <row r="113" spans="1:1" x14ac:dyDescent="0.3">
      <c r="A113" s="5"/>
    </row>
    <row r="114" spans="1:1" x14ac:dyDescent="0.3">
      <c r="A114" s="5"/>
    </row>
    <row r="115" spans="1:1" x14ac:dyDescent="0.3">
      <c r="A115" s="5"/>
    </row>
    <row r="116" spans="1:1" x14ac:dyDescent="0.3">
      <c r="A116" s="5"/>
    </row>
    <row r="117" spans="1:1" x14ac:dyDescent="0.3">
      <c r="A117" s="5"/>
    </row>
    <row r="118" spans="1:1" x14ac:dyDescent="0.3">
      <c r="A118" s="5"/>
    </row>
    <row r="119" spans="1:1" x14ac:dyDescent="0.3">
      <c r="A119" s="5"/>
    </row>
    <row r="120" spans="1:1" x14ac:dyDescent="0.3">
      <c r="A120" s="5"/>
    </row>
    <row r="121" spans="1:1" x14ac:dyDescent="0.3">
      <c r="A121" s="5"/>
    </row>
    <row r="122" spans="1:1" x14ac:dyDescent="0.3">
      <c r="A122" s="5"/>
    </row>
    <row r="123" spans="1:1" x14ac:dyDescent="0.3">
      <c r="A123" s="5"/>
    </row>
    <row r="124" spans="1:1" x14ac:dyDescent="0.3">
      <c r="A124" s="5"/>
    </row>
    <row r="125" spans="1:1" x14ac:dyDescent="0.3">
      <c r="A125" s="5"/>
    </row>
    <row r="126" spans="1:1" x14ac:dyDescent="0.3">
      <c r="A126" s="5"/>
    </row>
    <row r="127" spans="1:1" x14ac:dyDescent="0.3">
      <c r="A127" s="5"/>
    </row>
    <row r="128" spans="1:1" x14ac:dyDescent="0.3">
      <c r="A128" s="5"/>
    </row>
    <row r="129" spans="1:1" x14ac:dyDescent="0.3">
      <c r="A129" s="5"/>
    </row>
    <row r="130" spans="1:1" x14ac:dyDescent="0.3">
      <c r="A130" s="5"/>
    </row>
    <row r="1048576" spans="2:2" x14ac:dyDescent="0.3">
      <c r="B1048576"/>
    </row>
  </sheetData>
  <sheetProtection formatCells="0" formatColumns="0" formatRows="0"/>
  <mergeCells count="2">
    <mergeCell ref="A5:C6"/>
    <mergeCell ref="A8:C8"/>
  </mergeCells>
  <phoneticPr fontId="15" type="noConversion"/>
  <hyperlinks>
    <hyperlink ref="A11" location="'Fisher_ExpRating1'!A1" display="1" xr:uid="{9307E981-4145-43E3-8579-20D30744395F}"/>
    <hyperlink ref="A12" location="'Fisher_ExpRating2'!A1" display="2" xr:uid="{47692B96-B5C9-491E-8D98-A9DDB0368383}"/>
    <hyperlink ref="A13" location="'Fisher_ExpRating3'!A1" display="3" xr:uid="{2EB534A0-605B-4B3B-87F0-CAE7FD579195}"/>
    <hyperlink ref="A14" location="'Fisher_ExpRating4'!A1" display="4" xr:uid="{D260CD7C-A44E-4DF5-8C5C-64B77928FD99}"/>
    <hyperlink ref="A15" location="'Fisher_ExpRating5'!A1" display="5" xr:uid="{DDDF5A97-C318-43D5-87C0-9CF5DC6EBA17}"/>
    <hyperlink ref="A16" location="'Fisher_ExpRating6'!A1" display="6" xr:uid="{26295F45-7ED0-45F8-96B4-A6E5EB1EA594}"/>
    <hyperlink ref="A17" location="'Fisher_ExpRating7'!A1" display="7" xr:uid="{7CC5BB02-69A2-4CCD-865A-EDBC0AC81D63}"/>
    <hyperlink ref="A18" location="'Fisher_ExpRating8'!A1" display="8" xr:uid="{F67691CB-5DD3-4A8D-879B-A3E6D41008BD}"/>
    <hyperlink ref="A19" location="'Fisher_ExpRating9'!A1" display="9" xr:uid="{C6DED5E9-13EE-4CEA-AC4D-15CC3BDE477D}"/>
    <hyperlink ref="A20" location="'Fisher_ExpRating10'!A1" display="10" xr:uid="{05265F12-67DE-40A4-A27B-3A57A28B5967}"/>
    <hyperlink ref="A21" location="'Fisher_ExpRating11'!A1" display="11" xr:uid="{6F54F4A8-5CD5-4D48-A9EF-846173B9C652}"/>
    <hyperlink ref="A22" location="'Fisher_ExpRating12'!A1" display="12" xr:uid="{C8BB81DE-7985-46BB-84C6-74AFCF30FFAE}"/>
    <hyperlink ref="A23" location="'Fisher_RiskSharing1'!A1" display="13" xr:uid="{AE1B091A-9CDA-42BA-89F1-F1CAF88EF0B7}"/>
    <hyperlink ref="A24" location="'Fisher_RiskSharing2'!A1" display="14" xr:uid="{BD3EAD64-FEFB-417A-A279-44C80F8332E9}"/>
    <hyperlink ref="A25" location="'Fisher_OtherLSPlans1'!A1" display="15" xr:uid="{805617B0-A471-47DD-B7E3-60FC0CEED412}"/>
    <hyperlink ref="A26" location="'Fisher_OtherLSPlans2'!A1" display="16" xr:uid="{D546C33A-775F-45BD-8B21-0DFD1466A355}"/>
    <hyperlink ref="A27" location="'Fisher_OtherLSPlans3'!A1" display="17" xr:uid="{51D6451E-A399-428D-96B6-58657DB18562}"/>
    <hyperlink ref="A28" location="'Fisher_OtherLSPlans4'!A1" display="18" xr:uid="{A4DEBD6A-159A-4691-A9F8-1E5C9C9AA1B0}"/>
    <hyperlink ref="A29" location="'Fisher_AggExcess1'!A1" display="19" xr:uid="{DE1CBF89-2A71-45F5-B56F-9AF7D7B309F0}"/>
    <hyperlink ref="A30" location="'Fisher_Visualization1'!A1" display="20" xr:uid="{ABB1A8A6-BB9F-49F2-93E1-92F402184C42}"/>
    <hyperlink ref="A31" location="'Fisher_Visualization2'!A1" display="21" xr:uid="{75902B94-2111-49D1-87DC-A05AFFFE401C}"/>
    <hyperlink ref="A32" location="'Fisher_Visualization3'!A1" display="22" xr:uid="{21FF94E6-9ABF-4A96-9895-E4FC7E6F27CF}"/>
    <hyperlink ref="A33" location="'Fisher_Visualization4'!A1" display="23" xr:uid="{E17EE68D-7445-48A2-A20D-3277259ECBC3}"/>
    <hyperlink ref="A34" location="'Fisher_Visualization5'!A1" display="24" xr:uid="{484C6D8C-CB57-4615-A481-107B4554428F}"/>
    <hyperlink ref="A35" location="'Fisher_Visualization6'!A1" display="25" xr:uid="{9D58246F-276E-4D75-BA29-6525C6BAD83B}"/>
    <hyperlink ref="A36" location="'Fisher_Visualization7'!A1" display="26" xr:uid="{E2511D29-2346-4CE8-A77A-CF0C7E0D2B32}"/>
    <hyperlink ref="A37" location="'Fisher_Visualization8'!A1" display="27" xr:uid="{658CBA48-1A76-4EB0-8E69-6D45714D66A6}"/>
    <hyperlink ref="A38" location="'Fisher_Visualization9'!A1" display="28" xr:uid="{186DA757-77A4-482E-A607-0F95471F7C4E}"/>
    <hyperlink ref="A39" location="'Fisher_TableM1'!A1" display="29" xr:uid="{4CEC6682-B74D-4641-9701-8950222C55C2}"/>
    <hyperlink ref="A40" location="'Fisher_TableM2'!A1" display="30" xr:uid="{78B6E915-BB9E-4282-A22A-DE69944A7A32}"/>
    <hyperlink ref="A41" location="'Fisher_TableM3'!A1" display="31" xr:uid="{81D9F90D-C3F7-4B67-83BE-5DA4EC4A7DF2}"/>
    <hyperlink ref="A42" location="'Fisher_TableM4'!A1" display="32" xr:uid="{5B0634A0-8EE9-4C4F-9CEB-C6E207AD824B}"/>
    <hyperlink ref="A43" location="'Fisher_TableM5'!A1" display="33" xr:uid="{FB1770B7-4F64-4C79-B426-A5F7B44A8836}"/>
    <hyperlink ref="A44" location="'Fisher_TableM6'!A1" display="34" xr:uid="{0264109A-978C-4CA2-A25A-7516876849BD}"/>
    <hyperlink ref="A45" location="'Fisher_LtdTableM1'!A1" display="35" xr:uid="{1E1B031C-2A65-483D-9842-180750EED076}"/>
    <hyperlink ref="A46" location="'Fisher_TableL1'!A1" display="36" xr:uid="{2097BD68-2E36-44B1-B2F8-F0EB39D9EF9D}"/>
    <hyperlink ref="A47" location="'Fisher_TableL2'!A1" display="37" xr:uid="{6AA7EC4E-C883-4349-9C9E-AA23FE7740AF}"/>
    <hyperlink ref="A48" location="'Fisher_TableL3'!A1" display="38" xr:uid="{EA7AD42E-7293-4E89-A4FB-FEF8AB82F0FB}"/>
    <hyperlink ref="A49" location="'Fisher_TableL4'!A1" display="39" xr:uid="{2189247A-EF2D-4D4B-A746-607D9584D171}"/>
    <hyperlink ref="A50" location="'Fisher_TableL5'!A1" display="40" xr:uid="{33A70A37-B833-4907-AF41-1D9B0892A236}"/>
    <hyperlink ref="A51" location="'Fisher_CaseStudy1'!A1" display="41" xr:uid="{BAF048C7-FCFB-4529-A7A2-BD0FBE1A475E}"/>
    <hyperlink ref="A52" location="'Fisher_CaseStudy2'!A1" display="42" xr:uid="{9EF90628-1D8B-4E39-B5BF-E19DACAD38A6}"/>
    <hyperlink ref="A53" location="'Fisher_CaseStudy3'!A1" display="43" xr:uid="{7F645CCD-194C-433C-93B5-7DAB0408EC10}"/>
    <hyperlink ref="A54" location="'Fisher_CaseStudy4'!A1" display="44" xr:uid="{17439880-298C-417B-9732-A7518AB2C13B}"/>
    <hyperlink ref="A55" location="'Fisher_CaseStudy5'!A1" display="45" xr:uid="{385E501C-4904-466A-9D53-2B70DEBA051A}"/>
    <hyperlink ref="A56" location="'Fisher_CaseStudy6'!A1" display="46" xr:uid="{65F4193C-69B1-45F7-BDA1-E73FEA946435}"/>
    <hyperlink ref="A57" location="'Fisher_CaseStudy7'!A1" display="47" xr:uid="{1CAFEBE8-C9E7-4D80-9A17-A567514A69E9}"/>
    <hyperlink ref="A58" location="'Fisher_CaseStudy8'!A1" display="48" xr:uid="{6C1CE175-9B57-45EC-A231-5876CE7D81AB}"/>
    <hyperlink ref="A59" location="'Fisher_CaseStudy9'!A1" display="49" xr:uid="{BBE34296-95E3-4E96-A6DF-B2892B8D875A}"/>
    <hyperlink ref="A60" location="'Fisher_CaseStudy10'!A1" display="50" xr:uid="{95E7EBEF-71F0-4E97-A3E2-DCD6956745BA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1701D-BC5B-4B06-B421-13BB896305D5}">
  <dimension ref="A1:Q55"/>
  <sheetViews>
    <sheetView workbookViewId="0"/>
  </sheetViews>
  <sheetFormatPr defaultRowHeight="14.4" x14ac:dyDescent="0.3"/>
  <cols>
    <col min="1" max="1" width="14" bestFit="1" customWidth="1"/>
    <col min="3" max="3" width="14.5546875" customWidth="1"/>
    <col min="6" max="6" width="13" customWidth="1"/>
    <col min="7" max="7" width="12.44140625" bestFit="1" customWidth="1"/>
    <col min="8" max="8" width="4.44140625" customWidth="1"/>
    <col min="9" max="9" width="3.6640625" customWidth="1"/>
    <col min="11" max="11" width="12.44140625" bestFit="1" customWidth="1"/>
    <col min="12" max="12" width="14.33203125" bestFit="1" customWidth="1"/>
    <col min="13" max="13" width="12.109375" bestFit="1" customWidth="1"/>
    <col min="14" max="14" width="14" bestFit="1" customWidth="1"/>
  </cols>
  <sheetData>
    <row r="1" spans="1:17" x14ac:dyDescent="0.3">
      <c r="A1" s="6" t="s">
        <v>4</v>
      </c>
      <c r="B1" s="7" t="s">
        <v>12</v>
      </c>
      <c r="C1" s="7"/>
      <c r="D1" s="8"/>
      <c r="E1" s="8"/>
      <c r="F1" s="8"/>
      <c r="G1" s="490" t="s">
        <v>5</v>
      </c>
      <c r="H1" s="491"/>
      <c r="J1" s="10" t="s">
        <v>6</v>
      </c>
    </row>
    <row r="2" spans="1:17" x14ac:dyDescent="0.3">
      <c r="A2" s="11" t="s">
        <v>7</v>
      </c>
      <c r="B2" s="33" t="s">
        <v>246</v>
      </c>
      <c r="C2" s="33"/>
      <c r="D2" s="33"/>
      <c r="E2" s="33"/>
      <c r="F2" s="33"/>
      <c r="G2" s="33"/>
      <c r="H2" s="12"/>
      <c r="I2" t="s">
        <v>28</v>
      </c>
      <c r="J2" s="185" t="s">
        <v>256</v>
      </c>
      <c r="K2" s="185"/>
      <c r="L2" s="185"/>
      <c r="M2" s="185"/>
      <c r="N2" s="185"/>
      <c r="O2" s="185"/>
      <c r="P2" s="185"/>
      <c r="Q2" s="185"/>
    </row>
    <row r="3" spans="1:17" x14ac:dyDescent="0.3">
      <c r="A3" s="11" t="s">
        <v>8</v>
      </c>
      <c r="B3" s="33" t="s">
        <v>255</v>
      </c>
      <c r="C3" s="33"/>
      <c r="D3" s="33"/>
      <c r="E3" s="33"/>
      <c r="F3" s="33"/>
      <c r="G3" s="33"/>
      <c r="H3" s="12"/>
      <c r="J3" s="185"/>
      <c r="K3" s="185"/>
      <c r="L3" s="185"/>
      <c r="M3" s="186" t="s">
        <v>257</v>
      </c>
      <c r="N3" s="186"/>
      <c r="O3" s="185"/>
      <c r="P3" s="185"/>
      <c r="Q3" s="185"/>
    </row>
    <row r="4" spans="1:17" x14ac:dyDescent="0.3">
      <c r="A4" s="13"/>
      <c r="B4" s="34"/>
      <c r="C4" s="34"/>
      <c r="D4" s="34"/>
      <c r="E4" s="34"/>
      <c r="F4" s="34"/>
      <c r="G4" s="34"/>
      <c r="H4" s="14"/>
      <c r="J4" s="200" t="s">
        <v>77</v>
      </c>
      <c r="K4" s="200" t="s">
        <v>258</v>
      </c>
      <c r="L4" s="200" t="s">
        <v>259</v>
      </c>
      <c r="M4" s="200" t="s">
        <v>260</v>
      </c>
      <c r="N4" s="200" t="s">
        <v>261</v>
      </c>
      <c r="O4" s="185"/>
      <c r="P4" s="185"/>
      <c r="Q4" s="185"/>
    </row>
    <row r="5" spans="1:17" x14ac:dyDescent="0.3">
      <c r="A5" s="15" t="s">
        <v>9</v>
      </c>
      <c r="B5" s="36" t="s">
        <v>249</v>
      </c>
      <c r="C5" s="36"/>
      <c r="D5" s="36"/>
      <c r="E5" s="36"/>
      <c r="F5" s="36"/>
      <c r="G5" s="36"/>
      <c r="H5" s="37"/>
      <c r="J5" s="190">
        <v>1</v>
      </c>
      <c r="K5" s="200">
        <f>_xlfn.RANK.AVG(F9,$F$9:$F$18,1)</f>
        <v>1</v>
      </c>
      <c r="L5" s="191">
        <f>_xlfn.RANK.AVG(G9,$G$9:$G$18,1)</f>
        <v>1</v>
      </c>
      <c r="M5" s="210">
        <f>F9*D9</f>
        <v>650</v>
      </c>
      <c r="N5" s="207">
        <f>G9*D9</f>
        <v>500</v>
      </c>
      <c r="O5" s="185"/>
      <c r="P5" s="185"/>
      <c r="Q5" s="185"/>
    </row>
    <row r="6" spans="1:17" x14ac:dyDescent="0.3">
      <c r="A6" s="16"/>
      <c r="B6" s="36"/>
      <c r="C6" s="36"/>
      <c r="D6" s="36"/>
      <c r="E6" s="36"/>
      <c r="F6" s="36"/>
      <c r="G6" s="36"/>
      <c r="H6" s="37"/>
      <c r="J6" s="193">
        <v>2</v>
      </c>
      <c r="K6" s="201">
        <f t="shared" ref="K6:K13" si="0">_xlfn.RANK.AVG(F10,$F$9:$F$18,1)</f>
        <v>3</v>
      </c>
      <c r="L6" s="9">
        <f t="shared" ref="L6:L14" si="1">_xlfn.RANK.AVG(G10,$G$9:$G$18,1)</f>
        <v>2</v>
      </c>
      <c r="M6" s="211">
        <f t="shared" ref="M6:M14" si="2">F10*D10</f>
        <v>750</v>
      </c>
      <c r="N6" s="208">
        <f t="shared" ref="N6:N14" si="3">G10*D10</f>
        <v>550</v>
      </c>
      <c r="O6" s="185"/>
      <c r="P6" s="185"/>
      <c r="Q6" s="185"/>
    </row>
    <row r="7" spans="1:17" ht="15" customHeight="1" x14ac:dyDescent="0.3">
      <c r="A7" s="16"/>
      <c r="B7" s="174"/>
      <c r="C7" s="180" t="s">
        <v>251</v>
      </c>
      <c r="D7" s="172" t="s">
        <v>163</v>
      </c>
      <c r="E7" s="182"/>
      <c r="F7" s="180" t="s">
        <v>113</v>
      </c>
      <c r="G7" s="175" t="s">
        <v>250</v>
      </c>
      <c r="H7" s="37"/>
      <c r="J7" s="193">
        <v>3</v>
      </c>
      <c r="K7" s="201">
        <f t="shared" si="0"/>
        <v>2</v>
      </c>
      <c r="L7" s="9">
        <f t="shared" si="1"/>
        <v>3</v>
      </c>
      <c r="M7" s="211">
        <f t="shared" si="2"/>
        <v>700</v>
      </c>
      <c r="N7" s="208">
        <f t="shared" si="3"/>
        <v>700</v>
      </c>
      <c r="O7" s="185"/>
      <c r="P7" s="185"/>
      <c r="Q7" s="185"/>
    </row>
    <row r="8" spans="1:17" x14ac:dyDescent="0.3">
      <c r="A8" s="16"/>
      <c r="B8" s="176" t="s">
        <v>77</v>
      </c>
      <c r="C8" s="181" t="s">
        <v>252</v>
      </c>
      <c r="D8" s="177" t="s">
        <v>52</v>
      </c>
      <c r="E8" s="183" t="s">
        <v>19</v>
      </c>
      <c r="F8" s="181" t="s">
        <v>49</v>
      </c>
      <c r="G8" s="178" t="s">
        <v>49</v>
      </c>
      <c r="H8" s="37"/>
      <c r="J8" s="193">
        <v>4</v>
      </c>
      <c r="K8" s="201">
        <f t="shared" si="0"/>
        <v>5</v>
      </c>
      <c r="L8" s="9">
        <f t="shared" si="1"/>
        <v>4</v>
      </c>
      <c r="M8" s="211">
        <f t="shared" si="2"/>
        <v>1000</v>
      </c>
      <c r="N8" s="208">
        <f t="shared" si="3"/>
        <v>750</v>
      </c>
      <c r="O8" s="185"/>
      <c r="P8" s="185"/>
      <c r="Q8" s="185"/>
    </row>
    <row r="9" spans="1:17" x14ac:dyDescent="0.3">
      <c r="A9" s="16"/>
      <c r="B9" s="49">
        <v>1</v>
      </c>
      <c r="C9" s="68" t="s">
        <v>247</v>
      </c>
      <c r="D9" s="50">
        <v>1000</v>
      </c>
      <c r="E9" s="125">
        <v>500</v>
      </c>
      <c r="F9" s="184">
        <v>0.65</v>
      </c>
      <c r="G9" s="179">
        <v>0.5</v>
      </c>
      <c r="H9" s="37"/>
      <c r="J9" s="193">
        <v>5</v>
      </c>
      <c r="K9" s="201">
        <f t="shared" si="0"/>
        <v>4</v>
      </c>
      <c r="L9" s="9">
        <f t="shared" si="1"/>
        <v>5</v>
      </c>
      <c r="M9" s="211">
        <f t="shared" si="2"/>
        <v>900</v>
      </c>
      <c r="N9" s="208">
        <f t="shared" si="3"/>
        <v>950</v>
      </c>
      <c r="O9" s="185"/>
      <c r="P9" s="185"/>
      <c r="Q9" s="185"/>
    </row>
    <row r="10" spans="1:17" x14ac:dyDescent="0.3">
      <c r="A10" s="16"/>
      <c r="B10" s="52">
        <v>2</v>
      </c>
      <c r="C10" s="69" t="s">
        <v>247</v>
      </c>
      <c r="D10" s="40">
        <v>1000</v>
      </c>
      <c r="E10" s="99">
        <v>600</v>
      </c>
      <c r="F10" s="73">
        <v>0.75</v>
      </c>
      <c r="G10" s="162">
        <v>0.55000000000000004</v>
      </c>
      <c r="H10" s="37"/>
      <c r="J10" s="193">
        <v>6</v>
      </c>
      <c r="K10" s="201">
        <f t="shared" si="0"/>
        <v>7</v>
      </c>
      <c r="L10" s="9">
        <f t="shared" si="1"/>
        <v>6</v>
      </c>
      <c r="M10" s="211">
        <f t="shared" si="2"/>
        <v>1150</v>
      </c>
      <c r="N10" s="208">
        <f t="shared" si="3"/>
        <v>1050</v>
      </c>
      <c r="O10" s="185"/>
      <c r="P10" s="185"/>
      <c r="Q10" s="185"/>
    </row>
    <row r="11" spans="1:17" x14ac:dyDescent="0.3">
      <c r="A11" s="16"/>
      <c r="B11" s="52">
        <v>3</v>
      </c>
      <c r="C11" s="69" t="s">
        <v>248</v>
      </c>
      <c r="D11" s="40">
        <v>1000</v>
      </c>
      <c r="E11" s="99">
        <v>700</v>
      </c>
      <c r="F11" s="73">
        <v>0.7</v>
      </c>
      <c r="G11" s="162">
        <v>0.7</v>
      </c>
      <c r="H11" s="37"/>
      <c r="J11" s="193">
        <v>7</v>
      </c>
      <c r="K11" s="201">
        <f t="shared" si="0"/>
        <v>6</v>
      </c>
      <c r="L11" s="9">
        <f t="shared" si="1"/>
        <v>7</v>
      </c>
      <c r="M11" s="211">
        <f t="shared" si="2"/>
        <v>1100</v>
      </c>
      <c r="N11" s="208">
        <f t="shared" si="3"/>
        <v>1250</v>
      </c>
      <c r="O11" s="185"/>
      <c r="P11" s="185"/>
      <c r="Q11" s="185"/>
    </row>
    <row r="12" spans="1:17" x14ac:dyDescent="0.3">
      <c r="A12" s="16"/>
      <c r="B12" s="52">
        <v>4</v>
      </c>
      <c r="C12" s="69" t="s">
        <v>247</v>
      </c>
      <c r="D12" s="40">
        <v>1000</v>
      </c>
      <c r="E12" s="99">
        <v>800</v>
      </c>
      <c r="F12" s="73">
        <v>1</v>
      </c>
      <c r="G12" s="162">
        <v>0.75</v>
      </c>
      <c r="H12" s="37"/>
      <c r="J12" s="193">
        <v>8</v>
      </c>
      <c r="K12" s="201">
        <f t="shared" si="0"/>
        <v>9</v>
      </c>
      <c r="L12" s="9">
        <f t="shared" si="1"/>
        <v>8</v>
      </c>
      <c r="M12" s="211">
        <f t="shared" si="2"/>
        <v>1250</v>
      </c>
      <c r="N12" s="208">
        <f t="shared" si="3"/>
        <v>1500</v>
      </c>
      <c r="O12" s="185"/>
      <c r="P12" s="185"/>
      <c r="Q12" s="185"/>
    </row>
    <row r="13" spans="1:17" x14ac:dyDescent="0.3">
      <c r="A13" s="16"/>
      <c r="B13" s="52">
        <v>5</v>
      </c>
      <c r="C13" s="69" t="s">
        <v>247</v>
      </c>
      <c r="D13" s="40">
        <v>1000</v>
      </c>
      <c r="E13" s="99">
        <v>900</v>
      </c>
      <c r="F13" s="73">
        <v>0.9</v>
      </c>
      <c r="G13" s="162">
        <v>0.95</v>
      </c>
      <c r="H13" s="37"/>
      <c r="J13" s="193">
        <v>9</v>
      </c>
      <c r="K13" s="201">
        <f t="shared" si="0"/>
        <v>8</v>
      </c>
      <c r="L13" s="9">
        <f t="shared" si="1"/>
        <v>9</v>
      </c>
      <c r="M13" s="211">
        <f t="shared" si="2"/>
        <v>1200</v>
      </c>
      <c r="N13" s="208">
        <f t="shared" si="3"/>
        <v>1750</v>
      </c>
      <c r="O13" s="185"/>
      <c r="P13" s="185"/>
      <c r="Q13" s="185"/>
    </row>
    <row r="14" spans="1:17" x14ac:dyDescent="0.3">
      <c r="A14" s="16"/>
      <c r="B14" s="52">
        <v>6</v>
      </c>
      <c r="C14" s="69" t="s">
        <v>248</v>
      </c>
      <c r="D14" s="40">
        <v>1000</v>
      </c>
      <c r="E14" s="99">
        <v>1100</v>
      </c>
      <c r="F14" s="73">
        <v>1.1499999999999999</v>
      </c>
      <c r="G14" s="162">
        <v>1.05</v>
      </c>
      <c r="H14" s="37"/>
      <c r="J14" s="195">
        <v>10</v>
      </c>
      <c r="K14" s="202">
        <f>_xlfn.RANK.AVG(F18,$F$9:$F$18,1)</f>
        <v>10</v>
      </c>
      <c r="L14" s="196">
        <f t="shared" si="1"/>
        <v>10</v>
      </c>
      <c r="M14" s="212">
        <f t="shared" si="2"/>
        <v>1300</v>
      </c>
      <c r="N14" s="209">
        <f t="shared" si="3"/>
        <v>2000</v>
      </c>
      <c r="O14" s="185"/>
      <c r="P14" s="185"/>
      <c r="Q14" s="185"/>
    </row>
    <row r="15" spans="1:17" x14ac:dyDescent="0.3">
      <c r="A15" s="16"/>
      <c r="B15" s="52">
        <v>7</v>
      </c>
      <c r="C15" s="69" t="s">
        <v>247</v>
      </c>
      <c r="D15" s="40">
        <v>1000</v>
      </c>
      <c r="E15" s="99">
        <v>1200</v>
      </c>
      <c r="F15" s="73">
        <v>1.1000000000000001</v>
      </c>
      <c r="G15" s="162">
        <v>1.25</v>
      </c>
      <c r="H15" s="37"/>
      <c r="J15" s="185"/>
      <c r="K15" s="185"/>
      <c r="L15" s="185"/>
      <c r="M15" s="185"/>
      <c r="N15" s="185"/>
      <c r="O15" s="185"/>
      <c r="P15" s="185"/>
      <c r="Q15" s="185"/>
    </row>
    <row r="16" spans="1:17" x14ac:dyDescent="0.3">
      <c r="A16" s="16"/>
      <c r="B16" s="52">
        <v>8</v>
      </c>
      <c r="C16" s="69" t="s">
        <v>248</v>
      </c>
      <c r="D16" s="40">
        <v>1000</v>
      </c>
      <c r="E16" s="99">
        <v>1500</v>
      </c>
      <c r="F16" s="73">
        <v>1.25</v>
      </c>
      <c r="G16" s="162">
        <v>1.5</v>
      </c>
      <c r="H16" s="37"/>
      <c r="J16" s="10" t="s">
        <v>262</v>
      </c>
      <c r="K16" s="185"/>
      <c r="L16" s="185"/>
      <c r="M16" s="185"/>
      <c r="N16" s="185"/>
      <c r="O16" s="185"/>
      <c r="P16" s="185"/>
      <c r="Q16" s="185"/>
    </row>
    <row r="17" spans="1:17" x14ac:dyDescent="0.3">
      <c r="A17" s="16"/>
      <c r="B17" s="52">
        <v>9</v>
      </c>
      <c r="C17" s="69" t="s">
        <v>248</v>
      </c>
      <c r="D17" s="40">
        <v>1000</v>
      </c>
      <c r="E17" s="99">
        <v>1600</v>
      </c>
      <c r="F17" s="73">
        <v>1.2</v>
      </c>
      <c r="G17" s="162">
        <v>1.75</v>
      </c>
      <c r="H17" s="37"/>
      <c r="J17" s="198" t="s">
        <v>17</v>
      </c>
      <c r="K17" s="187" t="s">
        <v>279</v>
      </c>
      <c r="L17" s="203" t="s">
        <v>94</v>
      </c>
      <c r="M17" s="187" t="s">
        <v>30</v>
      </c>
      <c r="N17" s="199" t="s">
        <v>31</v>
      </c>
      <c r="O17" s="185"/>
      <c r="P17" s="185"/>
      <c r="Q17" s="185"/>
    </row>
    <row r="18" spans="1:17" x14ac:dyDescent="0.3">
      <c r="A18" s="16"/>
      <c r="B18" s="54">
        <v>10</v>
      </c>
      <c r="C18" s="70" t="s">
        <v>248</v>
      </c>
      <c r="D18" s="55">
        <v>1000</v>
      </c>
      <c r="E18" s="100">
        <v>1800</v>
      </c>
      <c r="F18" s="74">
        <v>1.3</v>
      </c>
      <c r="G18" s="164">
        <v>2</v>
      </c>
      <c r="H18" s="37"/>
      <c r="J18" s="190">
        <v>1</v>
      </c>
      <c r="K18" s="200">
        <f>INDEX($J$5:$J$14,MATCH(1,$K$5:$K$14,0))</f>
        <v>1</v>
      </c>
      <c r="L18" s="191">
        <f>INDEX($J$5:$J$14,MATCH(2,$K$5:$K$14,0))</f>
        <v>3</v>
      </c>
      <c r="M18" s="204">
        <f>(SUMIFS($E$9:$E$18,$B$9:$B$18,K18)+SUMIFS($E$9:$E$18,$B$9:$B$18,L18))/(SUMIFS($D$9:$D$18,$B$9:$B$18,K18)+SUMIFS($D$9:$D$18,$B$9:$B$18,L18))</f>
        <v>0.6</v>
      </c>
      <c r="N18" s="192">
        <f>(SUMIFS($E$9:$E$18,$B$9:$B$18,K18)+SUMIFS($E$9:$E$18,$B$9:$B$18,L18))/(SUMIFS($M$5:$M$14,$B$9:$B$18,K18)+SUMIFS($M$5:$M$14,$B$9:$B$18,L18))</f>
        <v>0.88888888888888884</v>
      </c>
      <c r="O18" s="185"/>
      <c r="P18" s="185"/>
      <c r="Q18" s="185"/>
    </row>
    <row r="19" spans="1:17" x14ac:dyDescent="0.3">
      <c r="A19" s="16"/>
      <c r="B19" s="36"/>
      <c r="C19" s="36"/>
      <c r="D19" s="36"/>
      <c r="E19" s="36"/>
      <c r="F19" s="36"/>
      <c r="G19" s="36"/>
      <c r="H19" s="37"/>
      <c r="J19" s="193">
        <v>2</v>
      </c>
      <c r="K19" s="201">
        <f>INDEX($J$5:$J$14,MATCH(3,$K$5:$K$14,0))</f>
        <v>2</v>
      </c>
      <c r="L19" s="9">
        <f>INDEX($J$5:$J$14,MATCH(4,$K$5:$K$14,0))</f>
        <v>5</v>
      </c>
      <c r="M19" s="205">
        <f t="shared" ref="M19:M22" si="4">(SUMIFS($E$9:$E$18,$B$9:$B$18,K19)+SUMIFS($E$9:$E$18,$B$9:$B$18,L19))/(SUMIFS($D$9:$D$18,$B$9:$B$18,K19)+SUMIFS($D$9:$D$18,$B$9:$B$18,L19))</f>
        <v>0.75</v>
      </c>
      <c r="N19" s="194">
        <f t="shared" ref="N19:N22" si="5">(SUMIFS($E$9:$E$18,$B$9:$B$18,K19)+SUMIFS($E$9:$E$18,$B$9:$B$18,L19))/(SUMIFS($M$5:$M$14,$B$9:$B$18,K19)+SUMIFS($M$5:$M$14,$B$9:$B$18,L19))</f>
        <v>0.90909090909090906</v>
      </c>
      <c r="O19" s="185"/>
      <c r="P19" s="185"/>
      <c r="Q19" s="185"/>
    </row>
    <row r="20" spans="1:17" x14ac:dyDescent="0.3">
      <c r="A20" s="63" t="s">
        <v>10</v>
      </c>
      <c r="B20" s="36" t="s">
        <v>253</v>
      </c>
      <c r="C20" s="36"/>
      <c r="D20" s="36"/>
      <c r="E20" s="36"/>
      <c r="F20" s="36"/>
      <c r="G20" s="36"/>
      <c r="H20" s="37"/>
      <c r="J20" s="193">
        <v>3</v>
      </c>
      <c r="K20" s="201">
        <f>INDEX($J$5:$J$14,MATCH(5,$K$5:$K$14,0))</f>
        <v>4</v>
      </c>
      <c r="L20" s="9">
        <f>INDEX($J$5:$J$14,MATCH(6,$K$5:$K$14,0))</f>
        <v>7</v>
      </c>
      <c r="M20" s="205">
        <f t="shared" si="4"/>
        <v>1</v>
      </c>
      <c r="N20" s="194">
        <f t="shared" si="5"/>
        <v>0.95238095238095233</v>
      </c>
      <c r="O20" s="185"/>
      <c r="P20" s="185"/>
      <c r="Q20" s="185"/>
    </row>
    <row r="21" spans="1:17" x14ac:dyDescent="0.3">
      <c r="A21" s="16"/>
      <c r="B21" s="36"/>
      <c r="C21" s="36"/>
      <c r="D21" s="36"/>
      <c r="E21" s="36"/>
      <c r="F21" s="36"/>
      <c r="G21" s="36"/>
      <c r="H21" s="37"/>
      <c r="J21" s="193">
        <v>4</v>
      </c>
      <c r="K21" s="201">
        <f>INDEX($J$5:$J$14,MATCH(7,$K$5:$K$14,0))</f>
        <v>6</v>
      </c>
      <c r="L21" s="9">
        <f>INDEX($J$5:$J$14,MATCH(8,$K$5:$K$14,0))</f>
        <v>9</v>
      </c>
      <c r="M21" s="205">
        <f t="shared" si="4"/>
        <v>1.35</v>
      </c>
      <c r="N21" s="194">
        <f t="shared" si="5"/>
        <v>1.1489361702127661</v>
      </c>
      <c r="O21" s="185"/>
      <c r="P21" s="185"/>
      <c r="Q21" s="185"/>
    </row>
    <row r="22" spans="1:17" ht="15" thickBot="1" x14ac:dyDescent="0.35">
      <c r="A22" s="17"/>
      <c r="B22" s="41" t="s">
        <v>254</v>
      </c>
      <c r="C22" s="41"/>
      <c r="D22" s="41"/>
      <c r="E22" s="41"/>
      <c r="F22" s="41"/>
      <c r="G22" s="41"/>
      <c r="H22" s="42"/>
      <c r="J22" s="195">
        <v>5</v>
      </c>
      <c r="K22" s="202">
        <f>INDEX($J$5:$J$14,MATCH(9,$K$5:$K$14,0))</f>
        <v>8</v>
      </c>
      <c r="L22" s="196">
        <f>INDEX($J$5:$J$14,MATCH(10,$K$5:$K$14,0))</f>
        <v>10</v>
      </c>
      <c r="M22" s="206">
        <f t="shared" si="4"/>
        <v>1.65</v>
      </c>
      <c r="N22" s="197">
        <f t="shared" si="5"/>
        <v>1.2941176470588236</v>
      </c>
      <c r="O22" s="185"/>
      <c r="P22" s="185"/>
      <c r="Q22" s="185"/>
    </row>
    <row r="23" spans="1:17" x14ac:dyDescent="0.3">
      <c r="J23" s="185"/>
      <c r="K23" s="185"/>
      <c r="L23" s="185"/>
      <c r="M23" s="185"/>
      <c r="N23" s="185"/>
      <c r="O23" s="185"/>
      <c r="P23" s="185"/>
      <c r="Q23" s="185"/>
    </row>
    <row r="24" spans="1:17" x14ac:dyDescent="0.3">
      <c r="J24" s="10" t="s">
        <v>115</v>
      </c>
      <c r="K24" s="185"/>
      <c r="L24" s="185"/>
      <c r="M24" s="185"/>
      <c r="N24" s="185"/>
      <c r="O24" s="185"/>
      <c r="P24" s="185"/>
      <c r="Q24" s="185"/>
    </row>
    <row r="25" spans="1:17" x14ac:dyDescent="0.3">
      <c r="J25" s="187" t="s">
        <v>17</v>
      </c>
      <c r="K25" s="187" t="s">
        <v>279</v>
      </c>
      <c r="L25" s="187" t="s">
        <v>94</v>
      </c>
      <c r="M25" s="187" t="s">
        <v>30</v>
      </c>
      <c r="N25" s="187" t="s">
        <v>31</v>
      </c>
      <c r="O25" s="185"/>
      <c r="P25" s="185"/>
      <c r="Q25" s="185"/>
    </row>
    <row r="26" spans="1:17" x14ac:dyDescent="0.3">
      <c r="J26" s="190">
        <v>1</v>
      </c>
      <c r="K26" s="200">
        <f>INDEX($J$5:$J$14,MATCH(1,$L$5:$L$14,0))</f>
        <v>1</v>
      </c>
      <c r="L26" s="191">
        <f>INDEX($J$5:$J$14,MATCH(2,$L$5:$L$14,0))</f>
        <v>2</v>
      </c>
      <c r="M26" s="204">
        <f>(SUMIFS($E$9:$E$18,$B$9:$B$18,K26)+SUMIFS($E$9:$E$18,$B$9:$B$18,L26))/(SUMIFS($D$9:$D$18,$B$9:$B$18,K26)+SUMIFS($D$9:$D$18,$B$9:$B$18,L26))</f>
        <v>0.55000000000000004</v>
      </c>
      <c r="N26" s="192">
        <f>(SUMIFS($E$9:$E$18,$B$9:$B$18,K26)+SUMIFS($E$9:$E$18,$B$9:$B$18,L26))/(SUMIFS($N$5:$N$14,$B$9:$B$18,K26)+SUMIFS($N$5:$N$14,$B$9:$B$18,L26))</f>
        <v>1.0476190476190477</v>
      </c>
      <c r="O26" s="185"/>
      <c r="P26" s="185"/>
      <c r="Q26" s="185"/>
    </row>
    <row r="27" spans="1:17" x14ac:dyDescent="0.3">
      <c r="J27" s="193">
        <v>2</v>
      </c>
      <c r="K27" s="201">
        <f>INDEX($J$5:$J$14,MATCH(3,$L$5:$L$14,0))</f>
        <v>3</v>
      </c>
      <c r="L27" s="9">
        <f>INDEX($J$5:$J$14,MATCH(4,$L$5:$L$14,0))</f>
        <v>4</v>
      </c>
      <c r="M27" s="205">
        <f t="shared" ref="M27:M30" si="6">(SUMIFS($E$9:$E$18,$B$9:$B$18,K27)+SUMIFS($E$9:$E$18,$B$9:$B$18,L27))/(SUMIFS($D$9:$D$18,$B$9:$B$18,K27)+SUMIFS($D$9:$D$18,$B$9:$B$18,L27))</f>
        <v>0.75</v>
      </c>
      <c r="N27" s="194">
        <f t="shared" ref="N27:N30" si="7">(SUMIFS($E$9:$E$18,$B$9:$B$18,K27)+SUMIFS($E$9:$E$18,$B$9:$B$18,L27))/(SUMIFS($N$5:$N$14,$B$9:$B$18,K27)+SUMIFS($N$5:$N$14,$B$9:$B$18,L27))</f>
        <v>1.0344827586206897</v>
      </c>
      <c r="O27" s="185"/>
      <c r="P27" s="185"/>
      <c r="Q27" s="185"/>
    </row>
    <row r="28" spans="1:17" x14ac:dyDescent="0.3">
      <c r="J28" s="193">
        <v>3</v>
      </c>
      <c r="K28" s="201">
        <f>INDEX($J$5:$J$14,MATCH(5,$L$5:$L$14,0))</f>
        <v>5</v>
      </c>
      <c r="L28" s="9">
        <f>INDEX($J$5:$J$14,MATCH(6,$L$5:$L$14,0))</f>
        <v>6</v>
      </c>
      <c r="M28" s="205">
        <f t="shared" si="6"/>
        <v>1</v>
      </c>
      <c r="N28" s="194">
        <f t="shared" si="7"/>
        <v>1</v>
      </c>
      <c r="O28" s="185"/>
      <c r="P28" s="185"/>
      <c r="Q28" s="185"/>
    </row>
    <row r="29" spans="1:17" x14ac:dyDescent="0.3">
      <c r="J29" s="193">
        <v>4</v>
      </c>
      <c r="K29" s="201">
        <f>INDEX($J$5:$J$14,MATCH(7,$L$5:$L$14,0))</f>
        <v>7</v>
      </c>
      <c r="L29" s="9">
        <f>INDEX($J$5:$J$14,MATCH(8,$L$5:$L$14,0))</f>
        <v>8</v>
      </c>
      <c r="M29" s="205">
        <f t="shared" si="6"/>
        <v>1.35</v>
      </c>
      <c r="N29" s="194">
        <f t="shared" si="7"/>
        <v>0.98181818181818181</v>
      </c>
      <c r="O29" s="185"/>
      <c r="P29" s="185"/>
      <c r="Q29" s="185"/>
    </row>
    <row r="30" spans="1:17" x14ac:dyDescent="0.3">
      <c r="J30" s="195">
        <v>5</v>
      </c>
      <c r="K30" s="202">
        <f>INDEX($J$5:$J$14,MATCH(9,$L$5:$L$14,0))</f>
        <v>9</v>
      </c>
      <c r="L30" s="196">
        <f>INDEX($J$5:$J$14,MATCH(10,$L$5:$L$14,0))</f>
        <v>10</v>
      </c>
      <c r="M30" s="206">
        <f t="shared" si="6"/>
        <v>1.7</v>
      </c>
      <c r="N30" s="197">
        <f t="shared" si="7"/>
        <v>0.90666666666666662</v>
      </c>
      <c r="O30" s="185"/>
      <c r="P30" s="185"/>
      <c r="Q30" s="185"/>
    </row>
    <row r="31" spans="1:17" x14ac:dyDescent="0.3">
      <c r="J31" s="185"/>
      <c r="K31" s="185"/>
      <c r="L31" s="185"/>
      <c r="M31" s="185"/>
      <c r="N31" s="185"/>
      <c r="O31" s="185"/>
      <c r="P31" s="185"/>
      <c r="Q31" s="185"/>
    </row>
    <row r="32" spans="1:17" x14ac:dyDescent="0.3">
      <c r="J32" s="185" t="s">
        <v>263</v>
      </c>
      <c r="K32" s="185"/>
      <c r="L32" s="185"/>
      <c r="M32" s="185"/>
      <c r="N32" s="185"/>
      <c r="O32" s="185"/>
      <c r="P32" s="185"/>
      <c r="Q32" s="185"/>
    </row>
    <row r="33" spans="9:17" x14ac:dyDescent="0.3">
      <c r="J33" s="185" t="s">
        <v>264</v>
      </c>
      <c r="K33" s="185"/>
      <c r="L33" s="185"/>
      <c r="M33" s="185"/>
      <c r="N33" s="185"/>
      <c r="O33" s="185"/>
      <c r="P33" s="185"/>
      <c r="Q33" s="185"/>
    </row>
    <row r="34" spans="9:17" x14ac:dyDescent="0.3">
      <c r="J34" s="185" t="s">
        <v>265</v>
      </c>
      <c r="K34" s="185"/>
      <c r="L34" s="185"/>
      <c r="M34" s="185"/>
      <c r="N34" s="185"/>
      <c r="O34" s="185"/>
      <c r="P34" s="185"/>
      <c r="Q34" s="185"/>
    </row>
    <row r="35" spans="9:17" x14ac:dyDescent="0.3">
      <c r="J35" s="185" t="s">
        <v>266</v>
      </c>
      <c r="K35" s="185"/>
      <c r="L35" s="185"/>
      <c r="M35" s="185"/>
      <c r="N35" s="185"/>
      <c r="O35" s="185"/>
      <c r="P35" s="185"/>
      <c r="Q35" s="185"/>
    </row>
    <row r="36" spans="9:17" x14ac:dyDescent="0.3">
      <c r="J36" s="185" t="s">
        <v>267</v>
      </c>
      <c r="K36" s="185"/>
      <c r="L36" s="185"/>
      <c r="M36" s="185"/>
      <c r="N36" s="185"/>
      <c r="O36" s="185"/>
      <c r="P36" s="185"/>
      <c r="Q36" s="185"/>
    </row>
    <row r="37" spans="9:17" x14ac:dyDescent="0.3">
      <c r="J37" s="185" t="s">
        <v>268</v>
      </c>
      <c r="K37" s="185"/>
      <c r="L37" s="185"/>
      <c r="M37" s="185"/>
      <c r="N37" s="185"/>
      <c r="O37" s="185"/>
      <c r="P37" s="185"/>
      <c r="Q37" s="185"/>
    </row>
    <row r="38" spans="9:17" x14ac:dyDescent="0.3">
      <c r="J38" s="185" t="s">
        <v>269</v>
      </c>
      <c r="K38" s="185"/>
      <c r="L38" s="185"/>
      <c r="M38" s="185"/>
      <c r="N38" s="185"/>
      <c r="O38" s="185"/>
      <c r="P38" s="185"/>
      <c r="Q38" s="185"/>
    </row>
    <row r="39" spans="9:17" x14ac:dyDescent="0.3">
      <c r="J39" s="185" t="s">
        <v>270</v>
      </c>
      <c r="K39" s="185"/>
      <c r="L39" s="185"/>
      <c r="M39" s="185"/>
      <c r="N39" s="185"/>
      <c r="O39" s="185"/>
      <c r="P39" s="185"/>
      <c r="Q39" s="185"/>
    </row>
    <row r="40" spans="9:17" x14ac:dyDescent="0.3">
      <c r="J40" s="185" t="s">
        <v>271</v>
      </c>
      <c r="K40" s="185"/>
      <c r="L40" s="185"/>
      <c r="M40" s="185"/>
      <c r="N40" s="185"/>
      <c r="O40" s="185"/>
      <c r="P40" s="185"/>
      <c r="Q40" s="185"/>
    </row>
    <row r="41" spans="9:17" x14ac:dyDescent="0.3">
      <c r="J41" s="185" t="s">
        <v>272</v>
      </c>
      <c r="K41" s="185"/>
      <c r="L41" s="185"/>
      <c r="M41" s="185"/>
      <c r="N41" s="185"/>
      <c r="O41" s="185"/>
      <c r="P41" s="185"/>
      <c r="Q41" s="185"/>
    </row>
    <row r="42" spans="9:17" x14ac:dyDescent="0.3">
      <c r="J42" s="185"/>
      <c r="K42" s="185"/>
      <c r="L42" s="185"/>
      <c r="M42" s="185"/>
      <c r="N42" s="185"/>
      <c r="O42" s="185"/>
      <c r="P42" s="185"/>
      <c r="Q42" s="185"/>
    </row>
    <row r="43" spans="9:17" x14ac:dyDescent="0.3">
      <c r="I43" t="s">
        <v>38</v>
      </c>
      <c r="J43" s="185" t="s">
        <v>273</v>
      </c>
      <c r="K43" s="185"/>
      <c r="L43" s="185"/>
      <c r="M43" s="188">
        <f>AVERAGEIF(C9:C18,"Uses Robots",E9:E18)</f>
        <v>800</v>
      </c>
      <c r="N43" s="185"/>
      <c r="O43" s="185"/>
      <c r="P43" s="185"/>
      <c r="Q43" s="185"/>
    </row>
    <row r="44" spans="9:17" x14ac:dyDescent="0.3">
      <c r="J44" s="185"/>
      <c r="K44" s="185"/>
      <c r="L44" s="185"/>
      <c r="M44" s="188"/>
      <c r="N44" s="185"/>
      <c r="O44" s="185"/>
      <c r="P44" s="185"/>
      <c r="Q44" s="185"/>
    </row>
    <row r="45" spans="9:17" x14ac:dyDescent="0.3">
      <c r="J45" s="185" t="s">
        <v>274</v>
      </c>
      <c r="K45" s="185"/>
      <c r="L45" s="185"/>
      <c r="M45" s="189">
        <f>AVERAGEIF(C9:C18,"Made by hand",E9:E18)</f>
        <v>1340</v>
      </c>
      <c r="N45" s="185"/>
      <c r="O45" s="185"/>
      <c r="P45" s="185"/>
      <c r="Q45" s="185"/>
    </row>
    <row r="46" spans="9:17" x14ac:dyDescent="0.3">
      <c r="J46" s="185"/>
      <c r="K46" s="185"/>
      <c r="L46" s="185"/>
      <c r="M46" s="185"/>
      <c r="N46" s="185"/>
      <c r="O46" s="185"/>
      <c r="P46" s="185"/>
      <c r="Q46" s="185"/>
    </row>
    <row r="47" spans="9:17" x14ac:dyDescent="0.3">
      <c r="J47" s="185" t="s">
        <v>275</v>
      </c>
      <c r="K47" s="185"/>
      <c r="L47" s="185"/>
      <c r="M47" s="185"/>
      <c r="N47" s="185"/>
      <c r="O47" s="185"/>
      <c r="P47" s="185"/>
      <c r="Q47" s="185"/>
    </row>
    <row r="48" spans="9:17" x14ac:dyDescent="0.3">
      <c r="J48" s="185" t="s">
        <v>276</v>
      </c>
      <c r="K48" s="185"/>
      <c r="L48" s="185"/>
      <c r="M48" s="185"/>
      <c r="N48" s="185"/>
      <c r="O48" s="185"/>
      <c r="P48" s="185"/>
      <c r="Q48" s="185"/>
    </row>
    <row r="49" spans="10:17" x14ac:dyDescent="0.3">
      <c r="J49" s="185" t="s">
        <v>277</v>
      </c>
      <c r="K49" s="185"/>
      <c r="L49" s="185"/>
      <c r="M49" s="185"/>
      <c r="N49" s="185"/>
      <c r="O49" s="185"/>
      <c r="P49" s="185"/>
      <c r="Q49" s="185"/>
    </row>
    <row r="50" spans="10:17" x14ac:dyDescent="0.3">
      <c r="J50" s="185" t="s">
        <v>278</v>
      </c>
      <c r="K50" s="185"/>
      <c r="L50" s="185"/>
      <c r="M50" s="185"/>
      <c r="N50" s="185"/>
      <c r="O50" s="185"/>
      <c r="P50" s="185"/>
      <c r="Q50" s="185"/>
    </row>
    <row r="51" spans="10:17" x14ac:dyDescent="0.3">
      <c r="J51" s="185"/>
      <c r="K51" s="185"/>
      <c r="L51" s="185"/>
      <c r="M51" s="185"/>
      <c r="N51" s="185"/>
      <c r="O51" s="185"/>
      <c r="P51" s="185"/>
      <c r="Q51" s="185"/>
    </row>
    <row r="52" spans="10:17" x14ac:dyDescent="0.3">
      <c r="J52" s="185"/>
      <c r="K52" s="185"/>
      <c r="L52" s="185"/>
      <c r="M52" s="185"/>
      <c r="N52" s="185"/>
      <c r="O52" s="185"/>
      <c r="P52" s="185"/>
      <c r="Q52" s="185"/>
    </row>
    <row r="53" spans="10:17" x14ac:dyDescent="0.3">
      <c r="J53" s="185"/>
      <c r="K53" s="185"/>
      <c r="L53" s="185"/>
      <c r="M53" s="185"/>
      <c r="N53" s="185"/>
      <c r="O53" s="185"/>
      <c r="P53" s="185"/>
      <c r="Q53" s="185"/>
    </row>
    <row r="54" spans="10:17" x14ac:dyDescent="0.3">
      <c r="J54" s="185"/>
      <c r="K54" s="185"/>
      <c r="L54" s="185"/>
      <c r="M54" s="185"/>
      <c r="N54" s="185"/>
      <c r="O54" s="185"/>
      <c r="P54" s="185"/>
      <c r="Q54" s="185"/>
    </row>
    <row r="55" spans="10:17" x14ac:dyDescent="0.3">
      <c r="J55" s="185"/>
      <c r="K55" s="185"/>
      <c r="L55" s="185"/>
      <c r="M55" s="185"/>
      <c r="N55" s="185"/>
      <c r="O55" s="185"/>
      <c r="P55" s="185"/>
      <c r="Q55" s="185"/>
    </row>
  </sheetData>
  <mergeCells count="1">
    <mergeCell ref="G1:H1"/>
  </mergeCells>
  <hyperlinks>
    <hyperlink ref="G1" location="TOC!A1" display="Return to TOC" xr:uid="{0F0A39F8-2372-48B3-9994-45BC3CE48CEB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B828E-F35E-4AC1-A2DC-BB8F23847253}">
  <dimension ref="A1:O14"/>
  <sheetViews>
    <sheetView workbookViewId="0"/>
  </sheetViews>
  <sheetFormatPr defaultRowHeight="14.4" x14ac:dyDescent="0.3"/>
  <cols>
    <col min="1" max="1" width="14" bestFit="1" customWidth="1"/>
    <col min="2" max="2" width="17.88671875" customWidth="1"/>
    <col min="3" max="3" width="25.44140625" customWidth="1"/>
    <col min="7" max="7" width="9.109375" customWidth="1"/>
    <col min="8" max="8" width="3.6640625" customWidth="1"/>
  </cols>
  <sheetData>
    <row r="1" spans="1:15" x14ac:dyDescent="0.3">
      <c r="A1" s="6" t="s">
        <v>4</v>
      </c>
      <c r="B1" s="7" t="s">
        <v>12</v>
      </c>
      <c r="C1" s="7"/>
      <c r="D1" s="8"/>
      <c r="E1" s="8"/>
      <c r="F1" s="490" t="s">
        <v>5</v>
      </c>
      <c r="G1" s="491"/>
      <c r="I1" s="10" t="s">
        <v>6</v>
      </c>
    </row>
    <row r="2" spans="1:15" x14ac:dyDescent="0.3">
      <c r="A2" s="11" t="s">
        <v>7</v>
      </c>
      <c r="B2" s="33" t="s">
        <v>280</v>
      </c>
      <c r="C2" s="33"/>
      <c r="D2" s="33"/>
      <c r="E2" s="33"/>
      <c r="F2" s="33"/>
      <c r="G2" s="12"/>
      <c r="H2" t="s">
        <v>28</v>
      </c>
      <c r="I2" s="185" t="s">
        <v>296</v>
      </c>
      <c r="J2" s="185"/>
      <c r="K2" s="185"/>
      <c r="L2" s="185"/>
      <c r="M2" s="185"/>
      <c r="N2" s="185"/>
      <c r="O2" s="185"/>
    </row>
    <row r="3" spans="1:15" x14ac:dyDescent="0.3">
      <c r="A3" s="11" t="s">
        <v>8</v>
      </c>
      <c r="B3" s="33" t="s">
        <v>281</v>
      </c>
      <c r="C3" s="33"/>
      <c r="D3" s="33"/>
      <c r="E3" s="33"/>
      <c r="F3" s="33"/>
      <c r="G3" s="12"/>
      <c r="I3" s="185" t="s">
        <v>297</v>
      </c>
      <c r="J3" s="185"/>
      <c r="K3" s="185"/>
      <c r="L3" s="185"/>
      <c r="M3" s="185"/>
      <c r="N3" s="185"/>
      <c r="O3" s="185"/>
    </row>
    <row r="4" spans="1:15" x14ac:dyDescent="0.3">
      <c r="A4" s="13"/>
      <c r="B4" s="34"/>
      <c r="C4" s="34"/>
      <c r="D4" s="34"/>
      <c r="E4" s="34"/>
      <c r="F4" s="34"/>
      <c r="G4" s="14"/>
      <c r="I4" s="185" t="s">
        <v>298</v>
      </c>
      <c r="J4" s="185"/>
      <c r="K4" s="185"/>
      <c r="L4" s="185"/>
      <c r="M4" s="185"/>
      <c r="N4" s="185"/>
      <c r="O4" s="185"/>
    </row>
    <row r="5" spans="1:15" x14ac:dyDescent="0.3">
      <c r="A5" s="15" t="s">
        <v>9</v>
      </c>
      <c r="B5" s="36" t="s">
        <v>282</v>
      </c>
      <c r="C5" s="36"/>
      <c r="D5" s="36"/>
      <c r="E5" s="36"/>
      <c r="F5" s="36"/>
      <c r="G5" s="37"/>
      <c r="I5" s="185" t="s">
        <v>291</v>
      </c>
      <c r="J5" s="185"/>
      <c r="K5" s="221">
        <f>10%*2/3</f>
        <v>6.6666666666666666E-2</v>
      </c>
      <c r="L5" s="185" t="s">
        <v>299</v>
      </c>
      <c r="M5" s="185"/>
      <c r="N5" s="185"/>
      <c r="O5" s="185"/>
    </row>
    <row r="6" spans="1:15" x14ac:dyDescent="0.3">
      <c r="A6" s="16"/>
      <c r="B6" s="36" t="s">
        <v>283</v>
      </c>
      <c r="C6" s="36"/>
      <c r="D6" s="36"/>
      <c r="E6" s="36"/>
      <c r="F6" s="36"/>
      <c r="G6" s="37"/>
      <c r="I6" s="185"/>
      <c r="J6" s="185"/>
      <c r="K6" s="185"/>
      <c r="L6" s="185"/>
      <c r="M6" s="185"/>
      <c r="N6" s="185"/>
      <c r="O6" s="185"/>
    </row>
    <row r="7" spans="1:15" x14ac:dyDescent="0.3">
      <c r="A7" s="16"/>
      <c r="B7" s="36" t="s">
        <v>284</v>
      </c>
      <c r="C7" s="36"/>
      <c r="D7" s="36"/>
      <c r="E7" s="36"/>
      <c r="F7" s="36"/>
      <c r="G7" s="37"/>
      <c r="I7" s="185" t="s">
        <v>300</v>
      </c>
      <c r="J7" s="185"/>
      <c r="K7" s="185"/>
      <c r="L7" s="185"/>
      <c r="M7" s="185"/>
      <c r="N7" s="185"/>
      <c r="O7" s="185"/>
    </row>
    <row r="8" spans="1:15" x14ac:dyDescent="0.3">
      <c r="A8" s="16"/>
      <c r="B8" s="36"/>
      <c r="C8" s="36"/>
      <c r="D8" s="36"/>
      <c r="E8" s="36"/>
      <c r="F8" s="36"/>
      <c r="G8" s="37"/>
      <c r="I8" s="185" t="s">
        <v>301</v>
      </c>
      <c r="J8" s="185"/>
      <c r="K8" s="185"/>
      <c r="L8" s="185"/>
      <c r="M8" s="185"/>
      <c r="N8" s="185"/>
      <c r="O8" s="185"/>
    </row>
    <row r="9" spans="1:15" x14ac:dyDescent="0.3">
      <c r="A9" s="16"/>
      <c r="B9" s="36"/>
      <c r="C9" s="36"/>
      <c r="D9" s="38" t="s">
        <v>285</v>
      </c>
      <c r="E9" s="38"/>
      <c r="F9" s="38"/>
      <c r="G9" s="220"/>
      <c r="I9" s="185" t="s">
        <v>302</v>
      </c>
      <c r="J9" s="185"/>
      <c r="K9" s="185"/>
      <c r="L9" s="185"/>
      <c r="M9" s="185"/>
      <c r="N9" s="185"/>
      <c r="O9" s="185"/>
    </row>
    <row r="10" spans="1:15" x14ac:dyDescent="0.3">
      <c r="A10" s="16"/>
      <c r="B10" s="170" t="s">
        <v>286</v>
      </c>
      <c r="C10" s="170" t="s">
        <v>287</v>
      </c>
      <c r="D10" s="213" t="s">
        <v>288</v>
      </c>
      <c r="E10" s="214"/>
      <c r="F10" s="215" t="s">
        <v>289</v>
      </c>
      <c r="G10" s="37"/>
      <c r="I10" s="222">
        <v>0.02</v>
      </c>
      <c r="J10" s="185" t="s">
        <v>303</v>
      </c>
      <c r="K10" s="185"/>
      <c r="L10" s="185"/>
      <c r="M10" s="185"/>
      <c r="N10" s="185"/>
      <c r="O10" s="185"/>
    </row>
    <row r="11" spans="1:15" x14ac:dyDescent="0.3">
      <c r="A11" s="16"/>
      <c r="B11" s="168" t="s">
        <v>290</v>
      </c>
      <c r="C11" s="168" t="s">
        <v>291</v>
      </c>
      <c r="D11" s="216">
        <v>0.1</v>
      </c>
      <c r="E11" s="217" t="s">
        <v>292</v>
      </c>
      <c r="F11" s="218">
        <v>0.1</v>
      </c>
      <c r="G11" s="37"/>
      <c r="I11" s="185"/>
      <c r="J11" s="185"/>
      <c r="K11" s="185"/>
      <c r="L11" s="185"/>
      <c r="M11" s="185"/>
      <c r="N11" s="185"/>
      <c r="O11" s="185"/>
    </row>
    <row r="12" spans="1:15" ht="28.8" x14ac:dyDescent="0.3">
      <c r="A12" s="16"/>
      <c r="B12" s="168" t="s">
        <v>293</v>
      </c>
      <c r="C12" s="219" t="s">
        <v>294</v>
      </c>
      <c r="D12" s="216">
        <v>0.05</v>
      </c>
      <c r="E12" s="217" t="s">
        <v>292</v>
      </c>
      <c r="F12" s="218">
        <v>0.05</v>
      </c>
      <c r="G12" s="37"/>
      <c r="I12" s="185" t="s">
        <v>304</v>
      </c>
      <c r="J12" s="185"/>
      <c r="K12" s="185"/>
      <c r="L12" s="185"/>
      <c r="M12" s="185"/>
      <c r="N12" s="223">
        <f>K5+I10</f>
        <v>8.666666666666667E-2</v>
      </c>
      <c r="O12" s="185" t="s">
        <v>299</v>
      </c>
    </row>
    <row r="13" spans="1:15" x14ac:dyDescent="0.3">
      <c r="A13" s="16"/>
      <c r="B13" s="36"/>
      <c r="C13" s="36"/>
      <c r="D13" s="36"/>
      <c r="E13" s="36"/>
      <c r="F13" s="36"/>
      <c r="G13" s="37"/>
      <c r="I13" s="185"/>
      <c r="J13" s="185"/>
      <c r="K13" s="185"/>
      <c r="L13" s="185"/>
      <c r="M13" s="185"/>
      <c r="N13" s="185"/>
      <c r="O13" s="185"/>
    </row>
    <row r="14" spans="1:15" ht="15" thickBot="1" x14ac:dyDescent="0.35">
      <c r="A14" s="122" t="s">
        <v>10</v>
      </c>
      <c r="B14" s="41" t="s">
        <v>295</v>
      </c>
      <c r="C14" s="41"/>
      <c r="D14" s="41"/>
      <c r="E14" s="41"/>
      <c r="F14" s="41"/>
      <c r="G14" s="42"/>
    </row>
  </sheetData>
  <mergeCells count="1">
    <mergeCell ref="F1:G1"/>
  </mergeCells>
  <hyperlinks>
    <hyperlink ref="F1" location="TOC!A1" display="Return to TOC" xr:uid="{D0AE9BD9-1C5D-4460-B340-B77ED7177805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B49DD-2D08-49DB-969B-D36E3EE6FCF0}">
  <dimension ref="A1:S37"/>
  <sheetViews>
    <sheetView workbookViewId="0"/>
  </sheetViews>
  <sheetFormatPr defaultRowHeight="14.4" x14ac:dyDescent="0.3"/>
  <cols>
    <col min="1" max="1" width="14" bestFit="1" customWidth="1"/>
    <col min="5" max="5" width="9.33203125" bestFit="1" customWidth="1"/>
    <col min="6" max="6" width="10" bestFit="1" customWidth="1"/>
    <col min="7" max="7" width="11.109375" bestFit="1" customWidth="1"/>
    <col min="10" max="10" width="5.88671875" customWidth="1"/>
    <col min="11" max="11" width="3.6640625" customWidth="1"/>
  </cols>
  <sheetData>
    <row r="1" spans="1:19" x14ac:dyDescent="0.3">
      <c r="A1" s="6" t="s">
        <v>4</v>
      </c>
      <c r="B1" s="7" t="s">
        <v>12</v>
      </c>
      <c r="C1" s="7"/>
      <c r="D1" s="8"/>
      <c r="E1" s="8"/>
      <c r="F1" s="8"/>
      <c r="G1" s="490" t="s">
        <v>5</v>
      </c>
      <c r="H1" s="490"/>
      <c r="I1" s="490"/>
      <c r="J1" s="491"/>
      <c r="L1" s="10" t="s">
        <v>6</v>
      </c>
    </row>
    <row r="2" spans="1:19" x14ac:dyDescent="0.3">
      <c r="A2" s="11" t="s">
        <v>7</v>
      </c>
      <c r="B2" s="33" t="s">
        <v>305</v>
      </c>
      <c r="C2" s="33"/>
      <c r="D2" s="33"/>
      <c r="E2" s="33"/>
      <c r="F2" s="33"/>
      <c r="G2" s="33"/>
      <c r="H2" s="33"/>
      <c r="I2" s="33"/>
      <c r="J2" s="12"/>
      <c r="K2" t="s">
        <v>28</v>
      </c>
      <c r="L2" s="185" t="s">
        <v>320</v>
      </c>
      <c r="M2" s="185"/>
      <c r="N2" s="185"/>
      <c r="O2" s="185"/>
      <c r="P2" s="185"/>
      <c r="Q2" s="185"/>
      <c r="R2" s="185"/>
      <c r="S2" s="185"/>
    </row>
    <row r="3" spans="1:19" x14ac:dyDescent="0.3">
      <c r="A3" s="11" t="s">
        <v>8</v>
      </c>
      <c r="B3" s="33" t="s">
        <v>15</v>
      </c>
      <c r="C3" s="33"/>
      <c r="D3" s="33"/>
      <c r="E3" s="33"/>
      <c r="F3" s="33"/>
      <c r="G3" s="33"/>
      <c r="H3" s="33"/>
      <c r="I3" s="33"/>
      <c r="J3" s="12"/>
      <c r="L3" s="185"/>
      <c r="M3" s="185"/>
      <c r="N3" s="185"/>
      <c r="O3" s="185"/>
      <c r="P3" s="185"/>
      <c r="Q3" s="185"/>
      <c r="R3" s="185"/>
      <c r="S3" s="185"/>
    </row>
    <row r="4" spans="1:19" x14ac:dyDescent="0.3">
      <c r="A4" s="13"/>
      <c r="B4" s="34"/>
      <c r="C4" s="34"/>
      <c r="D4" s="34"/>
      <c r="E4" s="34"/>
      <c r="F4" s="34"/>
      <c r="G4" s="34"/>
      <c r="H4" s="34"/>
      <c r="I4" s="34"/>
      <c r="J4" s="14"/>
      <c r="L4" s="185" t="s">
        <v>321</v>
      </c>
      <c r="M4" s="185"/>
      <c r="N4" s="185"/>
      <c r="O4" s="185"/>
      <c r="P4" s="185"/>
      <c r="Q4" s="185"/>
      <c r="R4" s="185"/>
      <c r="S4" s="185"/>
    </row>
    <row r="5" spans="1:19" x14ac:dyDescent="0.3">
      <c r="A5" s="15" t="s">
        <v>9</v>
      </c>
      <c r="B5" s="36" t="s">
        <v>306</v>
      </c>
      <c r="C5" s="36"/>
      <c r="D5" s="36"/>
      <c r="E5" s="36"/>
      <c r="F5" s="36"/>
      <c r="G5" s="36"/>
      <c r="H5" s="36"/>
      <c r="I5" s="36"/>
      <c r="J5" s="37"/>
      <c r="L5" s="185"/>
      <c r="M5" s="185"/>
      <c r="N5" s="185"/>
      <c r="O5" s="185"/>
      <c r="P5" s="185"/>
      <c r="Q5" s="185"/>
      <c r="R5" s="185"/>
      <c r="S5" s="185"/>
    </row>
    <row r="6" spans="1:19" x14ac:dyDescent="0.3">
      <c r="A6" s="16"/>
      <c r="B6" s="36" t="s">
        <v>307</v>
      </c>
      <c r="C6" s="36"/>
      <c r="D6" s="36"/>
      <c r="E6" s="36"/>
      <c r="F6" s="36"/>
      <c r="G6" s="36"/>
      <c r="H6" s="36"/>
      <c r="I6" s="36"/>
      <c r="J6" s="37"/>
      <c r="L6" s="236" t="s">
        <v>262</v>
      </c>
      <c r="M6" s="185"/>
      <c r="N6" s="185"/>
      <c r="O6" s="185"/>
      <c r="P6" s="185"/>
      <c r="Q6" s="185"/>
      <c r="R6" s="185"/>
      <c r="S6" s="185"/>
    </row>
    <row r="7" spans="1:19" x14ac:dyDescent="0.3">
      <c r="A7" s="16"/>
      <c r="B7" s="36" t="s">
        <v>308</v>
      </c>
      <c r="C7" s="36"/>
      <c r="D7" s="36"/>
      <c r="E7" s="36"/>
      <c r="F7" s="36"/>
      <c r="G7" s="36"/>
      <c r="H7" s="36"/>
      <c r="I7" s="36"/>
      <c r="J7" s="37"/>
      <c r="L7" s="185" t="s">
        <v>322</v>
      </c>
      <c r="M7" s="185"/>
      <c r="N7" s="185"/>
      <c r="O7" s="185"/>
      <c r="P7" s="185">
        <f>((G14-G19)^2+(G15-G19)^2+(G16-G19)^2+(G17-G19)^2+(G18-G19)^2)/(COUNT(G14:G18)-1)</f>
        <v>1.6500000000000002E-3</v>
      </c>
      <c r="Q7" s="185"/>
      <c r="R7" s="185"/>
      <c r="S7" s="185"/>
    </row>
    <row r="8" spans="1:19" x14ac:dyDescent="0.3">
      <c r="A8" s="16"/>
      <c r="B8" s="36" t="s">
        <v>309</v>
      </c>
      <c r="C8" s="36"/>
      <c r="D8" s="36"/>
      <c r="E8" s="36"/>
      <c r="F8" s="36"/>
      <c r="G8" s="36"/>
      <c r="H8" s="36"/>
      <c r="I8" s="36"/>
      <c r="J8" s="37"/>
      <c r="L8" s="185" t="s">
        <v>323</v>
      </c>
      <c r="M8" s="185"/>
      <c r="N8" s="185"/>
      <c r="O8" s="185"/>
      <c r="P8" s="185">
        <f>((F14-F19)^2+(F15-F19)^2+(F16-F19)^2+(F17-F19)^2+(F18-F19)^2)/(COUNT(F14:F18)-1)</f>
        <v>2.1725000000000005E-2</v>
      </c>
      <c r="Q8" s="185"/>
      <c r="R8" s="185"/>
      <c r="S8" s="185"/>
    </row>
    <row r="9" spans="1:19" x14ac:dyDescent="0.3">
      <c r="A9" s="16"/>
      <c r="B9" s="36" t="s">
        <v>310</v>
      </c>
      <c r="C9" s="36"/>
      <c r="D9" s="36"/>
      <c r="E9" s="36"/>
      <c r="F9" s="36"/>
      <c r="G9" s="36"/>
      <c r="H9" s="36"/>
      <c r="I9" s="36"/>
      <c r="J9" s="37"/>
      <c r="L9" s="185"/>
      <c r="M9" s="185"/>
      <c r="N9" s="185"/>
      <c r="O9" s="185"/>
      <c r="P9" s="185"/>
      <c r="Q9" s="185"/>
      <c r="R9" s="185"/>
      <c r="S9" s="185"/>
    </row>
    <row r="10" spans="1:19" x14ac:dyDescent="0.3">
      <c r="A10" s="16"/>
      <c r="B10" s="36"/>
      <c r="C10" s="36"/>
      <c r="D10" s="36"/>
      <c r="E10" s="36"/>
      <c r="F10" s="36"/>
      <c r="G10" s="36"/>
      <c r="H10" s="36"/>
      <c r="I10" s="36"/>
      <c r="J10" s="37"/>
      <c r="L10" s="185" t="s">
        <v>324</v>
      </c>
      <c r="M10" s="185"/>
      <c r="N10" s="185">
        <f>P7/P8</f>
        <v>7.5949367088607583E-2</v>
      </c>
      <c r="O10" s="185"/>
      <c r="P10" s="185"/>
      <c r="Q10" s="185"/>
      <c r="R10" s="185"/>
      <c r="S10" s="185"/>
    </row>
    <row r="11" spans="1:19" x14ac:dyDescent="0.3">
      <c r="A11" s="16"/>
      <c r="B11" s="227" t="s">
        <v>262</v>
      </c>
      <c r="C11" s="38"/>
      <c r="D11" s="38"/>
      <c r="E11" s="38"/>
      <c r="F11" s="38"/>
      <c r="G11" s="38"/>
      <c r="H11" s="36"/>
      <c r="I11" s="38"/>
      <c r="J11" s="228"/>
      <c r="L11" s="185"/>
      <c r="M11" s="185"/>
      <c r="N11" s="185"/>
      <c r="O11" s="185"/>
      <c r="P11" s="185"/>
      <c r="Q11" s="185"/>
      <c r="R11" s="185"/>
      <c r="S11" s="185"/>
    </row>
    <row r="12" spans="1:19" ht="15" customHeight="1" x14ac:dyDescent="0.3">
      <c r="A12" s="16"/>
      <c r="B12" s="492" t="s">
        <v>17</v>
      </c>
      <c r="C12" s="180" t="s">
        <v>163</v>
      </c>
      <c r="D12" s="494" t="s">
        <v>80</v>
      </c>
      <c r="E12" s="182" t="s">
        <v>319</v>
      </c>
      <c r="F12" s="180" t="s">
        <v>316</v>
      </c>
      <c r="G12" s="175" t="s">
        <v>316</v>
      </c>
      <c r="H12" s="36"/>
      <c r="I12" s="225"/>
      <c r="J12" s="37"/>
      <c r="L12" s="236" t="s">
        <v>115</v>
      </c>
      <c r="M12" s="185"/>
      <c r="N12" s="185"/>
      <c r="O12" s="185"/>
      <c r="P12" s="185"/>
      <c r="Q12" s="185"/>
      <c r="R12" s="185"/>
      <c r="S12" s="185"/>
    </row>
    <row r="13" spans="1:19" x14ac:dyDescent="0.3">
      <c r="A13" s="16"/>
      <c r="B13" s="493"/>
      <c r="C13" s="181" t="s">
        <v>52</v>
      </c>
      <c r="D13" s="495"/>
      <c r="E13" s="183" t="s">
        <v>52</v>
      </c>
      <c r="F13" s="181" t="s">
        <v>317</v>
      </c>
      <c r="G13" s="229" t="s">
        <v>318</v>
      </c>
      <c r="H13" s="36"/>
      <c r="I13" s="225"/>
      <c r="J13" s="37"/>
      <c r="L13" s="185" t="s">
        <v>322</v>
      </c>
      <c r="M13" s="185"/>
      <c r="N13" s="185"/>
      <c r="O13" s="185"/>
      <c r="P13" s="185">
        <f>((G24-G29)^2+(G25-G29)^2+(G27-G29)^2+(G26-G29)^2+(G28-G29)^2)/(COUNT(G24:G28)-1)</f>
        <v>1.7500000000000005E-3</v>
      </c>
      <c r="Q13" s="185"/>
      <c r="R13" s="185"/>
      <c r="S13" s="185"/>
    </row>
    <row r="14" spans="1:19" x14ac:dyDescent="0.3">
      <c r="A14" s="16"/>
      <c r="B14" s="49" t="s">
        <v>53</v>
      </c>
      <c r="C14" s="125">
        <v>4750</v>
      </c>
      <c r="D14" s="50">
        <v>1978</v>
      </c>
      <c r="E14" s="125">
        <v>3278</v>
      </c>
      <c r="F14" s="234">
        <v>0.42</v>
      </c>
      <c r="G14" s="128">
        <v>0.6</v>
      </c>
      <c r="H14" s="36"/>
      <c r="I14" s="124"/>
      <c r="J14" s="37"/>
      <c r="L14" s="185" t="s">
        <v>323</v>
      </c>
      <c r="M14" s="185"/>
      <c r="N14" s="185"/>
      <c r="O14" s="185"/>
      <c r="P14" s="185">
        <f>((F24-F29)^2+(F25-F29)^2+(F27-F29)^2+(F26-F29)^2+(F28-F29)^2)/(COUNT(F24:F28)-1)</f>
        <v>3.0800000000000004E-2</v>
      </c>
      <c r="Q14" s="185"/>
      <c r="R14" s="185"/>
      <c r="S14" s="185"/>
    </row>
    <row r="15" spans="1:19" x14ac:dyDescent="0.3">
      <c r="A15" s="16"/>
      <c r="B15" s="52" t="s">
        <v>54</v>
      </c>
      <c r="C15" s="99">
        <v>4825</v>
      </c>
      <c r="D15" s="40">
        <v>2824</v>
      </c>
      <c r="E15" s="99">
        <v>4005</v>
      </c>
      <c r="F15" s="235">
        <v>0.59</v>
      </c>
      <c r="G15" s="130">
        <v>0.71</v>
      </c>
      <c r="H15" s="36"/>
      <c r="I15" s="124"/>
      <c r="J15" s="37"/>
      <c r="L15" s="185"/>
      <c r="M15" s="185"/>
      <c r="N15" s="185"/>
      <c r="O15" s="185"/>
      <c r="P15" s="185"/>
      <c r="Q15" s="185"/>
      <c r="R15" s="185"/>
      <c r="S15" s="185"/>
    </row>
    <row r="16" spans="1:19" x14ac:dyDescent="0.3">
      <c r="A16" s="16"/>
      <c r="B16" s="52" t="s">
        <v>55</v>
      </c>
      <c r="C16" s="99">
        <v>4450</v>
      </c>
      <c r="D16" s="40">
        <v>2915</v>
      </c>
      <c r="E16" s="99">
        <v>4450</v>
      </c>
      <c r="F16" s="235">
        <v>0.66</v>
      </c>
      <c r="G16" s="130">
        <v>0.66</v>
      </c>
      <c r="H16" s="36"/>
      <c r="I16" s="124"/>
      <c r="J16" s="37"/>
      <c r="L16" s="185" t="s">
        <v>324</v>
      </c>
      <c r="M16" s="185"/>
      <c r="N16" s="185">
        <f>P13/P14</f>
        <v>5.6818181818181823E-2</v>
      </c>
      <c r="O16" s="185"/>
      <c r="P16" s="185"/>
      <c r="Q16" s="185"/>
      <c r="R16" s="185"/>
      <c r="S16" s="185"/>
    </row>
    <row r="17" spans="1:19" x14ac:dyDescent="0.3">
      <c r="A17" s="16"/>
      <c r="B17" s="52" t="s">
        <v>56</v>
      </c>
      <c r="C17" s="99">
        <v>4845</v>
      </c>
      <c r="D17" s="40">
        <v>3608</v>
      </c>
      <c r="E17" s="99">
        <v>5378</v>
      </c>
      <c r="F17" s="235">
        <v>0.74</v>
      </c>
      <c r="G17" s="130">
        <v>0.67</v>
      </c>
      <c r="H17" s="124"/>
      <c r="I17" s="124"/>
      <c r="J17" s="37"/>
      <c r="L17" s="185"/>
      <c r="M17" s="185"/>
      <c r="N17" s="185"/>
      <c r="O17" s="185"/>
      <c r="P17" s="185"/>
      <c r="Q17" s="185"/>
      <c r="R17" s="185"/>
      <c r="S17" s="185"/>
    </row>
    <row r="18" spans="1:19" x14ac:dyDescent="0.3">
      <c r="A18" s="16"/>
      <c r="B18" s="52" t="s">
        <v>57</v>
      </c>
      <c r="C18" s="99">
        <v>4400</v>
      </c>
      <c r="D18" s="40">
        <v>3520</v>
      </c>
      <c r="E18" s="99">
        <v>5500</v>
      </c>
      <c r="F18" s="235">
        <v>0.8</v>
      </c>
      <c r="G18" s="130">
        <v>0.64</v>
      </c>
      <c r="H18" s="124"/>
      <c r="I18" s="124"/>
      <c r="J18" s="37"/>
      <c r="L18" s="185" t="s">
        <v>325</v>
      </c>
      <c r="M18" s="185"/>
      <c r="N18" s="185"/>
      <c r="O18" s="185"/>
      <c r="P18" s="185"/>
      <c r="Q18" s="185"/>
      <c r="R18" s="185"/>
      <c r="S18" s="185"/>
    </row>
    <row r="19" spans="1:19" x14ac:dyDescent="0.3">
      <c r="A19" s="16"/>
      <c r="B19" s="230" t="s">
        <v>151</v>
      </c>
      <c r="C19" s="169">
        <f>SUM(C14:C18)</f>
        <v>23270</v>
      </c>
      <c r="D19" s="231">
        <f>SUM(D14:D18)</f>
        <v>14845</v>
      </c>
      <c r="E19" s="169">
        <f>SUM(E14:E18)</f>
        <v>22611</v>
      </c>
      <c r="F19" s="224">
        <f>ROUND(D19/C19,2)</f>
        <v>0.64</v>
      </c>
      <c r="G19" s="233">
        <f>ROUND(D19/E19,2)</f>
        <v>0.66</v>
      </c>
      <c r="H19" s="226"/>
      <c r="I19" s="226"/>
      <c r="J19" s="37"/>
      <c r="L19" s="185" t="s">
        <v>326</v>
      </c>
      <c r="M19" s="185"/>
      <c r="N19" s="185"/>
      <c r="O19" s="185"/>
      <c r="P19" s="185"/>
      <c r="Q19" s="185"/>
      <c r="R19" s="185"/>
      <c r="S19" s="185"/>
    </row>
    <row r="20" spans="1:19" x14ac:dyDescent="0.3">
      <c r="A20" s="16"/>
      <c r="B20" s="36"/>
      <c r="C20" s="36"/>
      <c r="D20" s="36"/>
      <c r="E20" s="36"/>
      <c r="F20" s="36"/>
      <c r="G20" s="36"/>
      <c r="H20" s="36"/>
      <c r="I20" s="36"/>
      <c r="J20" s="37"/>
      <c r="L20" s="185"/>
      <c r="M20" s="185"/>
      <c r="N20" s="185"/>
      <c r="O20" s="185"/>
      <c r="P20" s="185"/>
      <c r="Q20" s="185"/>
      <c r="R20" s="185"/>
      <c r="S20" s="185"/>
    </row>
    <row r="21" spans="1:19" x14ac:dyDescent="0.3">
      <c r="A21" s="16"/>
      <c r="B21" s="227" t="s">
        <v>115</v>
      </c>
      <c r="C21" s="38"/>
      <c r="D21" s="38"/>
      <c r="E21" s="38"/>
      <c r="F21" s="38"/>
      <c r="G21" s="38"/>
      <c r="H21" s="36"/>
      <c r="I21" s="36"/>
      <c r="J21" s="37"/>
      <c r="L21" s="237" t="s">
        <v>327</v>
      </c>
      <c r="M21" s="185"/>
      <c r="N21" s="185"/>
      <c r="O21" s="185"/>
      <c r="P21" s="185"/>
      <c r="Q21" s="185"/>
      <c r="R21" s="185"/>
      <c r="S21" s="185"/>
    </row>
    <row r="22" spans="1:19" ht="15" customHeight="1" x14ac:dyDescent="0.3">
      <c r="A22" s="16"/>
      <c r="B22" s="492" t="s">
        <v>17</v>
      </c>
      <c r="C22" s="172" t="s">
        <v>163</v>
      </c>
      <c r="D22" s="494" t="s">
        <v>80</v>
      </c>
      <c r="E22" s="171" t="s">
        <v>319</v>
      </c>
      <c r="F22" s="172" t="s">
        <v>316</v>
      </c>
      <c r="G22" s="175" t="s">
        <v>316</v>
      </c>
      <c r="H22" s="225"/>
      <c r="I22" s="225"/>
      <c r="J22" s="37"/>
      <c r="L22" s="237" t="s">
        <v>328</v>
      </c>
      <c r="M22" s="238"/>
      <c r="N22" s="185"/>
      <c r="O22" s="185"/>
      <c r="P22" s="185"/>
      <c r="Q22" s="185"/>
      <c r="R22" s="185"/>
      <c r="S22" s="185"/>
    </row>
    <row r="23" spans="1:19" x14ac:dyDescent="0.3">
      <c r="A23" s="16"/>
      <c r="B23" s="493"/>
      <c r="C23" s="177" t="s">
        <v>52</v>
      </c>
      <c r="D23" s="495"/>
      <c r="E23" s="173" t="s">
        <v>52</v>
      </c>
      <c r="F23" s="177" t="s">
        <v>317</v>
      </c>
      <c r="G23" s="229" t="s">
        <v>318</v>
      </c>
      <c r="H23" s="225"/>
      <c r="I23" s="225"/>
      <c r="J23" s="37"/>
      <c r="L23" s="237" t="s">
        <v>329</v>
      </c>
      <c r="M23" s="185"/>
      <c r="N23" s="185"/>
      <c r="O23" s="185"/>
      <c r="P23" s="185"/>
      <c r="Q23" s="185"/>
      <c r="R23" s="185"/>
      <c r="S23" s="185"/>
    </row>
    <row r="24" spans="1:19" x14ac:dyDescent="0.3">
      <c r="A24" s="16"/>
      <c r="B24" s="49" t="s">
        <v>53</v>
      </c>
      <c r="C24" s="50">
        <v>4220</v>
      </c>
      <c r="D24" s="50">
        <v>1494</v>
      </c>
      <c r="E24" s="50">
        <v>2068</v>
      </c>
      <c r="F24" s="127">
        <v>0.35</v>
      </c>
      <c r="G24" s="128">
        <v>0.72</v>
      </c>
      <c r="H24" s="124"/>
      <c r="I24" s="124"/>
      <c r="J24" s="37"/>
      <c r="L24" s="237" t="s">
        <v>330</v>
      </c>
      <c r="M24" s="185"/>
      <c r="N24" s="185"/>
      <c r="O24" s="185"/>
      <c r="P24" s="185"/>
      <c r="Q24" s="185"/>
      <c r="R24" s="185"/>
      <c r="S24" s="185"/>
    </row>
    <row r="25" spans="1:19" x14ac:dyDescent="0.3">
      <c r="A25" s="16"/>
      <c r="B25" s="52" t="s">
        <v>54</v>
      </c>
      <c r="C25" s="40">
        <v>5100</v>
      </c>
      <c r="D25" s="40">
        <v>2922</v>
      </c>
      <c r="E25" s="40">
        <v>4233</v>
      </c>
      <c r="F25" s="124">
        <v>0.56999999999999995</v>
      </c>
      <c r="G25" s="130">
        <v>0.69</v>
      </c>
      <c r="H25" s="124"/>
      <c r="I25" s="124"/>
      <c r="J25" s="37"/>
      <c r="L25" s="237" t="s">
        <v>331</v>
      </c>
      <c r="M25" s="185"/>
      <c r="N25" s="185"/>
      <c r="O25" s="185"/>
      <c r="P25" s="185"/>
      <c r="Q25" s="185"/>
      <c r="R25" s="185"/>
      <c r="S25" s="185"/>
    </row>
    <row r="26" spans="1:19" x14ac:dyDescent="0.3">
      <c r="A26" s="16"/>
      <c r="B26" s="52" t="s">
        <v>55</v>
      </c>
      <c r="C26" s="40">
        <v>4150</v>
      </c>
      <c r="D26" s="40">
        <v>3088</v>
      </c>
      <c r="E26" s="40">
        <v>4109</v>
      </c>
      <c r="F26" s="124">
        <v>0.74</v>
      </c>
      <c r="G26" s="130">
        <v>0.75</v>
      </c>
      <c r="H26" s="124"/>
      <c r="I26" s="124"/>
      <c r="J26" s="37"/>
      <c r="L26" s="185"/>
      <c r="M26" s="185"/>
      <c r="N26" s="185"/>
      <c r="O26" s="185"/>
      <c r="P26" s="185"/>
      <c r="Q26" s="185"/>
      <c r="R26" s="185"/>
      <c r="S26" s="185"/>
    </row>
    <row r="27" spans="1:19" x14ac:dyDescent="0.3">
      <c r="A27" s="16"/>
      <c r="B27" s="52" t="s">
        <v>56</v>
      </c>
      <c r="C27" s="40">
        <v>4950</v>
      </c>
      <c r="D27" s="40">
        <v>3689</v>
      </c>
      <c r="E27" s="40">
        <v>5346</v>
      </c>
      <c r="F27" s="124">
        <v>0.75</v>
      </c>
      <c r="G27" s="130">
        <v>0.69</v>
      </c>
      <c r="H27" s="124"/>
      <c r="I27" s="124"/>
      <c r="J27" s="37"/>
      <c r="K27" t="s">
        <v>38</v>
      </c>
      <c r="L27" s="185" t="s">
        <v>332</v>
      </c>
      <c r="M27" s="185"/>
      <c r="N27" s="185"/>
      <c r="O27" s="185"/>
      <c r="P27" s="185"/>
      <c r="Q27" s="185"/>
      <c r="R27" s="185"/>
      <c r="S27" s="185"/>
    </row>
    <row r="28" spans="1:19" x14ac:dyDescent="0.3">
      <c r="A28" s="16"/>
      <c r="B28" s="52" t="s">
        <v>57</v>
      </c>
      <c r="C28" s="40">
        <v>4850</v>
      </c>
      <c r="D28" s="40">
        <v>3652</v>
      </c>
      <c r="E28" s="40">
        <v>5723</v>
      </c>
      <c r="F28" s="124">
        <v>0.75</v>
      </c>
      <c r="G28" s="130">
        <v>0.64</v>
      </c>
      <c r="H28" s="124"/>
      <c r="I28" s="124"/>
      <c r="J28" s="37"/>
      <c r="L28" s="185" t="s">
        <v>333</v>
      </c>
      <c r="M28" s="185"/>
      <c r="N28" s="185"/>
      <c r="O28" s="185"/>
      <c r="P28" s="185"/>
      <c r="Q28" s="185"/>
      <c r="R28" s="185"/>
      <c r="S28" s="185"/>
    </row>
    <row r="29" spans="1:19" x14ac:dyDescent="0.3">
      <c r="A29" s="16"/>
      <c r="B29" s="230" t="s">
        <v>151</v>
      </c>
      <c r="C29" s="231">
        <f>SUM(C24:C28)</f>
        <v>23270</v>
      </c>
      <c r="D29" s="231">
        <f>SUM(D24:D28)</f>
        <v>14845</v>
      </c>
      <c r="E29" s="231">
        <f>SUM(E24:E28)</f>
        <v>21479</v>
      </c>
      <c r="F29" s="232">
        <f>ROUND(D29/C29,2)</f>
        <v>0.64</v>
      </c>
      <c r="G29" s="233">
        <f>ROUND(D29/E29,2)</f>
        <v>0.69</v>
      </c>
      <c r="H29" s="226"/>
      <c r="I29" s="226"/>
      <c r="J29" s="37"/>
      <c r="L29" s="185" t="s">
        <v>334</v>
      </c>
      <c r="M29" s="185"/>
      <c r="N29" s="185"/>
      <c r="O29" s="185"/>
      <c r="P29" s="185"/>
      <c r="Q29" s="185"/>
      <c r="R29" s="185"/>
      <c r="S29" s="185"/>
    </row>
    <row r="30" spans="1:19" x14ac:dyDescent="0.3">
      <c r="A30" s="16"/>
      <c r="B30" s="36"/>
      <c r="C30" s="36"/>
      <c r="D30" s="36"/>
      <c r="E30" s="36"/>
      <c r="F30" s="36"/>
      <c r="G30" s="36"/>
      <c r="H30" s="36"/>
      <c r="I30" s="36"/>
      <c r="J30" s="37"/>
      <c r="L30" s="185" t="s">
        <v>335</v>
      </c>
      <c r="M30" s="185"/>
      <c r="N30" s="185"/>
      <c r="O30" s="185"/>
      <c r="P30" s="185"/>
      <c r="Q30" s="185"/>
      <c r="R30" s="185"/>
      <c r="S30" s="185"/>
    </row>
    <row r="31" spans="1:19" x14ac:dyDescent="0.3">
      <c r="A31" s="16"/>
      <c r="B31" s="36" t="s">
        <v>311</v>
      </c>
      <c r="C31" s="36"/>
      <c r="D31" s="36"/>
      <c r="E31" s="36"/>
      <c r="F31" s="36"/>
      <c r="G31" s="36"/>
      <c r="H31" s="36"/>
      <c r="I31" s="36"/>
      <c r="J31" s="37"/>
      <c r="L31" s="185" t="s">
        <v>336</v>
      </c>
      <c r="M31" s="185"/>
      <c r="N31" s="185"/>
      <c r="O31" s="185"/>
      <c r="P31" s="185"/>
      <c r="Q31" s="185"/>
      <c r="R31" s="185"/>
      <c r="S31" s="185"/>
    </row>
    <row r="32" spans="1:19" x14ac:dyDescent="0.3">
      <c r="A32" s="16"/>
      <c r="B32" s="36"/>
      <c r="C32" s="36"/>
      <c r="D32" s="36"/>
      <c r="E32" s="36"/>
      <c r="F32" s="36"/>
      <c r="G32" s="36"/>
      <c r="H32" s="36"/>
      <c r="I32" s="36"/>
      <c r="J32" s="37"/>
      <c r="L32" s="185" t="s">
        <v>337</v>
      </c>
      <c r="M32" s="185"/>
      <c r="N32" s="185"/>
      <c r="O32" s="185"/>
      <c r="P32" s="185"/>
      <c r="Q32" s="185"/>
      <c r="R32" s="185"/>
      <c r="S32" s="185"/>
    </row>
    <row r="33" spans="1:10" x14ac:dyDescent="0.3">
      <c r="A33" s="63" t="s">
        <v>10</v>
      </c>
      <c r="B33" s="36" t="s">
        <v>313</v>
      </c>
      <c r="C33" s="36"/>
      <c r="D33" s="36"/>
      <c r="E33" s="36"/>
      <c r="F33" s="36"/>
      <c r="G33" s="36"/>
      <c r="H33" s="36"/>
      <c r="I33" s="36"/>
      <c r="J33" s="37"/>
    </row>
    <row r="34" spans="1:10" x14ac:dyDescent="0.3">
      <c r="A34" s="16"/>
      <c r="B34" s="36" t="s">
        <v>312</v>
      </c>
      <c r="C34" s="36"/>
      <c r="D34" s="36"/>
      <c r="E34" s="36"/>
      <c r="F34" s="36"/>
      <c r="G34" s="36"/>
      <c r="H34" s="36"/>
      <c r="I34" s="36"/>
      <c r="J34" s="37"/>
    </row>
    <row r="35" spans="1:10" x14ac:dyDescent="0.3">
      <c r="A35" s="16"/>
      <c r="B35" s="36"/>
      <c r="C35" s="36"/>
      <c r="D35" s="36"/>
      <c r="E35" s="36"/>
      <c r="F35" s="36"/>
      <c r="G35" s="36"/>
      <c r="H35" s="36"/>
      <c r="I35" s="36"/>
      <c r="J35" s="37"/>
    </row>
    <row r="36" spans="1:10" x14ac:dyDescent="0.3">
      <c r="A36" s="16"/>
      <c r="B36" s="36" t="s">
        <v>315</v>
      </c>
      <c r="C36" s="36"/>
      <c r="D36" s="36"/>
      <c r="E36" s="36"/>
      <c r="F36" s="36"/>
      <c r="G36" s="36"/>
      <c r="H36" s="36"/>
      <c r="I36" s="36"/>
      <c r="J36" s="37"/>
    </row>
    <row r="37" spans="1:10" ht="15" thickBot="1" x14ac:dyDescent="0.35">
      <c r="A37" s="17"/>
      <c r="B37" s="41" t="s">
        <v>314</v>
      </c>
      <c r="C37" s="41"/>
      <c r="D37" s="41"/>
      <c r="E37" s="41"/>
      <c r="F37" s="41"/>
      <c r="G37" s="41"/>
      <c r="H37" s="41"/>
      <c r="I37" s="41"/>
      <c r="J37" s="42"/>
    </row>
  </sheetData>
  <mergeCells count="5">
    <mergeCell ref="B22:B23"/>
    <mergeCell ref="D22:D23"/>
    <mergeCell ref="G1:J1"/>
    <mergeCell ref="B12:B13"/>
    <mergeCell ref="D12:D13"/>
  </mergeCells>
  <hyperlinks>
    <hyperlink ref="G1" location="TOC!A1" display="Return to TOC" xr:uid="{6EF7CF28-BFE2-4B3E-A98F-86BD5F7B95EC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B8BC4-D6E6-406E-8F3E-64D62AC88578}">
  <dimension ref="A1:W31"/>
  <sheetViews>
    <sheetView workbookViewId="0"/>
  </sheetViews>
  <sheetFormatPr defaultRowHeight="14.4" x14ac:dyDescent="0.3"/>
  <cols>
    <col min="1" max="1" width="14" bestFit="1" customWidth="1"/>
    <col min="3" max="3" width="9.109375" customWidth="1"/>
    <col min="7" max="7" width="4.6640625" customWidth="1"/>
    <col min="9" max="10" width="9.6640625" bestFit="1" customWidth="1"/>
    <col min="11" max="11" width="9.109375" customWidth="1"/>
    <col min="12" max="12" width="3.6640625" customWidth="1"/>
    <col min="22" max="23" width="9.6640625" bestFit="1" customWidth="1"/>
  </cols>
  <sheetData>
    <row r="1" spans="1:23" x14ac:dyDescent="0.3">
      <c r="A1" s="6" t="s">
        <v>4</v>
      </c>
      <c r="B1" s="7" t="s">
        <v>12</v>
      </c>
      <c r="C1" s="7"/>
      <c r="D1" s="8"/>
      <c r="E1" s="8"/>
      <c r="F1" s="8"/>
      <c r="G1" s="107"/>
      <c r="H1" s="490" t="s">
        <v>5</v>
      </c>
      <c r="I1" s="490"/>
      <c r="J1" s="490"/>
      <c r="K1" s="491"/>
      <c r="M1" s="10" t="s">
        <v>6</v>
      </c>
      <c r="P1" s="21"/>
      <c r="Q1" s="89"/>
      <c r="R1" s="75"/>
      <c r="S1" s="200" t="s">
        <v>163</v>
      </c>
      <c r="T1" s="191"/>
      <c r="U1" s="200" t="s">
        <v>342</v>
      </c>
      <c r="V1" s="200" t="s">
        <v>51</v>
      </c>
      <c r="W1" s="249" t="s">
        <v>342</v>
      </c>
    </row>
    <row r="2" spans="1:23" x14ac:dyDescent="0.3">
      <c r="A2" s="11" t="s">
        <v>7</v>
      </c>
      <c r="B2" s="33" t="s">
        <v>338</v>
      </c>
      <c r="C2" s="33"/>
      <c r="D2" s="33"/>
      <c r="E2" s="33"/>
      <c r="F2" s="33"/>
      <c r="G2" s="36"/>
      <c r="H2" s="33"/>
      <c r="I2" s="33"/>
      <c r="J2" s="33"/>
      <c r="K2" s="12"/>
      <c r="L2" t="s">
        <v>28</v>
      </c>
      <c r="M2" s="253" t="s">
        <v>77</v>
      </c>
      <c r="N2" s="252" t="s">
        <v>96</v>
      </c>
      <c r="O2" s="185"/>
      <c r="P2" s="195" t="s">
        <v>17</v>
      </c>
      <c r="Q2" s="202" t="s">
        <v>279</v>
      </c>
      <c r="R2" s="196" t="s">
        <v>94</v>
      </c>
      <c r="S2" s="202" t="s">
        <v>52</v>
      </c>
      <c r="T2" s="196" t="s">
        <v>80</v>
      </c>
      <c r="U2" s="202" t="s">
        <v>52</v>
      </c>
      <c r="V2" s="202" t="s">
        <v>343</v>
      </c>
      <c r="W2" s="251" t="s">
        <v>343</v>
      </c>
    </row>
    <row r="3" spans="1:23" x14ac:dyDescent="0.3">
      <c r="A3" s="11" t="s">
        <v>8</v>
      </c>
      <c r="B3" s="33" t="s">
        <v>15</v>
      </c>
      <c r="C3" s="33"/>
      <c r="D3" s="33"/>
      <c r="E3" s="33"/>
      <c r="F3" s="33"/>
      <c r="G3" s="36"/>
      <c r="H3" s="33"/>
      <c r="I3" s="33"/>
      <c r="J3" s="33"/>
      <c r="K3" s="12"/>
      <c r="L3" s="185"/>
      <c r="M3" s="201">
        <v>1</v>
      </c>
      <c r="N3" s="250">
        <f>_xlfn.RANK.AVG(E12,$E$12:$E$21,1)</f>
        <v>8</v>
      </c>
      <c r="O3" s="185"/>
      <c r="P3" s="190">
        <v>1</v>
      </c>
      <c r="Q3" s="200">
        <f>INDEX($M$3:$M$12,MATCH(1,$N$3:$N$12,0))</f>
        <v>2</v>
      </c>
      <c r="R3" s="191">
        <f>INDEX($M$3:$M$12,MATCH(2,$N$3:$N$12,0))</f>
        <v>8</v>
      </c>
      <c r="S3" s="260">
        <f>SUMIFS($C$10:$C$19,$B$10:$B$19,Q3)+SUMIFS($C$10:$C$19,$B$10:$B$19,R3)</f>
        <v>2200</v>
      </c>
      <c r="T3" s="254">
        <f>SUMIFS($D$10:$D$19,$B$10:$B$19,Q3)+SUMIFS($D$10:$D$19,$B$10:$B$19,R3)</f>
        <v>1290</v>
      </c>
      <c r="U3" s="260">
        <f>SUMIFS($F$10:$F$19,$B$10:$B$19,Q3)+SUMIFS($F$10:$F$19,$B$10:$B$19,R3)</f>
        <v>1548</v>
      </c>
      <c r="V3" s="263">
        <f>T3/S3</f>
        <v>0.58636363636363631</v>
      </c>
      <c r="W3" s="255">
        <f>T3/U3</f>
        <v>0.83333333333333337</v>
      </c>
    </row>
    <row r="4" spans="1:23" x14ac:dyDescent="0.3">
      <c r="A4" s="13"/>
      <c r="B4" s="34"/>
      <c r="C4" s="34"/>
      <c r="D4" s="34"/>
      <c r="E4" s="34"/>
      <c r="F4" s="34"/>
      <c r="G4" s="36"/>
      <c r="H4" s="34"/>
      <c r="I4" s="34"/>
      <c r="J4" s="34"/>
      <c r="K4" s="14"/>
      <c r="L4" s="185"/>
      <c r="M4" s="201">
        <v>2</v>
      </c>
      <c r="N4" s="250">
        <f t="shared" ref="N4:N12" si="0">_xlfn.RANK.AVG(E13,$E$12:$E$21,1)</f>
        <v>1</v>
      </c>
      <c r="O4" s="185"/>
      <c r="P4" s="193">
        <v>2</v>
      </c>
      <c r="Q4" s="201">
        <f>INDEX($M$3:$M$12,MATCH(3,$N$3:$N$12,0))</f>
        <v>10</v>
      </c>
      <c r="R4" s="9">
        <f>INDEX($M$3:$M$12,MATCH(4,$N$3:$N$12,0))</f>
        <v>4</v>
      </c>
      <c r="S4" s="261">
        <f t="shared" ref="S4:S7" si="1">SUMIFS($C$10:$C$19,$B$10:$B$19,Q4)+SUMIFS($C$10:$C$19,$B$10:$B$19,R4)</f>
        <v>975</v>
      </c>
      <c r="T4" s="256">
        <f t="shared" ref="T4:T7" si="2">SUMIFS($D$10:$D$19,$B$10:$B$19,Q4)+SUMIFS($D$10:$D$19,$B$10:$B$19,R4)</f>
        <v>650</v>
      </c>
      <c r="U4" s="261">
        <f>SUMIFS($F$10:$F$19,$B$10:$B$19,Q4)+SUMIFS($F$10:$F$19,$B$10:$B$19,R4)</f>
        <v>761</v>
      </c>
      <c r="V4" s="264">
        <f>T4/S4</f>
        <v>0.66666666666666663</v>
      </c>
      <c r="W4" s="257">
        <f t="shared" ref="W4:W7" si="3">T4/U4</f>
        <v>0.8541392904073587</v>
      </c>
    </row>
    <row r="5" spans="1:23" x14ac:dyDescent="0.3">
      <c r="A5" s="15" t="s">
        <v>9</v>
      </c>
      <c r="B5" s="36" t="s">
        <v>348</v>
      </c>
      <c r="C5" s="36"/>
      <c r="D5" s="36"/>
      <c r="E5" s="36"/>
      <c r="F5" s="36"/>
      <c r="G5" s="36"/>
      <c r="H5" s="36"/>
      <c r="I5" s="36"/>
      <c r="J5" s="36"/>
      <c r="K5" s="37"/>
      <c r="L5" s="185"/>
      <c r="M5" s="201">
        <v>3</v>
      </c>
      <c r="N5" s="250">
        <f t="shared" si="0"/>
        <v>10</v>
      </c>
      <c r="O5" s="185"/>
      <c r="P5" s="193">
        <v>3</v>
      </c>
      <c r="Q5" s="201">
        <f>INDEX($M$3:$M$12,MATCH(5,$N$3:$N$12,0))</f>
        <v>5</v>
      </c>
      <c r="R5" s="9">
        <f>INDEX($M$3:$M$12,MATCH(6,$N$3:$N$12,0))</f>
        <v>9</v>
      </c>
      <c r="S5" s="261">
        <f t="shared" si="1"/>
        <v>1075</v>
      </c>
      <c r="T5" s="256">
        <f t="shared" si="2"/>
        <v>850</v>
      </c>
      <c r="U5" s="261">
        <f>SUMIFS($F$10:$F$19,$B$10:$B$19,Q5)+SUMIFS($F$10:$F$19,$B$10:$B$19,R5)</f>
        <v>946</v>
      </c>
      <c r="V5" s="264">
        <f>T5/S5</f>
        <v>0.79069767441860461</v>
      </c>
      <c r="W5" s="257">
        <f t="shared" si="3"/>
        <v>0.89852008456659616</v>
      </c>
    </row>
    <row r="6" spans="1:23" x14ac:dyDescent="0.3">
      <c r="A6" s="16"/>
      <c r="B6" s="36" t="s">
        <v>349</v>
      </c>
      <c r="C6" s="36"/>
      <c r="D6" s="36"/>
      <c r="E6" s="36"/>
      <c r="F6" s="36"/>
      <c r="G6" s="36"/>
      <c r="H6" s="36"/>
      <c r="I6" s="36"/>
      <c r="J6" s="36"/>
      <c r="K6" s="37"/>
      <c r="M6" s="201">
        <v>4</v>
      </c>
      <c r="N6" s="250">
        <f t="shared" si="0"/>
        <v>4</v>
      </c>
      <c r="O6" s="185"/>
      <c r="P6" s="193">
        <v>4</v>
      </c>
      <c r="Q6" s="201">
        <f>INDEX($M$3:$M$12,MATCH(7,$N$3:$N$12,0))</f>
        <v>6</v>
      </c>
      <c r="R6" s="9">
        <f>INDEX($M$3:$M$12,MATCH(8,$N$3:$N$12,0))</f>
        <v>1</v>
      </c>
      <c r="S6" s="261">
        <f t="shared" si="1"/>
        <v>1910</v>
      </c>
      <c r="T6" s="256">
        <f t="shared" si="2"/>
        <v>1750</v>
      </c>
      <c r="U6" s="261">
        <f>SUMIFS($F$10:$F$19,$B$10:$B$19,Q6)+SUMIFS($F$10:$F$19,$B$10:$B$19,R6)</f>
        <v>1842</v>
      </c>
      <c r="V6" s="264">
        <f>T6/S6</f>
        <v>0.91623036649214662</v>
      </c>
      <c r="W6" s="257">
        <f t="shared" si="3"/>
        <v>0.95005428881650378</v>
      </c>
    </row>
    <row r="7" spans="1:23" x14ac:dyDescent="0.3">
      <c r="A7" s="16"/>
      <c r="B7" s="36" t="s">
        <v>350</v>
      </c>
      <c r="C7" s="36"/>
      <c r="D7" s="36"/>
      <c r="E7" s="36"/>
      <c r="F7" s="36"/>
      <c r="G7" s="36"/>
      <c r="H7" s="36"/>
      <c r="I7" s="36"/>
      <c r="J7" s="36"/>
      <c r="K7" s="37"/>
      <c r="M7" s="201">
        <v>5</v>
      </c>
      <c r="N7" s="250">
        <f t="shared" si="0"/>
        <v>5</v>
      </c>
      <c r="O7" s="185"/>
      <c r="P7" s="195">
        <v>5</v>
      </c>
      <c r="Q7" s="202">
        <f>INDEX($M$3:$M$12,MATCH(9,$N$3:$N$12,0))</f>
        <v>7</v>
      </c>
      <c r="R7" s="196">
        <f>INDEX($M$3:$M$12,MATCH(10,$N$3:$N$12,0))</f>
        <v>3</v>
      </c>
      <c r="S7" s="262">
        <f t="shared" si="1"/>
        <v>2175</v>
      </c>
      <c r="T7" s="258">
        <f t="shared" si="2"/>
        <v>2375</v>
      </c>
      <c r="U7" s="262">
        <f>SUMIFS($F$10:$F$19,$B$10:$B$19,Q7)+SUMIFS($F$10:$F$19,$B$10:$B$19,R7)</f>
        <v>2373</v>
      </c>
      <c r="V7" s="265">
        <f>T7/S7</f>
        <v>1.0919540229885059</v>
      </c>
      <c r="W7" s="259">
        <f t="shared" si="3"/>
        <v>1.0008428150021071</v>
      </c>
    </row>
    <row r="8" spans="1:23" x14ac:dyDescent="0.3">
      <c r="A8" s="16"/>
      <c r="B8" s="36"/>
      <c r="C8" s="36"/>
      <c r="D8" s="36"/>
      <c r="E8" s="36"/>
      <c r="F8" s="36"/>
      <c r="G8" s="36"/>
      <c r="H8" s="36"/>
      <c r="I8" s="36"/>
      <c r="J8" s="36"/>
      <c r="K8" s="37"/>
      <c r="M8" s="201">
        <v>6</v>
      </c>
      <c r="N8" s="250">
        <f t="shared" si="0"/>
        <v>7</v>
      </c>
      <c r="O8" s="185"/>
      <c r="P8" s="185"/>
      <c r="Q8" s="185"/>
      <c r="R8" s="185"/>
      <c r="S8" s="185"/>
      <c r="T8" s="185"/>
      <c r="U8" s="185"/>
      <c r="V8" s="185"/>
      <c r="W8" s="185"/>
    </row>
    <row r="9" spans="1:23" x14ac:dyDescent="0.3">
      <c r="A9" s="16"/>
      <c r="B9" s="246" t="s">
        <v>339</v>
      </c>
      <c r="C9" s="36"/>
      <c r="D9" s="36"/>
      <c r="E9" s="36"/>
      <c r="F9" s="36"/>
      <c r="G9" s="36"/>
      <c r="H9" s="246" t="s">
        <v>340</v>
      </c>
      <c r="I9" s="36"/>
      <c r="J9" s="36"/>
      <c r="K9" s="37"/>
      <c r="M9" s="201">
        <v>7</v>
      </c>
      <c r="N9" s="250">
        <f t="shared" si="0"/>
        <v>9</v>
      </c>
      <c r="O9" s="185"/>
      <c r="P9" s="185"/>
      <c r="Q9" s="185"/>
      <c r="R9" s="185"/>
      <c r="S9" s="185"/>
      <c r="T9" s="185" t="s">
        <v>356</v>
      </c>
      <c r="U9" s="185"/>
      <c r="V9" s="247">
        <f>_xlfn.VAR.S(V3:V7)</f>
        <v>4.0428119443198574E-2</v>
      </c>
      <c r="W9" s="247">
        <f>_xlfn.VAR.S(W3:W7)</f>
        <v>4.7380931993033504E-3</v>
      </c>
    </row>
    <row r="10" spans="1:23" x14ac:dyDescent="0.3">
      <c r="A10" s="16"/>
      <c r="B10" s="497" t="s">
        <v>341</v>
      </c>
      <c r="C10" s="182" t="s">
        <v>51</v>
      </c>
      <c r="D10" s="497" t="s">
        <v>80</v>
      </c>
      <c r="E10" s="497" t="s">
        <v>32</v>
      </c>
      <c r="F10" s="182" t="s">
        <v>342</v>
      </c>
      <c r="G10" s="36"/>
      <c r="H10" s="497" t="s">
        <v>17</v>
      </c>
      <c r="I10" s="182" t="s">
        <v>51</v>
      </c>
      <c r="J10" s="182" t="s">
        <v>342</v>
      </c>
      <c r="K10" s="37"/>
      <c r="M10" s="201">
        <v>8</v>
      </c>
      <c r="N10" s="250">
        <f t="shared" si="0"/>
        <v>2</v>
      </c>
      <c r="O10" s="185"/>
      <c r="P10" s="185"/>
      <c r="Q10" s="185"/>
      <c r="R10" s="185"/>
      <c r="S10" s="185" t="s">
        <v>357</v>
      </c>
      <c r="T10" s="185" t="s">
        <v>324</v>
      </c>
      <c r="U10" s="185"/>
      <c r="V10" s="185"/>
      <c r="W10" s="248">
        <f>W9/V9</f>
        <v>0.11719796182853279</v>
      </c>
    </row>
    <row r="11" spans="1:23" x14ac:dyDescent="0.3">
      <c r="A11" s="16"/>
      <c r="B11" s="498"/>
      <c r="C11" s="183" t="s">
        <v>52</v>
      </c>
      <c r="D11" s="498"/>
      <c r="E11" s="498"/>
      <c r="F11" s="183" t="s">
        <v>52</v>
      </c>
      <c r="G11" s="36"/>
      <c r="H11" s="498"/>
      <c r="I11" s="183" t="s">
        <v>343</v>
      </c>
      <c r="J11" s="183" t="s">
        <v>343</v>
      </c>
      <c r="K11" s="37"/>
      <c r="M11" s="201">
        <v>9</v>
      </c>
      <c r="N11" s="250">
        <f t="shared" si="0"/>
        <v>6</v>
      </c>
      <c r="O11" s="185"/>
      <c r="P11" s="185"/>
      <c r="Q11" s="185"/>
      <c r="R11" s="185"/>
      <c r="S11" s="185"/>
      <c r="T11" s="185"/>
      <c r="U11" s="185"/>
      <c r="V11" s="185"/>
      <c r="W11" s="185"/>
    </row>
    <row r="12" spans="1:23" x14ac:dyDescent="0.3">
      <c r="A12" s="16"/>
      <c r="B12" s="168">
        <v>1</v>
      </c>
      <c r="C12" s="239">
        <v>810</v>
      </c>
      <c r="D12" s="239">
        <v>750</v>
      </c>
      <c r="E12" s="240">
        <v>0.97</v>
      </c>
      <c r="F12" s="239">
        <v>786</v>
      </c>
      <c r="G12" s="36"/>
      <c r="H12" s="168">
        <v>1</v>
      </c>
      <c r="I12" s="241">
        <v>0.58599999999999997</v>
      </c>
      <c r="J12" s="241">
        <v>0.94499999999999995</v>
      </c>
      <c r="K12" s="37"/>
      <c r="M12" s="202">
        <v>10</v>
      </c>
      <c r="N12" s="251">
        <f t="shared" si="0"/>
        <v>3</v>
      </c>
      <c r="O12" s="185"/>
      <c r="P12" s="185"/>
      <c r="Q12" s="185"/>
      <c r="R12" s="185"/>
      <c r="S12" s="185"/>
      <c r="T12" s="185"/>
      <c r="U12" s="185"/>
      <c r="V12" s="185"/>
      <c r="W12" s="185"/>
    </row>
    <row r="13" spans="1:23" x14ac:dyDescent="0.3">
      <c r="A13" s="16"/>
      <c r="B13" s="168">
        <v>2</v>
      </c>
      <c r="C13" s="239">
        <v>900</v>
      </c>
      <c r="D13" s="239">
        <v>490</v>
      </c>
      <c r="E13" s="240">
        <v>0.68</v>
      </c>
      <c r="F13" s="239">
        <v>612</v>
      </c>
      <c r="G13" s="36"/>
      <c r="H13" s="168">
        <v>2</v>
      </c>
      <c r="I13" s="241">
        <v>0.65700000000000003</v>
      </c>
      <c r="J13" s="241">
        <v>0.9</v>
      </c>
      <c r="K13" s="37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</row>
    <row r="14" spans="1:23" x14ac:dyDescent="0.3">
      <c r="A14" s="16"/>
      <c r="B14" s="168">
        <v>3</v>
      </c>
      <c r="C14" s="239">
        <v>950</v>
      </c>
      <c r="D14" s="239">
        <v>1075</v>
      </c>
      <c r="E14" s="240">
        <v>1.1299999999999999</v>
      </c>
      <c r="F14" s="239">
        <v>1074</v>
      </c>
      <c r="G14" s="36"/>
      <c r="H14" s="168">
        <v>3</v>
      </c>
      <c r="I14" s="241">
        <v>0.80200000000000005</v>
      </c>
      <c r="J14" s="241">
        <v>0.85299999999999998</v>
      </c>
      <c r="K14" s="37"/>
      <c r="M14" s="185" t="s">
        <v>358</v>
      </c>
      <c r="N14" s="185"/>
      <c r="O14" s="185"/>
      <c r="P14" s="185"/>
      <c r="Q14" s="185"/>
      <c r="R14" s="185"/>
      <c r="S14" s="185"/>
      <c r="T14" s="185"/>
      <c r="U14" s="185"/>
      <c r="V14" s="185"/>
      <c r="W14" s="185"/>
    </row>
    <row r="15" spans="1:23" x14ac:dyDescent="0.3">
      <c r="A15" s="16"/>
      <c r="B15" s="168">
        <v>4</v>
      </c>
      <c r="C15" s="239">
        <v>975</v>
      </c>
      <c r="D15" s="239">
        <v>650</v>
      </c>
      <c r="E15" s="240">
        <v>0.78</v>
      </c>
      <c r="F15" s="239">
        <v>761</v>
      </c>
      <c r="G15" s="36"/>
      <c r="H15" s="168">
        <v>4</v>
      </c>
      <c r="I15" s="241">
        <v>0.91600000000000004</v>
      </c>
      <c r="J15" s="241">
        <v>0.79700000000000004</v>
      </c>
      <c r="K15" s="37"/>
      <c r="M15" s="185" t="s">
        <v>359</v>
      </c>
      <c r="N15" s="185"/>
      <c r="O15" s="185">
        <f>J15/I15</f>
        <v>0.87008733624454149</v>
      </c>
      <c r="P15" s="185"/>
      <c r="Q15" s="185"/>
      <c r="R15" s="185"/>
      <c r="S15" s="185"/>
      <c r="T15" s="185"/>
      <c r="U15" s="185"/>
      <c r="V15" s="185"/>
      <c r="W15" s="185"/>
    </row>
    <row r="16" spans="1:23" x14ac:dyDescent="0.3">
      <c r="A16" s="16"/>
      <c r="B16" s="168">
        <v>5</v>
      </c>
      <c r="C16" s="239">
        <v>1075</v>
      </c>
      <c r="D16" s="239">
        <v>850</v>
      </c>
      <c r="E16" s="240">
        <v>0.88</v>
      </c>
      <c r="F16" s="239">
        <v>946</v>
      </c>
      <c r="G16" s="36"/>
      <c r="H16" s="168">
        <v>5</v>
      </c>
      <c r="I16" s="241">
        <v>1.0920000000000001</v>
      </c>
      <c r="J16" s="241">
        <v>0.753</v>
      </c>
      <c r="K16" s="37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</row>
    <row r="17" spans="1:23" x14ac:dyDescent="0.3">
      <c r="A17" s="16"/>
      <c r="B17" s="168">
        <v>6</v>
      </c>
      <c r="C17" s="239">
        <v>1100</v>
      </c>
      <c r="D17" s="239">
        <v>1000</v>
      </c>
      <c r="E17" s="240">
        <v>0.96</v>
      </c>
      <c r="F17" s="239">
        <v>1056</v>
      </c>
      <c r="G17" s="36"/>
      <c r="H17" s="242" t="s">
        <v>344</v>
      </c>
      <c r="I17" s="496">
        <f>_xlfn.VAR.S(I12:I16)</f>
        <v>4.1101800000000188E-2</v>
      </c>
      <c r="J17" s="496">
        <f>_xlfn.VAR.S(J12:J16)</f>
        <v>5.9377999999999966E-3</v>
      </c>
      <c r="K17" s="37"/>
      <c r="M17" s="185" t="s">
        <v>360</v>
      </c>
      <c r="N17" s="185"/>
      <c r="O17" s="185"/>
      <c r="P17" s="185"/>
      <c r="Q17" s="185"/>
      <c r="R17" s="185"/>
      <c r="S17" s="185"/>
      <c r="T17" s="185"/>
      <c r="U17" s="185"/>
      <c r="V17" s="185"/>
      <c r="W17" s="185"/>
    </row>
    <row r="18" spans="1:23" x14ac:dyDescent="0.3">
      <c r="A18" s="16"/>
      <c r="B18" s="168">
        <v>7</v>
      </c>
      <c r="C18" s="239">
        <v>1225</v>
      </c>
      <c r="D18" s="239">
        <v>1300</v>
      </c>
      <c r="E18" s="240">
        <v>1.06</v>
      </c>
      <c r="F18" s="239">
        <v>1299</v>
      </c>
      <c r="G18" s="36"/>
      <c r="H18" s="183" t="s">
        <v>345</v>
      </c>
      <c r="I18" s="496"/>
      <c r="J18" s="496"/>
      <c r="K18" s="37"/>
      <c r="M18" s="266" t="s">
        <v>361</v>
      </c>
      <c r="N18" s="266"/>
      <c r="O18" s="266"/>
      <c r="P18" s="266"/>
      <c r="Q18" s="266"/>
      <c r="R18" s="266"/>
      <c r="S18" s="185"/>
      <c r="T18" s="185"/>
      <c r="U18" s="185"/>
      <c r="V18" s="185"/>
      <c r="W18" s="185"/>
    </row>
    <row r="19" spans="1:23" x14ac:dyDescent="0.3">
      <c r="A19" s="16"/>
      <c r="B19" s="168">
        <v>8</v>
      </c>
      <c r="C19" s="239">
        <v>1300</v>
      </c>
      <c r="D19" s="239">
        <v>800</v>
      </c>
      <c r="E19" s="240">
        <v>0.72</v>
      </c>
      <c r="F19" s="239">
        <v>936</v>
      </c>
      <c r="G19" s="36"/>
      <c r="H19" s="36"/>
      <c r="I19" s="36"/>
      <c r="J19" s="36"/>
      <c r="K19" s="37"/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</row>
    <row r="20" spans="1:23" x14ac:dyDescent="0.3">
      <c r="A20" s="16"/>
      <c r="B20" s="168">
        <v>9</v>
      </c>
      <c r="C20" s="239">
        <v>1450</v>
      </c>
      <c r="D20" s="239">
        <v>1175</v>
      </c>
      <c r="E20" s="240">
        <v>0.9</v>
      </c>
      <c r="F20" s="239">
        <v>1305</v>
      </c>
      <c r="G20" s="36"/>
      <c r="H20" s="36"/>
      <c r="I20" s="36"/>
      <c r="J20" s="36"/>
      <c r="K20" s="37"/>
      <c r="L20" t="s">
        <v>38</v>
      </c>
      <c r="M20" s="185" t="s">
        <v>362</v>
      </c>
      <c r="N20" s="185"/>
      <c r="O20" s="185"/>
      <c r="P20" s="185"/>
      <c r="Q20" s="185"/>
      <c r="R20" s="185"/>
      <c r="S20" s="185"/>
      <c r="T20" s="185"/>
      <c r="U20" s="185"/>
      <c r="V20" s="185"/>
      <c r="W20" s="185"/>
    </row>
    <row r="21" spans="1:23" x14ac:dyDescent="0.3">
      <c r="A21" s="16"/>
      <c r="B21" s="168">
        <v>10</v>
      </c>
      <c r="C21" s="239">
        <v>1500</v>
      </c>
      <c r="D21" s="239">
        <v>975</v>
      </c>
      <c r="E21" s="240">
        <v>0.76</v>
      </c>
      <c r="F21" s="239">
        <v>1140</v>
      </c>
      <c r="G21" s="36"/>
      <c r="H21" s="36"/>
      <c r="I21" s="36"/>
      <c r="J21" s="36"/>
      <c r="K21" s="37"/>
      <c r="M21" s="185" t="s">
        <v>363</v>
      </c>
      <c r="N21" s="185"/>
      <c r="O21" s="185"/>
      <c r="P21" s="185"/>
      <c r="Q21" s="185"/>
      <c r="R21" s="185"/>
      <c r="S21" s="185"/>
      <c r="T21" s="185"/>
      <c r="U21" s="185"/>
      <c r="V21" s="185"/>
      <c r="W21" s="185"/>
    </row>
    <row r="22" spans="1:23" x14ac:dyDescent="0.3">
      <c r="A22" s="16"/>
      <c r="B22" s="36"/>
      <c r="C22" s="36"/>
      <c r="D22" s="36"/>
      <c r="E22" s="36"/>
      <c r="F22" s="36"/>
      <c r="G22" s="36"/>
      <c r="H22" s="36"/>
      <c r="I22" s="36"/>
      <c r="J22" s="36"/>
      <c r="K22" s="37"/>
      <c r="M22" s="185" t="s">
        <v>364</v>
      </c>
      <c r="N22" s="185"/>
      <c r="O22" s="185"/>
      <c r="P22" s="185"/>
      <c r="Q22" s="185"/>
      <c r="R22" s="185"/>
      <c r="S22" s="185"/>
      <c r="T22" s="185"/>
      <c r="U22" s="185"/>
      <c r="V22" s="185"/>
      <c r="W22" s="185"/>
    </row>
    <row r="23" spans="1:23" x14ac:dyDescent="0.3">
      <c r="A23" s="16"/>
      <c r="B23" s="246" t="s">
        <v>346</v>
      </c>
      <c r="C23" s="36"/>
      <c r="D23" s="36"/>
      <c r="E23" s="36"/>
      <c r="F23" s="36"/>
      <c r="G23" s="36"/>
      <c r="H23" s="36"/>
      <c r="I23" s="36"/>
      <c r="J23" s="36"/>
      <c r="K23" s="37"/>
      <c r="M23" s="185"/>
      <c r="N23" s="185"/>
      <c r="O23" s="185"/>
      <c r="P23" s="185"/>
      <c r="Q23" s="185"/>
      <c r="R23" s="185"/>
      <c r="S23" s="185"/>
      <c r="T23" s="185"/>
      <c r="U23" s="185"/>
      <c r="V23" s="185"/>
      <c r="W23" s="185"/>
    </row>
    <row r="24" spans="1:23" x14ac:dyDescent="0.3">
      <c r="A24" s="16"/>
      <c r="B24" s="243" t="s">
        <v>347</v>
      </c>
      <c r="C24" s="244"/>
      <c r="D24" s="244"/>
      <c r="E24" s="245">
        <v>0</v>
      </c>
      <c r="F24" s="36"/>
      <c r="G24" s="36"/>
      <c r="H24" s="36"/>
      <c r="I24" s="36"/>
      <c r="J24" s="36"/>
      <c r="K24" s="37"/>
      <c r="M24" s="185" t="s">
        <v>365</v>
      </c>
      <c r="N24" s="185"/>
      <c r="O24" s="185"/>
      <c r="P24" s="185"/>
      <c r="Q24" s="185"/>
      <c r="R24" s="185"/>
      <c r="S24" s="185"/>
      <c r="T24" s="185"/>
      <c r="U24" s="185"/>
      <c r="V24" s="185"/>
      <c r="W24" s="185"/>
    </row>
    <row r="25" spans="1:23" x14ac:dyDescent="0.3">
      <c r="A25" s="16"/>
      <c r="B25" s="36"/>
      <c r="C25" s="36"/>
      <c r="D25" s="36"/>
      <c r="E25" s="36"/>
      <c r="F25" s="36"/>
      <c r="G25" s="36"/>
      <c r="H25" s="36"/>
      <c r="I25" s="36"/>
      <c r="J25" s="36"/>
      <c r="K25" s="37"/>
      <c r="M25" s="185" t="s">
        <v>366</v>
      </c>
      <c r="N25" s="185"/>
      <c r="O25" s="185"/>
      <c r="P25" s="185"/>
      <c r="Q25" s="185"/>
      <c r="R25" s="185"/>
      <c r="S25" s="185"/>
      <c r="T25" s="185"/>
      <c r="U25" s="185"/>
      <c r="V25" s="185"/>
      <c r="W25" s="185"/>
    </row>
    <row r="26" spans="1:23" x14ac:dyDescent="0.3">
      <c r="A26" s="63" t="s">
        <v>10</v>
      </c>
      <c r="B26" s="36" t="s">
        <v>352</v>
      </c>
      <c r="C26" s="36"/>
      <c r="D26" s="36"/>
      <c r="E26" s="36"/>
      <c r="F26" s="36"/>
      <c r="G26" s="36"/>
      <c r="H26" s="36"/>
      <c r="I26" s="36"/>
      <c r="J26" s="36"/>
      <c r="K26" s="37"/>
      <c r="M26" s="185" t="s">
        <v>367</v>
      </c>
      <c r="N26" s="185"/>
      <c r="O26" s="185"/>
      <c r="P26" s="185"/>
      <c r="Q26" s="185"/>
      <c r="R26" s="185"/>
      <c r="S26" s="185"/>
      <c r="T26" s="185"/>
      <c r="U26" s="185"/>
      <c r="V26" s="185"/>
      <c r="W26" s="185"/>
    </row>
    <row r="27" spans="1:23" x14ac:dyDescent="0.3">
      <c r="A27" s="16"/>
      <c r="B27" s="36" t="s">
        <v>351</v>
      </c>
      <c r="C27" s="36"/>
      <c r="D27" s="36"/>
      <c r="E27" s="36"/>
      <c r="F27" s="36"/>
      <c r="G27" s="36"/>
      <c r="H27" s="36"/>
      <c r="I27" s="36"/>
      <c r="J27" s="36"/>
      <c r="K27" s="37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</row>
    <row r="28" spans="1:23" x14ac:dyDescent="0.3">
      <c r="A28" s="16"/>
      <c r="B28" s="36"/>
      <c r="C28" s="36"/>
      <c r="D28" s="36"/>
      <c r="E28" s="36"/>
      <c r="F28" s="36"/>
      <c r="G28" s="36"/>
      <c r="H28" s="36"/>
      <c r="I28" s="36"/>
      <c r="J28" s="36"/>
      <c r="K28" s="37"/>
      <c r="M28" s="185" t="s">
        <v>368</v>
      </c>
      <c r="N28" s="185"/>
      <c r="O28" s="185"/>
      <c r="P28" s="185"/>
      <c r="Q28" s="185"/>
      <c r="R28" s="185"/>
      <c r="S28" s="185"/>
      <c r="T28" s="185"/>
      <c r="U28" s="185"/>
      <c r="V28" s="185"/>
      <c r="W28" s="185"/>
    </row>
    <row r="29" spans="1:23" x14ac:dyDescent="0.3">
      <c r="A29" s="16"/>
      <c r="B29" s="36" t="s">
        <v>353</v>
      </c>
      <c r="C29" s="36"/>
      <c r="D29" s="36"/>
      <c r="E29" s="36"/>
      <c r="F29" s="36"/>
      <c r="G29" s="36"/>
      <c r="H29" s="36"/>
      <c r="I29" s="36"/>
      <c r="J29" s="36"/>
      <c r="K29" s="37"/>
    </row>
    <row r="30" spans="1:23" x14ac:dyDescent="0.3">
      <c r="A30" s="16"/>
      <c r="B30" s="36" t="s">
        <v>355</v>
      </c>
      <c r="C30" s="36"/>
      <c r="D30" s="36"/>
      <c r="E30" s="36"/>
      <c r="F30" s="36"/>
      <c r="G30" s="36"/>
      <c r="H30" s="36"/>
      <c r="I30" s="36"/>
      <c r="J30" s="36"/>
      <c r="K30" s="37"/>
    </row>
    <row r="31" spans="1:23" ht="15" thickBot="1" x14ac:dyDescent="0.35">
      <c r="A31" s="17"/>
      <c r="B31" s="41" t="s">
        <v>354</v>
      </c>
      <c r="C31" s="41"/>
      <c r="D31" s="41"/>
      <c r="E31" s="41"/>
      <c r="F31" s="41"/>
      <c r="G31" s="41"/>
      <c r="H31" s="41"/>
      <c r="I31" s="41"/>
      <c r="J31" s="41"/>
      <c r="K31" s="42"/>
    </row>
  </sheetData>
  <mergeCells count="7">
    <mergeCell ref="I17:I18"/>
    <mergeCell ref="J17:J18"/>
    <mergeCell ref="H1:K1"/>
    <mergeCell ref="B10:B11"/>
    <mergeCell ref="D10:D11"/>
    <mergeCell ref="E10:E11"/>
    <mergeCell ref="H10:H11"/>
  </mergeCells>
  <hyperlinks>
    <hyperlink ref="H1" location="TOC!A1" display="Return to TOC" xr:uid="{C0FD6FDB-22B6-4B89-BA97-093EE0E8892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2F8EC-B094-4FD3-849C-CC654E844579}">
  <dimension ref="A1:M29"/>
  <sheetViews>
    <sheetView workbookViewId="0"/>
  </sheetViews>
  <sheetFormatPr defaultRowHeight="14.4" x14ac:dyDescent="0.3"/>
  <cols>
    <col min="1" max="1" width="14" bestFit="1" customWidth="1"/>
    <col min="2" max="2" width="10.88671875" bestFit="1" customWidth="1"/>
    <col min="4" max="4" width="9.109375" customWidth="1"/>
    <col min="5" max="5" width="9.88671875" bestFit="1" customWidth="1"/>
    <col min="6" max="6" width="10" bestFit="1" customWidth="1"/>
    <col min="9" max="9" width="3.6640625" customWidth="1"/>
    <col min="10" max="10" width="12.5546875" bestFit="1" customWidth="1"/>
    <col min="12" max="12" width="13" bestFit="1" customWidth="1"/>
    <col min="13" max="13" width="11.88671875" bestFit="1" customWidth="1"/>
  </cols>
  <sheetData>
    <row r="1" spans="1:13" x14ac:dyDescent="0.3">
      <c r="A1" s="6" t="s">
        <v>4</v>
      </c>
      <c r="B1" s="7" t="s">
        <v>433</v>
      </c>
      <c r="C1" s="7"/>
      <c r="D1" s="8"/>
      <c r="E1" s="8"/>
      <c r="F1" s="8"/>
      <c r="G1" s="490" t="s">
        <v>5</v>
      </c>
      <c r="H1" s="491"/>
      <c r="J1" s="10" t="s">
        <v>6</v>
      </c>
    </row>
    <row r="2" spans="1:13" x14ac:dyDescent="0.3">
      <c r="A2" s="11" t="s">
        <v>7</v>
      </c>
      <c r="B2" s="33" t="s">
        <v>434</v>
      </c>
      <c r="C2" s="33"/>
      <c r="D2" s="33"/>
      <c r="E2" s="33"/>
      <c r="F2" s="33"/>
      <c r="G2" s="33"/>
      <c r="H2" s="12"/>
      <c r="I2" t="s">
        <v>28</v>
      </c>
      <c r="J2" s="62">
        <f>E22-F22</f>
        <v>215000</v>
      </c>
      <c r="K2" t="s">
        <v>456</v>
      </c>
    </row>
    <row r="3" spans="1:13" x14ac:dyDescent="0.3">
      <c r="A3" s="11" t="s">
        <v>8</v>
      </c>
      <c r="B3" s="33" t="s">
        <v>475</v>
      </c>
      <c r="C3" s="33"/>
      <c r="D3" s="33"/>
      <c r="E3" s="33"/>
      <c r="F3" s="33"/>
      <c r="G3" s="33"/>
      <c r="H3" s="12"/>
      <c r="I3" s="185"/>
    </row>
    <row r="4" spans="1:13" x14ac:dyDescent="0.3">
      <c r="A4" s="13"/>
      <c r="B4" s="34"/>
      <c r="C4" s="34"/>
      <c r="D4" s="34"/>
      <c r="E4" s="34"/>
      <c r="F4" s="34"/>
      <c r="G4" s="34"/>
      <c r="H4" s="14"/>
      <c r="I4" s="185"/>
      <c r="J4" s="62">
        <f>F22/F23</f>
        <v>116000</v>
      </c>
      <c r="K4" t="s">
        <v>457</v>
      </c>
    </row>
    <row r="5" spans="1:13" x14ac:dyDescent="0.3">
      <c r="A5" s="15" t="s">
        <v>9</v>
      </c>
      <c r="B5" s="33" t="s">
        <v>435</v>
      </c>
      <c r="C5" s="36"/>
      <c r="D5" s="36"/>
      <c r="E5" s="36"/>
      <c r="F5" s="36"/>
      <c r="G5" s="36"/>
      <c r="H5" s="37"/>
      <c r="I5" s="185"/>
      <c r="K5" s="101" t="s">
        <v>458</v>
      </c>
    </row>
    <row r="6" spans="1:13" x14ac:dyDescent="0.3">
      <c r="A6" s="16"/>
      <c r="B6" s="33" t="s">
        <v>436</v>
      </c>
      <c r="C6" s="36"/>
      <c r="D6" s="36"/>
      <c r="E6" s="36"/>
      <c r="F6" s="36"/>
      <c r="G6" s="36"/>
      <c r="H6" s="37"/>
    </row>
    <row r="7" spans="1:13" x14ac:dyDescent="0.3">
      <c r="A7" s="16"/>
      <c r="B7" s="36"/>
      <c r="C7" s="36"/>
      <c r="D7" s="36"/>
      <c r="E7" s="36"/>
      <c r="F7" s="36"/>
      <c r="G7" s="36"/>
      <c r="H7" s="37"/>
      <c r="J7" t="s">
        <v>462</v>
      </c>
    </row>
    <row r="8" spans="1:13" x14ac:dyDescent="0.3">
      <c r="A8" s="16"/>
      <c r="B8" s="116">
        <v>50000</v>
      </c>
      <c r="C8" s="43" t="s">
        <v>437</v>
      </c>
      <c r="D8" s="117"/>
      <c r="E8" s="118"/>
      <c r="F8" s="36"/>
      <c r="G8" s="36"/>
      <c r="H8" s="37"/>
      <c r="J8" t="s">
        <v>459</v>
      </c>
    </row>
    <row r="9" spans="1:13" x14ac:dyDescent="0.3">
      <c r="A9" s="16"/>
      <c r="B9" s="71">
        <v>150000</v>
      </c>
      <c r="C9" s="267" t="s">
        <v>438</v>
      </c>
      <c r="D9" s="36"/>
      <c r="E9" s="119"/>
      <c r="F9" s="36"/>
      <c r="G9" s="36"/>
      <c r="H9" s="37"/>
      <c r="J9" t="s">
        <v>460</v>
      </c>
    </row>
    <row r="10" spans="1:13" x14ac:dyDescent="0.3">
      <c r="A10" s="16"/>
      <c r="B10" s="69">
        <v>1.0449999999999999</v>
      </c>
      <c r="C10" s="267" t="s">
        <v>439</v>
      </c>
      <c r="D10" s="36"/>
      <c r="E10" s="119"/>
      <c r="F10" s="36"/>
      <c r="G10" s="36"/>
      <c r="H10" s="37"/>
    </row>
    <row r="11" spans="1:13" x14ac:dyDescent="0.3">
      <c r="A11" s="16"/>
      <c r="B11" s="282">
        <v>1.1000000000000001</v>
      </c>
      <c r="C11" s="267" t="s">
        <v>440</v>
      </c>
      <c r="D11" s="36"/>
      <c r="E11" s="119"/>
      <c r="F11" s="36"/>
      <c r="G11" s="36"/>
      <c r="H11" s="37"/>
      <c r="J11" t="s">
        <v>461</v>
      </c>
      <c r="L11" s="270">
        <f>(B9+B11*J4+B11*J2)*B10</f>
        <v>537234.5</v>
      </c>
    </row>
    <row r="12" spans="1:13" x14ac:dyDescent="0.3">
      <c r="A12" s="16"/>
      <c r="B12" s="72">
        <v>1000000</v>
      </c>
      <c r="C12" s="268" t="s">
        <v>441</v>
      </c>
      <c r="D12" s="120"/>
      <c r="E12" s="121"/>
      <c r="F12" s="36"/>
      <c r="G12" s="36"/>
      <c r="H12" s="37"/>
    </row>
    <row r="13" spans="1:13" x14ac:dyDescent="0.3">
      <c r="A13" s="16"/>
      <c r="B13" s="36"/>
      <c r="C13" s="36"/>
      <c r="D13" s="36"/>
      <c r="E13" s="36"/>
      <c r="F13" s="36"/>
      <c r="G13" s="36"/>
      <c r="H13" s="37"/>
      <c r="J13" t="s">
        <v>463</v>
      </c>
    </row>
    <row r="14" spans="1:13" x14ac:dyDescent="0.3">
      <c r="A14" s="16"/>
      <c r="B14" s="36" t="s">
        <v>442</v>
      </c>
      <c r="C14" s="36"/>
      <c r="D14" s="36"/>
      <c r="E14" s="36"/>
      <c r="F14" s="36"/>
      <c r="G14" s="36"/>
      <c r="H14" s="37"/>
      <c r="J14" s="270">
        <f>L11-B12</f>
        <v>-462765.5</v>
      </c>
    </row>
    <row r="15" spans="1:13" x14ac:dyDescent="0.3">
      <c r="A15" s="16"/>
      <c r="B15" s="36" t="s">
        <v>443</v>
      </c>
      <c r="C15" s="36"/>
      <c r="D15" s="36"/>
      <c r="E15" s="36"/>
      <c r="F15" s="36"/>
      <c r="G15" s="36"/>
      <c r="H15" s="37"/>
      <c r="J15" s="290" t="s">
        <v>464</v>
      </c>
      <c r="K15" s="290"/>
      <c r="L15" s="290"/>
      <c r="M15" s="271">
        <f>B12-L11</f>
        <v>462765.5</v>
      </c>
    </row>
    <row r="16" spans="1:13" x14ac:dyDescent="0.3">
      <c r="A16" s="16"/>
      <c r="B16" s="36" t="s">
        <v>444</v>
      </c>
      <c r="C16" s="36"/>
      <c r="D16" s="36"/>
      <c r="E16" s="36"/>
      <c r="F16" s="36"/>
      <c r="G16" s="36"/>
      <c r="H16" s="37"/>
    </row>
    <row r="17" spans="1:13" x14ac:dyDescent="0.3">
      <c r="A17" s="16"/>
      <c r="B17" s="36" t="s">
        <v>451</v>
      </c>
      <c r="C17" s="36"/>
      <c r="D17" s="36"/>
      <c r="E17" s="36"/>
      <c r="F17" s="36"/>
      <c r="G17" s="36"/>
      <c r="H17" s="37"/>
      <c r="I17" t="s">
        <v>38</v>
      </c>
      <c r="J17" t="s">
        <v>465</v>
      </c>
    </row>
    <row r="18" spans="1:13" x14ac:dyDescent="0.3">
      <c r="A18" s="16"/>
      <c r="B18" s="36"/>
      <c r="C18" s="36"/>
      <c r="D18" s="36"/>
      <c r="E18" s="36"/>
      <c r="F18" s="36"/>
      <c r="G18" s="36"/>
      <c r="H18" s="37"/>
      <c r="J18" t="s">
        <v>466</v>
      </c>
    </row>
    <row r="19" spans="1:13" x14ac:dyDescent="0.3">
      <c r="A19" s="16"/>
      <c r="B19" s="36" t="s">
        <v>445</v>
      </c>
      <c r="C19" s="36"/>
      <c r="D19" s="36"/>
      <c r="E19" s="36"/>
      <c r="F19" s="36"/>
      <c r="G19" s="36"/>
      <c r="H19" s="37"/>
      <c r="J19" t="s">
        <v>467</v>
      </c>
    </row>
    <row r="20" spans="1:13" x14ac:dyDescent="0.3">
      <c r="A20" s="16"/>
      <c r="B20" s="39"/>
      <c r="C20" s="39"/>
      <c r="D20" s="39"/>
      <c r="E20" s="49"/>
      <c r="F20" s="68" t="s">
        <v>447</v>
      </c>
      <c r="G20" s="36"/>
      <c r="H20" s="37"/>
      <c r="J20" t="s">
        <v>468</v>
      </c>
    </row>
    <row r="21" spans="1:13" x14ac:dyDescent="0.3">
      <c r="A21" s="16"/>
      <c r="B21" s="39"/>
      <c r="C21" s="39"/>
      <c r="D21" s="39"/>
      <c r="E21" s="52" t="s">
        <v>446</v>
      </c>
      <c r="F21" s="72">
        <v>50000</v>
      </c>
      <c r="G21" s="36"/>
      <c r="H21" s="37"/>
    </row>
    <row r="22" spans="1:13" x14ac:dyDescent="0.3">
      <c r="A22" s="16"/>
      <c r="B22" s="283" t="s">
        <v>452</v>
      </c>
      <c r="C22" s="64"/>
      <c r="D22" s="64"/>
      <c r="E22" s="116">
        <v>650000</v>
      </c>
      <c r="F22" s="284">
        <v>435000</v>
      </c>
      <c r="G22" s="36"/>
      <c r="H22" s="37"/>
      <c r="J22" t="s">
        <v>469</v>
      </c>
      <c r="K22" s="62">
        <f>F22*(1-1/F23)</f>
        <v>319000</v>
      </c>
    </row>
    <row r="23" spans="1:13" x14ac:dyDescent="0.3">
      <c r="A23" s="16"/>
      <c r="B23" s="285" t="s">
        <v>448</v>
      </c>
      <c r="C23" s="39"/>
      <c r="D23" s="39"/>
      <c r="E23" s="69">
        <v>4.25</v>
      </c>
      <c r="F23" s="65">
        <v>3.75</v>
      </c>
      <c r="G23" s="36"/>
      <c r="H23" s="37"/>
    </row>
    <row r="24" spans="1:13" x14ac:dyDescent="0.3">
      <c r="A24" s="16"/>
      <c r="B24" s="286" t="s">
        <v>449</v>
      </c>
      <c r="C24" s="47"/>
      <c r="D24" s="47"/>
      <c r="E24" s="74">
        <v>8.8000000000000007</v>
      </c>
      <c r="F24" s="48">
        <v>6.55</v>
      </c>
      <c r="G24" s="36"/>
      <c r="H24" s="37"/>
      <c r="J24" t="s">
        <v>461</v>
      </c>
      <c r="L24" s="270">
        <f>(B9+B11*J4+B11*J2+B11*K22)*B10</f>
        <v>903924.99999999988</v>
      </c>
    </row>
    <row r="25" spans="1:13" x14ac:dyDescent="0.3">
      <c r="A25" s="16"/>
      <c r="B25" s="36"/>
      <c r="C25" s="36"/>
      <c r="D25" s="36"/>
      <c r="E25" s="36"/>
      <c r="F25" s="36"/>
      <c r="G25" s="36"/>
      <c r="H25" s="37"/>
    </row>
    <row r="26" spans="1:13" x14ac:dyDescent="0.3">
      <c r="A26" s="63" t="s">
        <v>10</v>
      </c>
      <c r="B26" s="165" t="s">
        <v>450</v>
      </c>
      <c r="C26" s="36"/>
      <c r="D26" s="36"/>
      <c r="E26" s="36"/>
      <c r="F26" s="36"/>
      <c r="G26" s="36"/>
      <c r="H26" s="37"/>
      <c r="J26" t="s">
        <v>463</v>
      </c>
    </row>
    <row r="27" spans="1:13" x14ac:dyDescent="0.3">
      <c r="A27" s="16"/>
      <c r="B27" s="165" t="s">
        <v>453</v>
      </c>
      <c r="C27" s="36"/>
      <c r="D27" s="36"/>
      <c r="E27" s="36"/>
      <c r="F27" s="36"/>
      <c r="G27" s="36"/>
      <c r="H27" s="37"/>
      <c r="J27" s="270">
        <f>L24-B12</f>
        <v>-96075.000000000116</v>
      </c>
    </row>
    <row r="28" spans="1:13" x14ac:dyDescent="0.3">
      <c r="A28" s="16"/>
      <c r="B28" s="287" t="s">
        <v>455</v>
      </c>
      <c r="C28" s="36"/>
      <c r="D28" s="36"/>
      <c r="E28" s="36"/>
      <c r="F28" s="36"/>
      <c r="G28" s="36"/>
      <c r="H28" s="37"/>
      <c r="J28" s="290" t="s">
        <v>464</v>
      </c>
      <c r="K28" s="290"/>
      <c r="L28" s="290"/>
      <c r="M28" s="271">
        <f>B12-L24</f>
        <v>96075.000000000116</v>
      </c>
    </row>
    <row r="29" spans="1:13" ht="15" thickBot="1" x14ac:dyDescent="0.35">
      <c r="A29" s="17"/>
      <c r="B29" s="288" t="s">
        <v>454</v>
      </c>
      <c r="C29" s="41"/>
      <c r="D29" s="41"/>
      <c r="E29" s="41"/>
      <c r="F29" s="41"/>
      <c r="G29" s="41"/>
      <c r="H29" s="42"/>
    </row>
  </sheetData>
  <mergeCells count="1">
    <mergeCell ref="G1:H1"/>
  </mergeCells>
  <hyperlinks>
    <hyperlink ref="G1" location="TOC!A1" display="Return to TOC" xr:uid="{1BB6F090-D65C-4DD8-9E9D-D2FD83721957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7CD16-21AE-49D4-A473-F4056409DA81}">
  <dimension ref="A1:S41"/>
  <sheetViews>
    <sheetView workbookViewId="0"/>
  </sheetViews>
  <sheetFormatPr defaultRowHeight="14.4" x14ac:dyDescent="0.3"/>
  <cols>
    <col min="1" max="1" width="14" bestFit="1" customWidth="1"/>
    <col min="2" max="4" width="12.88671875" customWidth="1"/>
    <col min="9" max="9" width="11.109375" customWidth="1"/>
    <col min="10" max="10" width="3.6640625" customWidth="1"/>
    <col min="13" max="13" width="13.5546875" bestFit="1" customWidth="1"/>
  </cols>
  <sheetData>
    <row r="1" spans="1:19" x14ac:dyDescent="0.3">
      <c r="A1" s="6" t="s">
        <v>4</v>
      </c>
      <c r="B1" s="7" t="s">
        <v>433</v>
      </c>
      <c r="C1" s="7"/>
      <c r="D1" s="8"/>
      <c r="E1" s="8"/>
      <c r="F1" s="8"/>
      <c r="G1" s="8"/>
      <c r="H1" s="490" t="s">
        <v>5</v>
      </c>
      <c r="I1" s="491"/>
      <c r="K1" s="10" t="s">
        <v>6</v>
      </c>
    </row>
    <row r="2" spans="1:19" x14ac:dyDescent="0.3">
      <c r="A2" s="11" t="s">
        <v>7</v>
      </c>
      <c r="B2" s="33" t="s">
        <v>479</v>
      </c>
      <c r="C2" s="33"/>
      <c r="D2" s="33"/>
      <c r="E2" s="33"/>
      <c r="F2" s="33"/>
      <c r="G2" s="33"/>
      <c r="H2" s="33"/>
      <c r="I2" s="12"/>
      <c r="J2" t="s">
        <v>28</v>
      </c>
      <c r="K2" s="185" t="s">
        <v>500</v>
      </c>
      <c r="L2" s="185"/>
      <c r="M2" s="295">
        <f>1/(1-E12)</f>
        <v>1.0309278350515465</v>
      </c>
      <c r="N2" s="185"/>
      <c r="O2" s="185"/>
      <c r="P2" s="185"/>
      <c r="Q2" s="185"/>
      <c r="R2" s="185"/>
      <c r="S2" s="185"/>
    </row>
    <row r="3" spans="1:19" x14ac:dyDescent="0.3">
      <c r="A3" s="11" t="s">
        <v>8</v>
      </c>
      <c r="B3" s="33" t="s">
        <v>523</v>
      </c>
      <c r="C3" s="33"/>
      <c r="D3" s="33"/>
      <c r="E3" s="33"/>
      <c r="F3" s="33"/>
      <c r="G3" s="33"/>
      <c r="H3" s="33"/>
      <c r="I3" s="12"/>
      <c r="J3" s="185"/>
      <c r="K3" s="185" t="s">
        <v>501</v>
      </c>
      <c r="L3" s="185"/>
      <c r="M3" s="185"/>
      <c r="N3" s="295">
        <f>1+E9</f>
        <v>1.08</v>
      </c>
      <c r="O3" s="185"/>
      <c r="P3" s="185"/>
      <c r="Q3" s="185"/>
      <c r="R3" s="185"/>
      <c r="S3" s="185"/>
    </row>
    <row r="4" spans="1:19" x14ac:dyDescent="0.3">
      <c r="A4" s="13"/>
      <c r="B4" s="34"/>
      <c r="C4" s="34"/>
      <c r="D4" s="34"/>
      <c r="E4" s="34"/>
      <c r="F4" s="34"/>
      <c r="G4" s="34"/>
      <c r="H4" s="34"/>
      <c r="I4" s="14"/>
      <c r="J4" s="185"/>
      <c r="K4" s="185"/>
      <c r="L4" s="185"/>
      <c r="M4" s="185"/>
      <c r="N4" s="185"/>
      <c r="O4" s="185"/>
      <c r="P4" s="185"/>
      <c r="Q4" s="185"/>
      <c r="R4" s="185"/>
      <c r="S4" s="185"/>
    </row>
    <row r="5" spans="1:19" x14ac:dyDescent="0.3">
      <c r="A5" s="15" t="s">
        <v>9</v>
      </c>
      <c r="B5" s="36" t="s">
        <v>480</v>
      </c>
      <c r="C5" s="36"/>
      <c r="D5" s="36"/>
      <c r="E5" s="36"/>
      <c r="F5" s="36"/>
      <c r="G5" s="36"/>
      <c r="H5" s="36"/>
      <c r="I5" s="37"/>
      <c r="K5" s="185" t="s">
        <v>502</v>
      </c>
      <c r="L5" s="185"/>
      <c r="M5" s="185"/>
      <c r="N5" s="185"/>
      <c r="O5" s="185"/>
      <c r="P5" s="185"/>
      <c r="Q5" s="185"/>
      <c r="R5" s="185"/>
      <c r="S5" s="185"/>
    </row>
    <row r="6" spans="1:19" x14ac:dyDescent="0.3">
      <c r="A6" s="16"/>
      <c r="B6" s="36"/>
      <c r="C6" s="36"/>
      <c r="D6" s="36"/>
      <c r="E6" s="36"/>
      <c r="F6" s="36"/>
      <c r="G6" s="36"/>
      <c r="H6" s="36"/>
      <c r="I6" s="37"/>
      <c r="K6" s="185"/>
      <c r="L6" s="185"/>
      <c r="M6" s="185"/>
      <c r="N6" s="185"/>
      <c r="O6" s="185"/>
      <c r="P6" s="185"/>
      <c r="Q6" s="185"/>
      <c r="R6" s="185"/>
      <c r="S6" s="185"/>
    </row>
    <row r="7" spans="1:19" x14ac:dyDescent="0.3">
      <c r="A7" s="16"/>
      <c r="B7" s="243" t="s">
        <v>481</v>
      </c>
      <c r="C7" s="289"/>
      <c r="D7" s="244"/>
      <c r="E7" s="239">
        <v>150000</v>
      </c>
      <c r="F7" s="294"/>
      <c r="G7" s="294"/>
      <c r="H7" s="36"/>
      <c r="I7" s="37"/>
      <c r="K7" s="185" t="s">
        <v>503</v>
      </c>
      <c r="L7" s="185"/>
      <c r="M7" s="185"/>
      <c r="N7" s="185"/>
      <c r="O7" s="185"/>
      <c r="P7" s="185"/>
      <c r="Q7" s="185"/>
      <c r="R7" s="185"/>
      <c r="S7" s="185"/>
    </row>
    <row r="8" spans="1:19" x14ac:dyDescent="0.3">
      <c r="A8" s="16"/>
      <c r="B8" s="243" t="s">
        <v>482</v>
      </c>
      <c r="C8" s="289"/>
      <c r="D8" s="244"/>
      <c r="E8" s="239">
        <v>600000</v>
      </c>
      <c r="F8" s="294"/>
      <c r="G8" s="294"/>
      <c r="H8" s="36"/>
      <c r="I8" s="37"/>
      <c r="K8" s="185" t="s">
        <v>504</v>
      </c>
      <c r="L8" s="185"/>
      <c r="M8" s="296">
        <f>MIN(E10,E8)</f>
        <v>400000</v>
      </c>
      <c r="N8" s="237" t="s">
        <v>505</v>
      </c>
      <c r="O8" s="185"/>
      <c r="P8" s="185"/>
      <c r="Q8" s="185"/>
      <c r="R8" s="185"/>
      <c r="S8" s="185"/>
    </row>
    <row r="9" spans="1:19" x14ac:dyDescent="0.3">
      <c r="A9" s="16"/>
      <c r="B9" s="243" t="s">
        <v>483</v>
      </c>
      <c r="C9" s="289"/>
      <c r="D9" s="244"/>
      <c r="E9" s="224">
        <v>0.08</v>
      </c>
      <c r="F9" s="124"/>
      <c r="G9" s="124"/>
      <c r="H9" s="36"/>
      <c r="I9" s="37"/>
      <c r="K9" s="185" t="s">
        <v>461</v>
      </c>
      <c r="L9" s="185"/>
      <c r="M9" s="297">
        <f>(E11+N3*M8)*M2</f>
        <v>831958.76288659801</v>
      </c>
      <c r="N9" s="185"/>
      <c r="O9" s="185"/>
      <c r="P9" s="185"/>
      <c r="Q9" s="185"/>
      <c r="R9" s="185"/>
      <c r="S9" s="185"/>
    </row>
    <row r="10" spans="1:19" x14ac:dyDescent="0.3">
      <c r="A10" s="16"/>
      <c r="B10" s="243" t="s">
        <v>484</v>
      </c>
      <c r="C10" s="289"/>
      <c r="D10" s="244"/>
      <c r="E10" s="239">
        <v>400000</v>
      </c>
      <c r="F10" s="294"/>
      <c r="G10" s="294"/>
      <c r="H10" s="36"/>
      <c r="I10" s="37"/>
      <c r="K10" s="266" t="str">
        <f>"The insurer pays the full initial retro premium of "&amp;TEXT(M9,"$0,000.00")</f>
        <v>The insurer pays the full initial retro premium of $831,958.76</v>
      </c>
      <c r="L10" s="266"/>
      <c r="M10" s="266"/>
      <c r="N10" s="266"/>
      <c r="O10" s="266"/>
      <c r="P10" s="266"/>
      <c r="Q10" s="185"/>
      <c r="R10" s="185"/>
      <c r="S10" s="185"/>
    </row>
    <row r="11" spans="1:19" x14ac:dyDescent="0.3">
      <c r="A11" s="16"/>
      <c r="B11" s="268" t="s">
        <v>438</v>
      </c>
      <c r="C11" s="120"/>
      <c r="D11" s="121"/>
      <c r="E11" s="239">
        <v>375000</v>
      </c>
      <c r="F11" s="294"/>
      <c r="G11" s="294"/>
      <c r="H11" s="36"/>
      <c r="I11" s="37"/>
      <c r="K11" s="185"/>
      <c r="L11" s="185"/>
      <c r="M11" s="185"/>
      <c r="N11" s="185"/>
      <c r="O11" s="185"/>
      <c r="P11" s="185"/>
      <c r="Q11" s="185"/>
      <c r="R11" s="185"/>
      <c r="S11" s="185"/>
    </row>
    <row r="12" spans="1:19" x14ac:dyDescent="0.3">
      <c r="A12" s="16"/>
      <c r="B12" s="243" t="s">
        <v>485</v>
      </c>
      <c r="C12" s="289"/>
      <c r="D12" s="244"/>
      <c r="E12" s="224">
        <v>0.03</v>
      </c>
      <c r="F12" s="124"/>
      <c r="G12" s="124"/>
      <c r="H12" s="36"/>
      <c r="I12" s="37"/>
      <c r="K12" s="185" t="s">
        <v>506</v>
      </c>
      <c r="L12" s="185"/>
      <c r="M12" s="185"/>
      <c r="N12" s="185"/>
      <c r="O12" s="185"/>
      <c r="P12" s="185"/>
      <c r="Q12" s="185"/>
      <c r="R12" s="185"/>
      <c r="S12" s="185"/>
    </row>
    <row r="13" spans="1:19" x14ac:dyDescent="0.3">
      <c r="A13" s="16"/>
      <c r="B13" s="36"/>
      <c r="C13" s="36"/>
      <c r="D13" s="36"/>
      <c r="E13" s="36"/>
      <c r="F13" s="36"/>
      <c r="G13" s="36"/>
      <c r="H13" s="36"/>
      <c r="I13" s="37"/>
      <c r="K13" s="185"/>
      <c r="L13" s="185"/>
      <c r="M13" s="185"/>
      <c r="N13" s="185"/>
      <c r="O13" s="185"/>
      <c r="P13" s="185"/>
      <c r="Q13" s="185"/>
      <c r="R13" s="185"/>
      <c r="S13" s="185"/>
    </row>
    <row r="14" spans="1:19" x14ac:dyDescent="0.3">
      <c r="A14" s="16"/>
      <c r="B14" s="36" t="s">
        <v>486</v>
      </c>
      <c r="C14" s="36"/>
      <c r="D14" s="36"/>
      <c r="E14" s="36"/>
      <c r="F14" s="36"/>
      <c r="G14" s="36"/>
      <c r="H14" s="36"/>
      <c r="I14" s="37"/>
      <c r="K14" s="185" t="s">
        <v>507</v>
      </c>
      <c r="L14" s="185"/>
      <c r="M14" s="185"/>
      <c r="N14" s="185"/>
      <c r="O14" s="185"/>
      <c r="P14" s="185"/>
      <c r="Q14" s="185"/>
      <c r="R14" s="185"/>
      <c r="S14" s="185"/>
    </row>
    <row r="15" spans="1:19" x14ac:dyDescent="0.3">
      <c r="A15" s="16"/>
      <c r="B15" s="36" t="s">
        <v>487</v>
      </c>
      <c r="C15" s="36"/>
      <c r="D15" s="36"/>
      <c r="E15" s="36"/>
      <c r="F15" s="36"/>
      <c r="G15" s="36"/>
      <c r="H15" s="36"/>
      <c r="I15" s="37"/>
      <c r="K15" s="185" t="s">
        <v>508</v>
      </c>
      <c r="L15" s="185"/>
      <c r="M15" s="296">
        <f>MIN(E22,E8)</f>
        <v>375000</v>
      </c>
      <c r="N15" s="237" t="s">
        <v>509</v>
      </c>
      <c r="O15" s="185"/>
      <c r="P15" s="185"/>
      <c r="Q15" s="185"/>
      <c r="R15" s="185"/>
      <c r="S15" s="185"/>
    </row>
    <row r="16" spans="1:19" x14ac:dyDescent="0.3">
      <c r="A16" s="16"/>
      <c r="B16" s="36"/>
      <c r="C16" s="36"/>
      <c r="D16" s="36"/>
      <c r="E16" s="36"/>
      <c r="F16" s="36"/>
      <c r="G16" s="36"/>
      <c r="H16" s="36"/>
      <c r="I16" s="37"/>
      <c r="K16" s="185" t="s">
        <v>461</v>
      </c>
      <c r="L16" s="185"/>
      <c r="M16" s="297">
        <f>(E11+N3*M15)*M2</f>
        <v>804123.71134020633</v>
      </c>
      <c r="N16" s="185"/>
      <c r="O16" s="185"/>
      <c r="P16" s="185"/>
      <c r="Q16" s="185"/>
      <c r="R16" s="185"/>
      <c r="S16" s="185"/>
    </row>
    <row r="17" spans="1:19" x14ac:dyDescent="0.3">
      <c r="A17" s="16"/>
      <c r="B17" s="36" t="s">
        <v>494</v>
      </c>
      <c r="C17" s="36"/>
      <c r="D17" s="36"/>
      <c r="E17" s="36"/>
      <c r="F17" s="36"/>
      <c r="G17" s="36"/>
      <c r="H17" s="36"/>
      <c r="I17" s="37"/>
      <c r="K17" s="266" t="str">
        <f>"The insurer pays "&amp;TEXT(M16-M9,"$0,000.00")</f>
        <v>The insurer pays -$27,835.05</v>
      </c>
      <c r="L17" s="266"/>
      <c r="M17" s="266"/>
      <c r="N17" s="185"/>
      <c r="O17" s="185"/>
      <c r="P17" s="185"/>
      <c r="Q17" s="185"/>
      <c r="R17" s="185"/>
      <c r="S17" s="185"/>
    </row>
    <row r="18" spans="1:19" x14ac:dyDescent="0.3">
      <c r="A18" s="16"/>
      <c r="B18" s="36" t="s">
        <v>495</v>
      </c>
      <c r="C18" s="36"/>
      <c r="D18" s="36"/>
      <c r="E18" s="36"/>
      <c r="F18" s="36"/>
      <c r="G18" s="36"/>
      <c r="H18" s="36"/>
      <c r="I18" s="37"/>
      <c r="K18" s="185" t="s">
        <v>510</v>
      </c>
      <c r="L18" s="185"/>
      <c r="M18" s="185"/>
      <c r="N18" s="185"/>
      <c r="O18" s="185"/>
      <c r="P18" s="185"/>
      <c r="Q18" s="185"/>
      <c r="R18" s="185"/>
      <c r="S18" s="185"/>
    </row>
    <row r="19" spans="1:19" x14ac:dyDescent="0.3">
      <c r="A19" s="16"/>
      <c r="B19" s="36"/>
      <c r="C19" s="36"/>
      <c r="D19" s="36"/>
      <c r="E19" s="291" t="s">
        <v>488</v>
      </c>
      <c r="F19" s="292"/>
      <c r="G19" s="293"/>
      <c r="H19" s="36"/>
      <c r="I19" s="37"/>
      <c r="K19" s="185"/>
      <c r="L19" s="185"/>
      <c r="M19" s="185"/>
      <c r="N19" s="185"/>
      <c r="O19" s="185"/>
      <c r="P19" s="185"/>
      <c r="Q19" s="185"/>
      <c r="R19" s="185"/>
      <c r="S19" s="185"/>
    </row>
    <row r="20" spans="1:19" x14ac:dyDescent="0.3">
      <c r="A20" s="16"/>
      <c r="B20" s="36"/>
      <c r="C20" s="36"/>
      <c r="D20" s="36"/>
      <c r="E20" s="170">
        <v>18</v>
      </c>
      <c r="F20" s="170">
        <v>30</v>
      </c>
      <c r="G20" s="170">
        <v>42</v>
      </c>
      <c r="H20" s="36"/>
      <c r="I20" s="37"/>
      <c r="K20" s="185" t="s">
        <v>511</v>
      </c>
      <c r="L20" s="185"/>
      <c r="M20" s="185"/>
      <c r="N20" s="185"/>
      <c r="O20" s="185"/>
      <c r="P20" s="185"/>
      <c r="Q20" s="185"/>
      <c r="R20" s="185"/>
      <c r="S20" s="185"/>
    </row>
    <row r="21" spans="1:19" x14ac:dyDescent="0.3">
      <c r="A21" s="16"/>
      <c r="B21" s="243" t="s">
        <v>489</v>
      </c>
      <c r="C21" s="289"/>
      <c r="D21" s="289"/>
      <c r="E21" s="239">
        <v>425000</v>
      </c>
      <c r="F21" s="239">
        <v>650000</v>
      </c>
      <c r="G21" s="239">
        <v>950000</v>
      </c>
      <c r="H21" s="36"/>
      <c r="I21" s="37"/>
      <c r="K21" s="185"/>
      <c r="L21" s="185"/>
      <c r="M21" s="185"/>
      <c r="N21" s="185"/>
      <c r="O21" s="185"/>
      <c r="P21" s="185"/>
      <c r="Q21" s="185"/>
      <c r="R21" s="185"/>
      <c r="S21" s="185"/>
    </row>
    <row r="22" spans="1:19" x14ac:dyDescent="0.3">
      <c r="A22" s="16"/>
      <c r="B22" s="243" t="s">
        <v>490</v>
      </c>
      <c r="C22" s="289"/>
      <c r="D22" s="289"/>
      <c r="E22" s="239">
        <v>375000</v>
      </c>
      <c r="F22" s="239">
        <v>475000</v>
      </c>
      <c r="G22" s="239">
        <v>700000</v>
      </c>
      <c r="H22" s="36"/>
      <c r="I22" s="37"/>
      <c r="K22" s="185" t="s">
        <v>512</v>
      </c>
      <c r="L22" s="185"/>
      <c r="M22" s="185"/>
      <c r="N22" s="185"/>
      <c r="O22" s="185"/>
      <c r="P22" s="185"/>
      <c r="Q22" s="185"/>
      <c r="R22" s="185"/>
      <c r="S22" s="185"/>
    </row>
    <row r="23" spans="1:19" x14ac:dyDescent="0.3">
      <c r="A23" s="16"/>
      <c r="B23" s="243" t="s">
        <v>491</v>
      </c>
      <c r="C23" s="289"/>
      <c r="D23" s="289"/>
      <c r="E23" s="239">
        <v>50000</v>
      </c>
      <c r="F23" s="239">
        <v>175000</v>
      </c>
      <c r="G23" s="239">
        <v>250000</v>
      </c>
      <c r="H23" s="36"/>
      <c r="I23" s="37"/>
      <c r="K23" s="185" t="s">
        <v>508</v>
      </c>
      <c r="L23" s="185"/>
      <c r="M23" s="296">
        <f>MIN(F22,E8)</f>
        <v>475000</v>
      </c>
      <c r="N23" s="185"/>
      <c r="O23" s="185"/>
      <c r="P23" s="185"/>
      <c r="Q23" s="185"/>
      <c r="R23" s="185"/>
      <c r="S23" s="185"/>
    </row>
    <row r="24" spans="1:19" x14ac:dyDescent="0.3">
      <c r="A24" s="16"/>
      <c r="B24" s="36"/>
      <c r="C24" s="36"/>
      <c r="D24" s="36"/>
      <c r="E24" s="36"/>
      <c r="F24" s="36"/>
      <c r="G24" s="36"/>
      <c r="H24" s="36"/>
      <c r="I24" s="37"/>
      <c r="K24" s="185" t="s">
        <v>461</v>
      </c>
      <c r="L24" s="185"/>
      <c r="M24" s="297">
        <f>(E11+N3*M23)*M2</f>
        <v>915463.91752577329</v>
      </c>
      <c r="N24" s="185"/>
      <c r="O24" s="185"/>
      <c r="P24" s="185"/>
      <c r="Q24" s="185"/>
      <c r="R24" s="185"/>
      <c r="S24" s="185"/>
    </row>
    <row r="25" spans="1:19" x14ac:dyDescent="0.3">
      <c r="A25" s="63" t="s">
        <v>10</v>
      </c>
      <c r="B25" s="36" t="s">
        <v>496</v>
      </c>
      <c r="C25" s="36"/>
      <c r="D25" s="36"/>
      <c r="E25" s="36"/>
      <c r="F25" s="36"/>
      <c r="G25" s="36"/>
      <c r="H25" s="36"/>
      <c r="I25" s="37"/>
      <c r="K25" s="266" t="str">
        <f>"The insurer pays "&amp;TEXT(M24-M16,"$0,000.00")</f>
        <v>The insurer pays $111,340.21</v>
      </c>
      <c r="L25" s="266"/>
      <c r="M25" s="266"/>
      <c r="N25" s="185"/>
      <c r="O25" s="185"/>
      <c r="P25" s="185"/>
      <c r="Q25" s="185"/>
      <c r="R25" s="185"/>
      <c r="S25" s="185"/>
    </row>
    <row r="26" spans="1:19" x14ac:dyDescent="0.3">
      <c r="A26" s="16"/>
      <c r="B26" s="36" t="s">
        <v>497</v>
      </c>
      <c r="C26" s="36"/>
      <c r="D26" s="36"/>
      <c r="E26" s="36"/>
      <c r="F26" s="36"/>
      <c r="G26" s="36"/>
      <c r="H26" s="36"/>
      <c r="I26" s="37"/>
      <c r="K26" s="185"/>
      <c r="L26" s="185"/>
      <c r="M26" s="185"/>
      <c r="N26" s="185"/>
      <c r="O26" s="185"/>
      <c r="P26" s="185"/>
      <c r="Q26" s="185"/>
      <c r="R26" s="185"/>
      <c r="S26" s="185"/>
    </row>
    <row r="27" spans="1:19" x14ac:dyDescent="0.3">
      <c r="A27" s="16"/>
      <c r="B27" s="36"/>
      <c r="C27" s="36"/>
      <c r="D27" s="36"/>
      <c r="E27" s="36"/>
      <c r="F27" s="36"/>
      <c r="G27" s="36"/>
      <c r="H27" s="36"/>
      <c r="I27" s="37"/>
      <c r="K27" s="185" t="s">
        <v>513</v>
      </c>
      <c r="L27" s="185"/>
      <c r="M27" s="185"/>
      <c r="N27" s="185"/>
      <c r="O27" s="185"/>
      <c r="P27" s="185"/>
      <c r="Q27" s="185"/>
      <c r="R27" s="185"/>
      <c r="S27" s="185"/>
    </row>
    <row r="28" spans="1:19" x14ac:dyDescent="0.3">
      <c r="A28" s="16"/>
      <c r="B28" s="36" t="s">
        <v>498</v>
      </c>
      <c r="C28" s="36"/>
      <c r="D28" s="36"/>
      <c r="E28" s="36"/>
      <c r="F28" s="36"/>
      <c r="G28" s="36"/>
      <c r="H28" s="36"/>
      <c r="I28" s="37"/>
      <c r="K28" s="185" t="s">
        <v>508</v>
      </c>
      <c r="L28" s="185"/>
      <c r="M28" s="296">
        <f>MIN(G22,E8)</f>
        <v>600000</v>
      </c>
      <c r="N28" s="185"/>
      <c r="O28" s="185"/>
      <c r="P28" s="185"/>
      <c r="Q28" s="185"/>
      <c r="R28" s="185"/>
      <c r="S28" s="185"/>
    </row>
    <row r="29" spans="1:19" x14ac:dyDescent="0.3">
      <c r="A29" s="16"/>
      <c r="B29" s="36" t="s">
        <v>492</v>
      </c>
      <c r="C29" s="36"/>
      <c r="D29" s="36"/>
      <c r="E29" s="36"/>
      <c r="F29" s="36"/>
      <c r="G29" s="36"/>
      <c r="H29" s="36"/>
      <c r="I29" s="37"/>
      <c r="K29" s="185" t="s">
        <v>461</v>
      </c>
      <c r="L29" s="185"/>
      <c r="M29" s="297">
        <f>(E11+N3*M28)*M2</f>
        <v>1054639.1752577322</v>
      </c>
      <c r="N29" s="185"/>
      <c r="O29" s="185"/>
      <c r="P29" s="185"/>
      <c r="Q29" s="185"/>
      <c r="R29" s="185"/>
      <c r="S29" s="185"/>
    </row>
    <row r="30" spans="1:19" x14ac:dyDescent="0.3">
      <c r="A30" s="16"/>
      <c r="B30" s="36"/>
      <c r="C30" s="36"/>
      <c r="D30" s="36"/>
      <c r="E30" s="36"/>
      <c r="F30" s="36"/>
      <c r="G30" s="36"/>
      <c r="H30" s="36"/>
      <c r="I30" s="37"/>
      <c r="K30" s="266" t="str">
        <f>"The insurer pays "&amp;TEXT(M29-M24,"$0,000.00")</f>
        <v>The insurer pays $139,175.26</v>
      </c>
      <c r="L30" s="266"/>
      <c r="M30" s="266"/>
      <c r="N30" s="185"/>
      <c r="O30" s="185"/>
      <c r="P30" s="185"/>
      <c r="Q30" s="185"/>
      <c r="R30" s="185"/>
      <c r="S30" s="185"/>
    </row>
    <row r="31" spans="1:19" x14ac:dyDescent="0.3">
      <c r="A31" s="16"/>
      <c r="B31" s="36" t="s">
        <v>499</v>
      </c>
      <c r="C31" s="36"/>
      <c r="D31" s="36"/>
      <c r="E31" s="36"/>
      <c r="F31" s="36"/>
      <c r="G31" s="36"/>
      <c r="H31" s="36"/>
      <c r="I31" s="37"/>
    </row>
    <row r="32" spans="1:19" ht="15" thickBot="1" x14ac:dyDescent="0.35">
      <c r="A32" s="17"/>
      <c r="B32" s="41" t="s">
        <v>493</v>
      </c>
      <c r="C32" s="41"/>
      <c r="D32" s="41"/>
      <c r="E32" s="41"/>
      <c r="F32" s="41"/>
      <c r="G32" s="41"/>
      <c r="H32" s="41"/>
      <c r="I32" s="42"/>
      <c r="J32" s="9" t="s">
        <v>38</v>
      </c>
      <c r="K32" s="185" t="s">
        <v>514</v>
      </c>
    </row>
    <row r="33" spans="10:11" x14ac:dyDescent="0.3">
      <c r="J33" s="9"/>
      <c r="K33" s="185" t="s">
        <v>515</v>
      </c>
    </row>
    <row r="34" spans="10:11" x14ac:dyDescent="0.3">
      <c r="J34" s="9"/>
      <c r="K34" s="185" t="s">
        <v>516</v>
      </c>
    </row>
    <row r="35" spans="10:11" x14ac:dyDescent="0.3">
      <c r="J35" s="9"/>
      <c r="K35" s="185" t="s">
        <v>517</v>
      </c>
    </row>
    <row r="36" spans="10:11" x14ac:dyDescent="0.3">
      <c r="J36" s="9"/>
      <c r="K36" s="185"/>
    </row>
    <row r="37" spans="10:11" x14ac:dyDescent="0.3">
      <c r="J37" s="9" t="s">
        <v>240</v>
      </c>
      <c r="K37" s="185" t="s">
        <v>518</v>
      </c>
    </row>
    <row r="38" spans="10:11" x14ac:dyDescent="0.3">
      <c r="J38" s="9"/>
      <c r="K38" s="185" t="s">
        <v>519</v>
      </c>
    </row>
    <row r="39" spans="10:11" x14ac:dyDescent="0.3">
      <c r="J39" s="9"/>
      <c r="K39" s="185" t="s">
        <v>520</v>
      </c>
    </row>
    <row r="40" spans="10:11" x14ac:dyDescent="0.3">
      <c r="J40" s="9"/>
      <c r="K40" s="185" t="s">
        <v>521</v>
      </c>
    </row>
    <row r="41" spans="10:11" x14ac:dyDescent="0.3">
      <c r="J41" s="9"/>
      <c r="K41" s="185" t="s">
        <v>522</v>
      </c>
    </row>
  </sheetData>
  <mergeCells count="1">
    <mergeCell ref="H1:I1"/>
  </mergeCells>
  <hyperlinks>
    <hyperlink ref="H1" location="TOC!A1" display="Return to TOC" xr:uid="{D465A32E-A3C6-4CF1-B272-1BA2DD49A6C5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5DC39-580F-4FB5-9F7E-804F37CF3BD0}">
  <dimension ref="A1:M25"/>
  <sheetViews>
    <sheetView workbookViewId="0"/>
  </sheetViews>
  <sheetFormatPr defaultRowHeight="14.4" x14ac:dyDescent="0.3"/>
  <cols>
    <col min="1" max="1" width="14" bestFit="1" customWidth="1"/>
    <col min="2" max="2" width="10.44140625" customWidth="1"/>
    <col min="9" max="9" width="3.6640625" customWidth="1"/>
    <col min="10" max="11" width="11.88671875" bestFit="1" customWidth="1"/>
    <col min="12" max="12" width="10.6640625" customWidth="1"/>
    <col min="13" max="13" width="10.6640625" bestFit="1" customWidth="1"/>
  </cols>
  <sheetData>
    <row r="1" spans="1:13" x14ac:dyDescent="0.3">
      <c r="A1" s="6" t="s">
        <v>4</v>
      </c>
      <c r="B1" s="7" t="s">
        <v>380</v>
      </c>
      <c r="C1" s="7"/>
      <c r="D1" s="8"/>
      <c r="E1" s="8"/>
      <c r="F1" s="8"/>
      <c r="G1" s="490" t="s">
        <v>5</v>
      </c>
      <c r="H1" s="491"/>
      <c r="J1" s="10" t="s">
        <v>6</v>
      </c>
    </row>
    <row r="2" spans="1:13" x14ac:dyDescent="0.3">
      <c r="A2" s="11" t="s">
        <v>7</v>
      </c>
      <c r="B2" s="33" t="s">
        <v>408</v>
      </c>
      <c r="C2" s="33"/>
      <c r="D2" s="33"/>
      <c r="E2" s="33"/>
      <c r="F2" s="33"/>
      <c r="G2" s="33"/>
      <c r="H2" s="12"/>
      <c r="I2" t="s">
        <v>28</v>
      </c>
      <c r="J2" t="s">
        <v>396</v>
      </c>
      <c r="K2" s="272">
        <f>B16*B17</f>
        <v>300000</v>
      </c>
    </row>
    <row r="3" spans="1:13" x14ac:dyDescent="0.3">
      <c r="A3" s="11" t="s">
        <v>8</v>
      </c>
      <c r="B3" s="33" t="s">
        <v>381</v>
      </c>
      <c r="C3" s="33"/>
      <c r="D3" s="33"/>
      <c r="E3" s="33"/>
      <c r="F3" s="33"/>
      <c r="G3" s="33"/>
      <c r="H3" s="12"/>
      <c r="I3" s="185"/>
      <c r="J3" t="s">
        <v>397</v>
      </c>
      <c r="K3" s="272">
        <f>K2*B18</f>
        <v>30000</v>
      </c>
      <c r="L3" s="101"/>
    </row>
    <row r="4" spans="1:13" x14ac:dyDescent="0.3">
      <c r="A4" s="13"/>
      <c r="B4" s="34"/>
      <c r="C4" s="34"/>
      <c r="D4" s="34"/>
      <c r="E4" s="34"/>
      <c r="F4" s="34"/>
      <c r="G4" s="34"/>
      <c r="H4" s="14"/>
      <c r="I4" s="185"/>
    </row>
    <row r="5" spans="1:13" x14ac:dyDescent="0.3">
      <c r="A5" s="15" t="s">
        <v>9</v>
      </c>
      <c r="B5" s="33" t="s">
        <v>394</v>
      </c>
      <c r="C5" s="36"/>
      <c r="D5" s="36"/>
      <c r="E5" s="36"/>
      <c r="F5" s="36"/>
      <c r="G5" s="36"/>
      <c r="H5" s="37"/>
      <c r="I5" s="185"/>
      <c r="J5" t="s">
        <v>398</v>
      </c>
    </row>
    <row r="6" spans="1:13" x14ac:dyDescent="0.3">
      <c r="A6" s="16"/>
      <c r="B6" s="33" t="s">
        <v>395</v>
      </c>
      <c r="C6" s="36"/>
      <c r="D6" s="36"/>
      <c r="E6" s="36"/>
      <c r="F6" s="36"/>
      <c r="G6" s="36"/>
      <c r="H6" s="37"/>
      <c r="J6" s="18" t="s">
        <v>80</v>
      </c>
      <c r="K6" s="27" t="s">
        <v>399</v>
      </c>
      <c r="L6" s="27" t="s">
        <v>151</v>
      </c>
      <c r="M6" s="20" t="s">
        <v>400</v>
      </c>
    </row>
    <row r="7" spans="1:13" x14ac:dyDescent="0.3">
      <c r="A7" s="16"/>
      <c r="B7" s="36"/>
      <c r="C7" s="36"/>
      <c r="D7" s="36"/>
      <c r="E7" s="36"/>
      <c r="F7" s="36"/>
      <c r="G7" s="36"/>
      <c r="H7" s="37"/>
      <c r="J7" s="273">
        <f>C10</f>
        <v>500</v>
      </c>
      <c r="K7" s="277">
        <f>J7*$B$18</f>
        <v>50</v>
      </c>
      <c r="L7" s="277">
        <f>J7+K7</f>
        <v>550</v>
      </c>
      <c r="M7" s="274">
        <f>MIN(L7,$B$15)</f>
        <v>550</v>
      </c>
    </row>
    <row r="8" spans="1:13" x14ac:dyDescent="0.3">
      <c r="A8" s="16"/>
      <c r="B8" s="38" t="s">
        <v>382</v>
      </c>
      <c r="C8" s="38"/>
      <c r="D8" s="36"/>
      <c r="E8" s="36"/>
      <c r="F8" s="36"/>
      <c r="G8" s="36"/>
      <c r="H8" s="37"/>
      <c r="J8" s="273">
        <f t="shared" ref="J8:J10" si="0">C11</f>
        <v>2500</v>
      </c>
      <c r="K8" s="277">
        <f t="shared" ref="K8:K10" si="1">J8*$B$18</f>
        <v>250</v>
      </c>
      <c r="L8" s="277">
        <f t="shared" ref="L8:L10" si="2">J8+K8</f>
        <v>2750</v>
      </c>
      <c r="M8" s="274">
        <f t="shared" ref="M8:M10" si="3">MIN(L8,$B$15)</f>
        <v>2750</v>
      </c>
    </row>
    <row r="9" spans="1:13" x14ac:dyDescent="0.3">
      <c r="A9" s="16"/>
      <c r="B9" s="114" t="s">
        <v>383</v>
      </c>
      <c r="C9" s="115" t="s">
        <v>384</v>
      </c>
      <c r="D9" s="36"/>
      <c r="E9" s="36"/>
      <c r="F9" s="36"/>
      <c r="G9" s="36"/>
      <c r="H9" s="37"/>
      <c r="J9" s="273">
        <f t="shared" si="0"/>
        <v>10000</v>
      </c>
      <c r="K9" s="277">
        <f t="shared" si="1"/>
        <v>1000</v>
      </c>
      <c r="L9" s="277">
        <f t="shared" si="2"/>
        <v>11000</v>
      </c>
      <c r="M9" s="274">
        <f t="shared" si="3"/>
        <v>5000</v>
      </c>
    </row>
    <row r="10" spans="1:13" x14ac:dyDescent="0.3">
      <c r="A10" s="16"/>
      <c r="B10" s="69">
        <v>0.45</v>
      </c>
      <c r="C10" s="66">
        <v>500</v>
      </c>
      <c r="D10" s="36"/>
      <c r="E10" s="36"/>
      <c r="F10" s="36"/>
      <c r="G10" s="36"/>
      <c r="H10" s="37"/>
      <c r="J10" s="275">
        <f t="shared" si="0"/>
        <v>25000</v>
      </c>
      <c r="K10" s="278">
        <f t="shared" si="1"/>
        <v>2500</v>
      </c>
      <c r="L10" s="278">
        <f t="shared" si="2"/>
        <v>27500</v>
      </c>
      <c r="M10" s="276">
        <f t="shared" si="3"/>
        <v>5000</v>
      </c>
    </row>
    <row r="11" spans="1:13" x14ac:dyDescent="0.3">
      <c r="A11" s="16"/>
      <c r="B11" s="69">
        <v>0.35</v>
      </c>
      <c r="C11" s="66">
        <v>2500</v>
      </c>
      <c r="D11" s="36"/>
      <c r="E11" s="36"/>
      <c r="F11" s="36"/>
      <c r="G11" s="36"/>
      <c r="H11" s="37"/>
    </row>
    <row r="12" spans="1:13" x14ac:dyDescent="0.3">
      <c r="A12" s="16"/>
      <c r="B12" s="69">
        <v>0.15</v>
      </c>
      <c r="C12" s="66">
        <v>10000</v>
      </c>
      <c r="D12" s="36"/>
      <c r="E12" s="36"/>
      <c r="F12" s="36"/>
      <c r="G12" s="36"/>
      <c r="H12" s="37"/>
      <c r="J12" s="272">
        <f>SUMPRODUCT(B10:B13,L7:L10)</f>
        <v>4235</v>
      </c>
      <c r="K12" t="s">
        <v>402</v>
      </c>
    </row>
    <row r="13" spans="1:13" x14ac:dyDescent="0.3">
      <c r="A13" s="16"/>
      <c r="B13" s="70">
        <v>0.05</v>
      </c>
      <c r="C13" s="67">
        <v>25000</v>
      </c>
      <c r="D13" s="36"/>
      <c r="E13" s="36"/>
      <c r="F13" s="36"/>
      <c r="G13" s="36"/>
      <c r="H13" s="37"/>
      <c r="J13" s="272">
        <f>SUMPRODUCT(B10:B13,M7:M10)</f>
        <v>2210</v>
      </c>
      <c r="K13" t="s">
        <v>403</v>
      </c>
    </row>
    <row r="14" spans="1:13" x14ac:dyDescent="0.3">
      <c r="A14" s="16"/>
      <c r="B14" s="36"/>
      <c r="C14" s="36"/>
      <c r="D14" s="36"/>
      <c r="E14" s="36"/>
      <c r="F14" s="36"/>
      <c r="G14" s="36"/>
      <c r="H14" s="37"/>
      <c r="J14" s="32">
        <f>J13/J12</f>
        <v>0.52184179456906732</v>
      </c>
      <c r="K14" t="s">
        <v>401</v>
      </c>
      <c r="L14" s="101" t="s">
        <v>406</v>
      </c>
    </row>
    <row r="15" spans="1:13" x14ac:dyDescent="0.3">
      <c r="A15" s="16"/>
      <c r="B15" s="116">
        <v>5000</v>
      </c>
      <c r="C15" s="43" t="s">
        <v>387</v>
      </c>
      <c r="D15" s="117"/>
      <c r="E15" s="117"/>
      <c r="F15" s="117"/>
      <c r="G15" s="118"/>
      <c r="H15" s="37"/>
    </row>
    <row r="16" spans="1:13" x14ac:dyDescent="0.3">
      <c r="A16" s="16"/>
      <c r="B16" s="71">
        <v>500000</v>
      </c>
      <c r="C16" s="267" t="s">
        <v>385</v>
      </c>
      <c r="D16" s="36"/>
      <c r="E16" s="36"/>
      <c r="F16" s="36"/>
      <c r="G16" s="119"/>
      <c r="H16" s="37"/>
      <c r="J16" t="s">
        <v>404</v>
      </c>
      <c r="K16" s="270">
        <f>(K2+K3)*(1-J14)</f>
        <v>157792.20779220777</v>
      </c>
      <c r="L16" s="101" t="s">
        <v>405</v>
      </c>
    </row>
    <row r="17" spans="1:12" x14ac:dyDescent="0.3">
      <c r="A17" s="16"/>
      <c r="B17" s="235">
        <v>0.6</v>
      </c>
      <c r="C17" s="267" t="s">
        <v>386</v>
      </c>
      <c r="D17" s="36"/>
      <c r="E17" s="36"/>
      <c r="F17" s="36"/>
      <c r="G17" s="119"/>
      <c r="H17" s="37"/>
      <c r="L17" s="101" t="s">
        <v>414</v>
      </c>
    </row>
    <row r="18" spans="1:12" x14ac:dyDescent="0.3">
      <c r="A18" s="16"/>
      <c r="B18" s="235">
        <v>0.1</v>
      </c>
      <c r="C18" s="267" t="s">
        <v>388</v>
      </c>
      <c r="D18" s="36"/>
      <c r="E18" s="36"/>
      <c r="F18" s="36"/>
      <c r="G18" s="119"/>
      <c r="H18" s="37"/>
    </row>
    <row r="19" spans="1:12" x14ac:dyDescent="0.3">
      <c r="A19" s="16"/>
      <c r="B19" s="71">
        <v>95000</v>
      </c>
      <c r="C19" s="267" t="s">
        <v>389</v>
      </c>
      <c r="D19" s="36"/>
      <c r="E19" s="36"/>
      <c r="F19" s="36"/>
      <c r="G19" s="119"/>
      <c r="H19" s="37"/>
      <c r="J19" t="s">
        <v>407</v>
      </c>
    </row>
    <row r="20" spans="1:12" x14ac:dyDescent="0.3">
      <c r="A20" s="16"/>
      <c r="B20" s="235">
        <v>0.12</v>
      </c>
      <c r="C20" s="267" t="s">
        <v>390</v>
      </c>
      <c r="D20" s="36"/>
      <c r="E20" s="36"/>
      <c r="F20" s="36"/>
      <c r="G20" s="119"/>
      <c r="H20" s="37"/>
      <c r="J20" s="271">
        <f>(K16+B19)/(1-B20-B21)</f>
        <v>297402.59740259737</v>
      </c>
    </row>
    <row r="21" spans="1:12" x14ac:dyDescent="0.3">
      <c r="A21" s="16"/>
      <c r="B21" s="269">
        <v>0.03</v>
      </c>
      <c r="C21" s="268" t="s">
        <v>391</v>
      </c>
      <c r="D21" s="120"/>
      <c r="E21" s="120"/>
      <c r="F21" s="120"/>
      <c r="G21" s="121"/>
      <c r="H21" s="37"/>
    </row>
    <row r="22" spans="1:12" x14ac:dyDescent="0.3">
      <c r="A22" s="16"/>
      <c r="B22" s="36"/>
      <c r="C22" s="36"/>
      <c r="D22" s="36"/>
      <c r="E22" s="36"/>
      <c r="F22" s="36"/>
      <c r="G22" s="36"/>
      <c r="H22" s="37"/>
    </row>
    <row r="23" spans="1:12" x14ac:dyDescent="0.3">
      <c r="A23" s="16"/>
      <c r="B23" s="36" t="s">
        <v>392</v>
      </c>
      <c r="C23" s="36"/>
      <c r="D23" s="36"/>
      <c r="E23" s="36"/>
      <c r="F23" s="36"/>
      <c r="G23" s="36"/>
      <c r="H23" s="37"/>
    </row>
    <row r="24" spans="1:12" x14ac:dyDescent="0.3">
      <c r="A24" s="16"/>
      <c r="B24" s="36"/>
      <c r="C24" s="36"/>
      <c r="D24" s="36"/>
      <c r="E24" s="36"/>
      <c r="F24" s="36"/>
      <c r="G24" s="36"/>
      <c r="H24" s="37"/>
    </row>
    <row r="25" spans="1:12" ht="15" thickBot="1" x14ac:dyDescent="0.35">
      <c r="A25" s="122" t="s">
        <v>10</v>
      </c>
      <c r="B25" s="41" t="s">
        <v>393</v>
      </c>
      <c r="C25" s="41"/>
      <c r="D25" s="41"/>
      <c r="E25" s="41"/>
      <c r="F25" s="41"/>
      <c r="G25" s="41"/>
      <c r="H25" s="42"/>
    </row>
  </sheetData>
  <mergeCells count="1">
    <mergeCell ref="G1:H1"/>
  </mergeCells>
  <hyperlinks>
    <hyperlink ref="G1" location="TOC!A1" display="Return to TOC" xr:uid="{D4B9C381-DB06-4DAE-ADF0-5A3FFC4FEDEE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6C8080-1D5D-4359-ADD0-9B1D4EE79D51}">
  <dimension ref="A1:L19"/>
  <sheetViews>
    <sheetView workbookViewId="0"/>
  </sheetViews>
  <sheetFormatPr defaultRowHeight="14.4" x14ac:dyDescent="0.3"/>
  <cols>
    <col min="1" max="1" width="14" bestFit="1" customWidth="1"/>
    <col min="9" max="9" width="3.6640625" customWidth="1"/>
    <col min="10" max="10" width="11.88671875" bestFit="1" customWidth="1"/>
  </cols>
  <sheetData>
    <row r="1" spans="1:12" x14ac:dyDescent="0.3">
      <c r="A1" s="6" t="s">
        <v>4</v>
      </c>
      <c r="B1" s="7" t="s">
        <v>380</v>
      </c>
      <c r="C1" s="7"/>
      <c r="D1" s="8"/>
      <c r="E1" s="8"/>
      <c r="F1" s="8"/>
      <c r="G1" s="490" t="s">
        <v>5</v>
      </c>
      <c r="H1" s="491"/>
      <c r="J1" s="10" t="s">
        <v>6</v>
      </c>
    </row>
    <row r="2" spans="1:12" x14ac:dyDescent="0.3">
      <c r="A2" s="11" t="s">
        <v>7</v>
      </c>
      <c r="B2" s="33" t="s">
        <v>409</v>
      </c>
      <c r="C2" s="33"/>
      <c r="D2" s="33"/>
      <c r="E2" s="33"/>
      <c r="F2" s="33"/>
      <c r="G2" s="33"/>
      <c r="H2" s="12"/>
      <c r="I2" t="s">
        <v>28</v>
      </c>
      <c r="J2" t="s">
        <v>396</v>
      </c>
      <c r="K2" s="62">
        <f>B9*B10</f>
        <v>150000</v>
      </c>
    </row>
    <row r="3" spans="1:12" x14ac:dyDescent="0.3">
      <c r="A3" s="11" t="s">
        <v>8</v>
      </c>
      <c r="B3" s="33" t="s">
        <v>381</v>
      </c>
      <c r="C3" s="33"/>
      <c r="D3" s="33"/>
      <c r="E3" s="33"/>
      <c r="F3" s="33"/>
      <c r="G3" s="33"/>
      <c r="H3" s="12"/>
      <c r="I3" s="185"/>
      <c r="J3" t="s">
        <v>397</v>
      </c>
      <c r="K3" s="62">
        <f>K2*B11</f>
        <v>22500</v>
      </c>
      <c r="L3" s="101" t="s">
        <v>412</v>
      </c>
    </row>
    <row r="4" spans="1:12" x14ac:dyDescent="0.3">
      <c r="A4" s="13"/>
      <c r="B4" s="34"/>
      <c r="C4" s="34"/>
      <c r="D4" s="34"/>
      <c r="E4" s="34"/>
      <c r="F4" s="34"/>
      <c r="G4" s="34"/>
      <c r="H4" s="14"/>
      <c r="I4" s="185"/>
    </row>
    <row r="5" spans="1:12" x14ac:dyDescent="0.3">
      <c r="A5" s="15" t="s">
        <v>9</v>
      </c>
      <c r="B5" s="33" t="s">
        <v>394</v>
      </c>
      <c r="C5" s="36"/>
      <c r="D5" s="36"/>
      <c r="E5" s="36"/>
      <c r="F5" s="36"/>
      <c r="G5" s="36"/>
      <c r="H5" s="37"/>
      <c r="I5" s="185"/>
      <c r="J5" t="s">
        <v>404</v>
      </c>
      <c r="K5" s="62">
        <f>K2*(1-B15)</f>
        <v>112500</v>
      </c>
      <c r="L5" s="101" t="s">
        <v>415</v>
      </c>
    </row>
    <row r="6" spans="1:12" x14ac:dyDescent="0.3">
      <c r="A6" s="16"/>
      <c r="B6" s="33" t="s">
        <v>395</v>
      </c>
      <c r="C6" s="36"/>
      <c r="D6" s="36"/>
      <c r="E6" s="36"/>
      <c r="F6" s="36"/>
      <c r="G6" s="36"/>
      <c r="H6" s="37"/>
    </row>
    <row r="7" spans="1:12" x14ac:dyDescent="0.3">
      <c r="A7" s="16"/>
      <c r="B7" s="36"/>
      <c r="C7" s="36"/>
      <c r="D7" s="36"/>
      <c r="E7" s="36"/>
      <c r="F7" s="36"/>
      <c r="G7" s="36"/>
      <c r="H7" s="37"/>
      <c r="J7" t="s">
        <v>407</v>
      </c>
    </row>
    <row r="8" spans="1:12" x14ac:dyDescent="0.3">
      <c r="A8" s="16"/>
      <c r="B8" s="116">
        <v>10000</v>
      </c>
      <c r="C8" s="43" t="s">
        <v>387</v>
      </c>
      <c r="D8" s="117"/>
      <c r="E8" s="117"/>
      <c r="F8" s="117"/>
      <c r="G8" s="118"/>
      <c r="H8" s="37"/>
      <c r="J8" s="271">
        <f>(K5+K3+B12)/(1-B13-B14)</f>
        <v>214285.71428571429</v>
      </c>
    </row>
    <row r="9" spans="1:12" x14ac:dyDescent="0.3">
      <c r="A9" s="16"/>
      <c r="B9" s="71">
        <v>250000</v>
      </c>
      <c r="C9" s="267" t="s">
        <v>385</v>
      </c>
      <c r="D9" s="36"/>
      <c r="E9" s="36"/>
      <c r="F9" s="36"/>
      <c r="G9" s="119"/>
      <c r="H9" s="37"/>
    </row>
    <row r="10" spans="1:12" x14ac:dyDescent="0.3">
      <c r="A10" s="16"/>
      <c r="B10" s="235">
        <v>0.6</v>
      </c>
      <c r="C10" s="267" t="s">
        <v>386</v>
      </c>
      <c r="D10" s="36"/>
      <c r="E10" s="36"/>
      <c r="F10" s="36"/>
      <c r="G10" s="119"/>
      <c r="H10" s="37"/>
    </row>
    <row r="11" spans="1:12" x14ac:dyDescent="0.3">
      <c r="A11" s="16"/>
      <c r="B11" s="235">
        <v>0.15</v>
      </c>
      <c r="C11" s="267" t="s">
        <v>388</v>
      </c>
      <c r="D11" s="36"/>
      <c r="E11" s="36"/>
      <c r="F11" s="36"/>
      <c r="G11" s="119"/>
      <c r="H11" s="37"/>
    </row>
    <row r="12" spans="1:12" x14ac:dyDescent="0.3">
      <c r="A12" s="16"/>
      <c r="B12" s="71">
        <v>15000</v>
      </c>
      <c r="C12" s="267" t="s">
        <v>389</v>
      </c>
      <c r="D12" s="36"/>
      <c r="E12" s="36"/>
      <c r="F12" s="36"/>
      <c r="G12" s="119"/>
      <c r="H12" s="37"/>
    </row>
    <row r="13" spans="1:12" x14ac:dyDescent="0.3">
      <c r="A13" s="16"/>
      <c r="B13" s="235">
        <v>0.1</v>
      </c>
      <c r="C13" s="267" t="s">
        <v>417</v>
      </c>
      <c r="D13" s="36"/>
      <c r="E13" s="36"/>
      <c r="F13" s="36"/>
      <c r="G13" s="119"/>
      <c r="H13" s="37"/>
    </row>
    <row r="14" spans="1:12" x14ac:dyDescent="0.3">
      <c r="A14" s="16"/>
      <c r="B14" s="235">
        <v>0.2</v>
      </c>
      <c r="C14" s="267" t="s">
        <v>410</v>
      </c>
      <c r="D14" s="36"/>
      <c r="E14" s="36"/>
      <c r="F14" s="36"/>
      <c r="G14" s="119"/>
      <c r="H14" s="37"/>
    </row>
    <row r="15" spans="1:12" x14ac:dyDescent="0.3">
      <c r="A15" s="16"/>
      <c r="B15" s="70">
        <v>0.25</v>
      </c>
      <c r="C15" s="268" t="s">
        <v>413</v>
      </c>
      <c r="D15" s="120"/>
      <c r="E15" s="120"/>
      <c r="F15" s="120"/>
      <c r="G15" s="121"/>
      <c r="H15" s="37"/>
    </row>
    <row r="16" spans="1:12" x14ac:dyDescent="0.3">
      <c r="A16" s="16"/>
      <c r="B16" s="36"/>
      <c r="C16" s="36"/>
      <c r="D16" s="36"/>
      <c r="E16" s="36"/>
      <c r="F16" s="36"/>
      <c r="G16" s="36"/>
      <c r="H16" s="37"/>
    </row>
    <row r="17" spans="1:8" x14ac:dyDescent="0.3">
      <c r="A17" s="16"/>
      <c r="B17" s="36" t="s">
        <v>411</v>
      </c>
      <c r="C17" s="36"/>
      <c r="D17" s="36"/>
      <c r="E17" s="36"/>
      <c r="F17" s="36"/>
      <c r="G17" s="36"/>
      <c r="H17" s="37"/>
    </row>
    <row r="18" spans="1:8" x14ac:dyDescent="0.3">
      <c r="A18" s="16"/>
      <c r="B18" s="36"/>
      <c r="C18" s="36"/>
      <c r="D18" s="36"/>
      <c r="E18" s="36"/>
      <c r="F18" s="36"/>
      <c r="G18" s="36"/>
      <c r="H18" s="37"/>
    </row>
    <row r="19" spans="1:8" ht="15" thickBot="1" x14ac:dyDescent="0.35">
      <c r="A19" s="122" t="s">
        <v>10</v>
      </c>
      <c r="B19" s="41" t="s">
        <v>393</v>
      </c>
      <c r="C19" s="41"/>
      <c r="D19" s="41"/>
      <c r="E19" s="41"/>
      <c r="F19" s="41"/>
      <c r="G19" s="41"/>
      <c r="H19" s="42"/>
    </row>
  </sheetData>
  <mergeCells count="1">
    <mergeCell ref="G1:H1"/>
  </mergeCells>
  <hyperlinks>
    <hyperlink ref="G1" location="TOC!A1" display="Return to TOC" xr:uid="{4525AE7B-8DD1-4195-9E20-71DB926F66F7}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1F45B-352E-4532-A90B-675DEC52ADB3}">
  <dimension ref="A1:M24"/>
  <sheetViews>
    <sheetView workbookViewId="0"/>
  </sheetViews>
  <sheetFormatPr defaultRowHeight="14.4" x14ac:dyDescent="0.3"/>
  <cols>
    <col min="1" max="1" width="14" bestFit="1" customWidth="1"/>
    <col min="2" max="2" width="12.6640625" bestFit="1" customWidth="1"/>
    <col min="10" max="10" width="3.6640625" customWidth="1"/>
    <col min="11" max="11" width="12.6640625" bestFit="1" customWidth="1"/>
    <col min="12" max="13" width="10.109375" bestFit="1" customWidth="1"/>
  </cols>
  <sheetData>
    <row r="1" spans="1:13" x14ac:dyDescent="0.3">
      <c r="A1" s="6" t="s">
        <v>4</v>
      </c>
      <c r="B1" s="7" t="s">
        <v>380</v>
      </c>
      <c r="C1" s="7"/>
      <c r="D1" s="8"/>
      <c r="E1" s="8"/>
      <c r="F1" s="8"/>
      <c r="G1" s="8"/>
      <c r="H1" s="490" t="s">
        <v>5</v>
      </c>
      <c r="I1" s="491"/>
      <c r="K1" s="10" t="s">
        <v>6</v>
      </c>
    </row>
    <row r="2" spans="1:13" x14ac:dyDescent="0.3">
      <c r="A2" s="11" t="s">
        <v>7</v>
      </c>
      <c r="B2" s="33" t="s">
        <v>432</v>
      </c>
      <c r="C2" s="33"/>
      <c r="D2" s="33"/>
      <c r="E2" s="33"/>
      <c r="F2" s="33"/>
      <c r="G2" s="33"/>
      <c r="H2" s="33"/>
      <c r="I2" s="12"/>
      <c r="J2" t="s">
        <v>28</v>
      </c>
      <c r="K2" t="s">
        <v>396</v>
      </c>
      <c r="L2" s="280">
        <f>B9</f>
        <v>2000000</v>
      </c>
    </row>
    <row r="3" spans="1:13" x14ac:dyDescent="0.3">
      <c r="A3" s="11" t="s">
        <v>8</v>
      </c>
      <c r="B3" s="33" t="s">
        <v>381</v>
      </c>
      <c r="C3" s="33"/>
      <c r="D3" s="33"/>
      <c r="E3" s="33"/>
      <c r="F3" s="33"/>
      <c r="G3" s="33"/>
      <c r="H3" s="33"/>
      <c r="I3" s="12"/>
      <c r="J3" s="185"/>
      <c r="K3" t="s">
        <v>397</v>
      </c>
      <c r="L3" s="280">
        <f>L2*B11</f>
        <v>200000</v>
      </c>
    </row>
    <row r="4" spans="1:13" x14ac:dyDescent="0.3">
      <c r="A4" s="13"/>
      <c r="B4" s="34"/>
      <c r="C4" s="34"/>
      <c r="D4" s="34"/>
      <c r="E4" s="34"/>
      <c r="F4" s="34"/>
      <c r="G4" s="34"/>
      <c r="H4" s="34"/>
      <c r="I4" s="14"/>
      <c r="J4" s="185"/>
    </row>
    <row r="5" spans="1:13" x14ac:dyDescent="0.3">
      <c r="A5" s="15" t="s">
        <v>9</v>
      </c>
      <c r="B5" s="33" t="s">
        <v>394</v>
      </c>
      <c r="C5" s="36"/>
      <c r="D5" s="36"/>
      <c r="E5" s="36"/>
      <c r="F5" s="36"/>
      <c r="G5" s="36"/>
      <c r="H5" s="36"/>
      <c r="I5" s="37"/>
      <c r="J5" s="185"/>
      <c r="K5" t="s">
        <v>404</v>
      </c>
      <c r="L5" s="280">
        <f>L2*B10</f>
        <v>400000</v>
      </c>
    </row>
    <row r="6" spans="1:13" x14ac:dyDescent="0.3">
      <c r="A6" s="16"/>
      <c r="B6" s="33" t="s">
        <v>395</v>
      </c>
      <c r="C6" s="36"/>
      <c r="D6" s="36"/>
      <c r="E6" s="36"/>
      <c r="F6" s="36"/>
      <c r="G6" s="36"/>
      <c r="H6" s="36"/>
      <c r="I6" s="37"/>
    </row>
    <row r="7" spans="1:13" x14ac:dyDescent="0.3">
      <c r="A7" s="16"/>
      <c r="B7" s="36"/>
      <c r="C7" s="36"/>
      <c r="D7" s="36"/>
      <c r="E7" s="36"/>
      <c r="F7" s="36"/>
      <c r="G7" s="36"/>
      <c r="H7" s="36"/>
      <c r="I7" s="37"/>
      <c r="K7" t="s">
        <v>427</v>
      </c>
      <c r="M7" s="280">
        <f>L2-L5</f>
        <v>1600000</v>
      </c>
    </row>
    <row r="8" spans="1:13" x14ac:dyDescent="0.3">
      <c r="A8" s="16"/>
      <c r="B8" s="116">
        <v>250000</v>
      </c>
      <c r="C8" s="117" t="s">
        <v>387</v>
      </c>
      <c r="D8" s="117"/>
      <c r="E8" s="117"/>
      <c r="F8" s="117"/>
      <c r="G8" s="117"/>
      <c r="H8" s="118"/>
      <c r="I8" s="37"/>
    </row>
    <row r="9" spans="1:13" x14ac:dyDescent="0.3">
      <c r="A9" s="16"/>
      <c r="B9" s="279">
        <v>2000000</v>
      </c>
      <c r="C9" s="36" t="s">
        <v>416</v>
      </c>
      <c r="D9" s="36"/>
      <c r="E9" s="36"/>
      <c r="F9" s="36"/>
      <c r="G9" s="36"/>
      <c r="H9" s="119"/>
      <c r="I9" s="37"/>
      <c r="K9" s="280">
        <f>M7*B15</f>
        <v>80000</v>
      </c>
      <c r="L9" t="s">
        <v>428</v>
      </c>
    </row>
    <row r="10" spans="1:13" x14ac:dyDescent="0.3">
      <c r="A10" s="16"/>
      <c r="B10" s="235">
        <v>0.2</v>
      </c>
      <c r="C10" s="36" t="s">
        <v>426</v>
      </c>
      <c r="D10" s="36"/>
      <c r="E10" s="36"/>
      <c r="F10" s="36"/>
      <c r="G10" s="36"/>
      <c r="H10" s="119"/>
      <c r="I10" s="37"/>
      <c r="K10" s="280">
        <f>B16*M7</f>
        <v>32000</v>
      </c>
      <c r="L10" t="s">
        <v>429</v>
      </c>
    </row>
    <row r="11" spans="1:13" x14ac:dyDescent="0.3">
      <c r="A11" s="16"/>
      <c r="B11" s="235">
        <v>0.1</v>
      </c>
      <c r="C11" s="36" t="s">
        <v>388</v>
      </c>
      <c r="D11" s="36"/>
      <c r="E11" s="36"/>
      <c r="F11" s="36"/>
      <c r="G11" s="36"/>
      <c r="H11" s="119"/>
      <c r="I11" s="37"/>
      <c r="K11" s="280">
        <f>B17*L5</f>
        <v>32000</v>
      </c>
      <c r="L11" t="s">
        <v>430</v>
      </c>
    </row>
    <row r="12" spans="1:13" x14ac:dyDescent="0.3">
      <c r="A12" s="16"/>
      <c r="B12" s="71">
        <v>100000</v>
      </c>
      <c r="C12" s="36" t="s">
        <v>389</v>
      </c>
      <c r="D12" s="36"/>
      <c r="E12" s="36"/>
      <c r="F12" s="36"/>
      <c r="G12" s="36"/>
      <c r="H12" s="119"/>
      <c r="I12" s="37"/>
    </row>
    <row r="13" spans="1:13" x14ac:dyDescent="0.3">
      <c r="A13" s="16"/>
      <c r="B13" s="235">
        <v>0.12</v>
      </c>
      <c r="C13" s="36" t="s">
        <v>417</v>
      </c>
      <c r="D13" s="36"/>
      <c r="E13" s="36"/>
      <c r="F13" s="36"/>
      <c r="G13" s="36"/>
      <c r="H13" s="119"/>
      <c r="I13" s="37"/>
      <c r="K13" t="s">
        <v>431</v>
      </c>
    </row>
    <row r="14" spans="1:13" x14ac:dyDescent="0.3">
      <c r="A14" s="16"/>
      <c r="B14" s="235">
        <v>0.03</v>
      </c>
      <c r="C14" s="36" t="s">
        <v>418</v>
      </c>
      <c r="D14" s="36"/>
      <c r="E14" s="36"/>
      <c r="F14" s="36"/>
      <c r="G14" s="36"/>
      <c r="H14" s="119"/>
      <c r="I14" s="37"/>
      <c r="K14" s="281">
        <f>(L5+L3+B12+K9+K10+K11)/(1-B13-B14)</f>
        <v>992941.17647058831</v>
      </c>
    </row>
    <row r="15" spans="1:13" x14ac:dyDescent="0.3">
      <c r="A15" s="16"/>
      <c r="B15" s="235">
        <v>0.05</v>
      </c>
      <c r="C15" s="36" t="s">
        <v>419</v>
      </c>
      <c r="D15" s="36"/>
      <c r="E15" s="36"/>
      <c r="F15" s="36"/>
      <c r="G15" s="36"/>
      <c r="H15" s="119"/>
      <c r="I15" s="37"/>
    </row>
    <row r="16" spans="1:13" x14ac:dyDescent="0.3">
      <c r="A16" s="16"/>
      <c r="B16" s="235">
        <v>0.02</v>
      </c>
      <c r="C16" s="36" t="s">
        <v>420</v>
      </c>
      <c r="D16" s="36"/>
      <c r="E16" s="36"/>
      <c r="F16" s="36"/>
      <c r="G16" s="36"/>
      <c r="H16" s="119"/>
      <c r="I16" s="37"/>
    </row>
    <row r="17" spans="1:9" x14ac:dyDescent="0.3">
      <c r="A17" s="16"/>
      <c r="B17" s="269">
        <v>0.08</v>
      </c>
      <c r="C17" s="120" t="s">
        <v>421</v>
      </c>
      <c r="D17" s="120"/>
      <c r="E17" s="120"/>
      <c r="F17" s="120"/>
      <c r="G17" s="120"/>
      <c r="H17" s="121"/>
      <c r="I17" s="37"/>
    </row>
    <row r="18" spans="1:9" x14ac:dyDescent="0.3">
      <c r="A18" s="16"/>
      <c r="B18" s="36"/>
      <c r="C18" s="36"/>
      <c r="D18" s="36"/>
      <c r="E18" s="36"/>
      <c r="F18" s="36"/>
      <c r="G18" s="36"/>
      <c r="H18" s="36"/>
      <c r="I18" s="37"/>
    </row>
    <row r="19" spans="1:9" x14ac:dyDescent="0.3">
      <c r="A19" s="16"/>
      <c r="B19" s="36" t="s">
        <v>422</v>
      </c>
      <c r="C19" s="36"/>
      <c r="D19" s="36"/>
      <c r="E19" s="36"/>
      <c r="F19" s="36"/>
      <c r="G19" s="36"/>
      <c r="H19" s="36"/>
      <c r="I19" s="37"/>
    </row>
    <row r="20" spans="1:9" x14ac:dyDescent="0.3">
      <c r="A20" s="16"/>
      <c r="B20" s="36" t="s">
        <v>423</v>
      </c>
      <c r="C20" s="36"/>
      <c r="D20" s="36"/>
      <c r="E20" s="36"/>
      <c r="F20" s="36"/>
      <c r="G20" s="36"/>
      <c r="H20" s="36"/>
      <c r="I20" s="37"/>
    </row>
    <row r="21" spans="1:9" x14ac:dyDescent="0.3">
      <c r="A21" s="16"/>
      <c r="B21" s="36" t="s">
        <v>424</v>
      </c>
      <c r="C21" s="36"/>
      <c r="D21" s="36"/>
      <c r="E21" s="36"/>
      <c r="F21" s="36"/>
      <c r="G21" s="36"/>
      <c r="H21" s="36"/>
      <c r="I21" s="37"/>
    </row>
    <row r="22" spans="1:9" x14ac:dyDescent="0.3">
      <c r="A22" s="16"/>
      <c r="B22" s="36" t="s">
        <v>425</v>
      </c>
      <c r="C22" s="36"/>
      <c r="D22" s="36"/>
      <c r="E22" s="36"/>
      <c r="F22" s="36"/>
      <c r="G22" s="36"/>
      <c r="H22" s="36"/>
      <c r="I22" s="37"/>
    </row>
    <row r="23" spans="1:9" x14ac:dyDescent="0.3">
      <c r="A23" s="16"/>
      <c r="B23" s="36"/>
      <c r="C23" s="36"/>
      <c r="D23" s="36"/>
      <c r="E23" s="36"/>
      <c r="F23" s="36"/>
      <c r="G23" s="36"/>
      <c r="H23" s="36"/>
      <c r="I23" s="37"/>
    </row>
    <row r="24" spans="1:9" ht="15" thickBot="1" x14ac:dyDescent="0.35">
      <c r="A24" s="122" t="s">
        <v>10</v>
      </c>
      <c r="B24" s="41" t="s">
        <v>393</v>
      </c>
      <c r="C24" s="41"/>
      <c r="D24" s="41"/>
      <c r="E24" s="41"/>
      <c r="F24" s="41"/>
      <c r="G24" s="41"/>
      <c r="H24" s="41"/>
      <c r="I24" s="42"/>
    </row>
  </sheetData>
  <mergeCells count="1">
    <mergeCell ref="H1:I1"/>
  </mergeCells>
  <hyperlinks>
    <hyperlink ref="H1" location="TOC!A1" display="Return to TOC" xr:uid="{986CD1EA-5799-4AF1-B481-51526D5D6EF8}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8AB20-0E81-4F8B-9622-A51AE74A2116}">
  <dimension ref="A1:M20"/>
  <sheetViews>
    <sheetView workbookViewId="0"/>
  </sheetViews>
  <sheetFormatPr defaultRowHeight="14.4" x14ac:dyDescent="0.3"/>
  <cols>
    <col min="1" max="1" width="14" bestFit="1" customWidth="1"/>
    <col min="2" max="2" width="10.88671875" bestFit="1" customWidth="1"/>
    <col min="5" max="5" width="9.88671875" bestFit="1" customWidth="1"/>
    <col min="6" max="6" width="10" bestFit="1" customWidth="1"/>
    <col min="7" max="7" width="13.44140625" customWidth="1"/>
    <col min="8" max="8" width="3.6640625" customWidth="1"/>
    <col min="9" max="9" width="10.88671875" bestFit="1" customWidth="1"/>
    <col min="13" max="13" width="10.88671875" bestFit="1" customWidth="1"/>
  </cols>
  <sheetData>
    <row r="1" spans="1:13" x14ac:dyDescent="0.3">
      <c r="A1" s="6" t="s">
        <v>4</v>
      </c>
      <c r="B1" s="7" t="s">
        <v>380</v>
      </c>
      <c r="C1" s="7"/>
      <c r="D1" s="8"/>
      <c r="E1" s="8"/>
      <c r="F1" s="490" t="s">
        <v>5</v>
      </c>
      <c r="G1" s="491"/>
      <c r="I1" s="10" t="s">
        <v>6</v>
      </c>
    </row>
    <row r="2" spans="1:13" x14ac:dyDescent="0.3">
      <c r="A2" s="11" t="s">
        <v>7</v>
      </c>
      <c r="B2" s="33" t="s">
        <v>434</v>
      </c>
      <c r="C2" s="33"/>
      <c r="D2" s="33"/>
      <c r="E2" s="33"/>
      <c r="F2" s="33"/>
      <c r="G2" s="12"/>
      <c r="H2" t="s">
        <v>28</v>
      </c>
      <c r="I2" t="s">
        <v>477</v>
      </c>
    </row>
    <row r="3" spans="1:13" x14ac:dyDescent="0.3">
      <c r="A3" s="11" t="s">
        <v>8</v>
      </c>
      <c r="B3" s="33" t="s">
        <v>475</v>
      </c>
      <c r="C3" s="33"/>
      <c r="D3" s="33"/>
      <c r="E3" s="33"/>
      <c r="F3" s="33"/>
      <c r="G3" s="12"/>
      <c r="H3" s="185"/>
      <c r="I3" s="270">
        <f>F15/F17</f>
        <v>66412.213740458013</v>
      </c>
    </row>
    <row r="4" spans="1:13" x14ac:dyDescent="0.3">
      <c r="A4" s="13"/>
      <c r="B4" s="34"/>
      <c r="C4" s="34"/>
      <c r="D4" s="34"/>
      <c r="E4" s="34"/>
      <c r="F4" s="34"/>
      <c r="G4" s="14"/>
      <c r="H4" s="185"/>
    </row>
    <row r="5" spans="1:13" x14ac:dyDescent="0.3">
      <c r="A5" s="15" t="s">
        <v>9</v>
      </c>
      <c r="B5" s="33" t="s">
        <v>470</v>
      </c>
      <c r="C5" s="36"/>
      <c r="D5" s="36"/>
      <c r="E5" s="36"/>
      <c r="F5" s="36"/>
      <c r="G5" s="37"/>
      <c r="H5" s="185"/>
      <c r="I5" t="s">
        <v>476</v>
      </c>
    </row>
    <row r="6" spans="1:13" x14ac:dyDescent="0.3">
      <c r="A6" s="16"/>
      <c r="B6" s="33" t="s">
        <v>436</v>
      </c>
      <c r="C6" s="36"/>
      <c r="D6" s="36"/>
      <c r="E6" s="36"/>
      <c r="F6" s="36"/>
      <c r="G6" s="37"/>
    </row>
    <row r="7" spans="1:13" x14ac:dyDescent="0.3">
      <c r="A7" s="16"/>
      <c r="B7" s="36"/>
      <c r="C7" s="36"/>
      <c r="D7" s="36"/>
      <c r="E7" s="36"/>
      <c r="F7" s="36"/>
      <c r="G7" s="37"/>
      <c r="I7" t="s">
        <v>478</v>
      </c>
      <c r="M7" s="271">
        <f>I3</f>
        <v>66412.213740458013</v>
      </c>
    </row>
    <row r="8" spans="1:13" x14ac:dyDescent="0.3">
      <c r="A8" s="16"/>
      <c r="B8" s="239">
        <v>50000</v>
      </c>
      <c r="C8" s="243" t="s">
        <v>471</v>
      </c>
      <c r="D8" s="289"/>
      <c r="E8" s="244"/>
      <c r="F8" s="36"/>
      <c r="G8" s="37"/>
    </row>
    <row r="9" spans="1:13" x14ac:dyDescent="0.3">
      <c r="A9" s="16"/>
      <c r="B9" s="36"/>
      <c r="C9" s="36"/>
      <c r="D9" s="36"/>
      <c r="E9" s="36"/>
      <c r="F9" s="36"/>
      <c r="G9" s="37"/>
    </row>
    <row r="10" spans="1:13" x14ac:dyDescent="0.3">
      <c r="A10" s="16"/>
      <c r="B10" s="36" t="s">
        <v>472</v>
      </c>
      <c r="C10" s="36"/>
      <c r="D10" s="36"/>
      <c r="E10" s="36"/>
      <c r="F10" s="36"/>
      <c r="G10" s="37"/>
    </row>
    <row r="11" spans="1:13" x14ac:dyDescent="0.3">
      <c r="A11" s="16"/>
      <c r="B11" s="36"/>
      <c r="C11" s="36"/>
      <c r="D11" s="36"/>
      <c r="E11" s="36"/>
      <c r="F11" s="36"/>
      <c r="G11" s="37"/>
    </row>
    <row r="12" spans="1:13" x14ac:dyDescent="0.3">
      <c r="A12" s="16"/>
      <c r="B12" s="36" t="s">
        <v>445</v>
      </c>
      <c r="C12" s="36"/>
      <c r="D12" s="36"/>
      <c r="E12" s="36"/>
      <c r="F12" s="36"/>
      <c r="G12" s="37"/>
    </row>
    <row r="13" spans="1:13" x14ac:dyDescent="0.3">
      <c r="A13" s="16"/>
      <c r="B13" s="39"/>
      <c r="C13" s="39"/>
      <c r="D13" s="39"/>
      <c r="E13" s="49"/>
      <c r="F13" s="68" t="s">
        <v>447</v>
      </c>
      <c r="G13" s="37"/>
    </row>
    <row r="14" spans="1:13" x14ac:dyDescent="0.3">
      <c r="A14" s="16"/>
      <c r="B14" s="39"/>
      <c r="C14" s="39"/>
      <c r="D14" s="39"/>
      <c r="E14" s="52" t="s">
        <v>446</v>
      </c>
      <c r="F14" s="72">
        <v>50000</v>
      </c>
      <c r="G14" s="37"/>
    </row>
    <row r="15" spans="1:13" x14ac:dyDescent="0.3">
      <c r="A15" s="16"/>
      <c r="B15" s="283" t="s">
        <v>452</v>
      </c>
      <c r="C15" s="64"/>
      <c r="D15" s="64"/>
      <c r="E15" s="116">
        <v>650000</v>
      </c>
      <c r="F15" s="284">
        <v>435000</v>
      </c>
      <c r="G15" s="37"/>
    </row>
    <row r="16" spans="1:13" x14ac:dyDescent="0.3">
      <c r="A16" s="16"/>
      <c r="B16" s="285" t="s">
        <v>448</v>
      </c>
      <c r="C16" s="39"/>
      <c r="D16" s="39"/>
      <c r="E16" s="69">
        <v>4.25</v>
      </c>
      <c r="F16" s="65">
        <v>3.75</v>
      </c>
      <c r="G16" s="37"/>
    </row>
    <row r="17" spans="1:7" x14ac:dyDescent="0.3">
      <c r="A17" s="16"/>
      <c r="B17" s="286" t="s">
        <v>449</v>
      </c>
      <c r="C17" s="47"/>
      <c r="D17" s="47"/>
      <c r="E17" s="74">
        <v>8.8000000000000007</v>
      </c>
      <c r="F17" s="48">
        <v>6.55</v>
      </c>
      <c r="G17" s="37"/>
    </row>
    <row r="18" spans="1:7" x14ac:dyDescent="0.3">
      <c r="A18" s="16"/>
      <c r="B18" s="36"/>
      <c r="C18" s="36"/>
      <c r="D18" s="36"/>
      <c r="E18" s="36"/>
      <c r="F18" s="36"/>
      <c r="G18" s="37"/>
    </row>
    <row r="19" spans="1:7" x14ac:dyDescent="0.3">
      <c r="A19" s="63" t="s">
        <v>10</v>
      </c>
      <c r="B19" s="165" t="s">
        <v>473</v>
      </c>
      <c r="C19" s="36"/>
      <c r="D19" s="36"/>
      <c r="E19" s="36"/>
      <c r="F19" s="36"/>
      <c r="G19" s="37"/>
    </row>
    <row r="20" spans="1:7" ht="15" thickBot="1" x14ac:dyDescent="0.35">
      <c r="A20" s="17"/>
      <c r="B20" s="166" t="s">
        <v>474</v>
      </c>
      <c r="C20" s="41"/>
      <c r="D20" s="41"/>
      <c r="E20" s="41"/>
      <c r="F20" s="41"/>
      <c r="G20" s="42"/>
    </row>
  </sheetData>
  <mergeCells count="1">
    <mergeCell ref="F1:G1"/>
  </mergeCells>
  <hyperlinks>
    <hyperlink ref="F1" location="TOC!A1" display="Return to TOC" xr:uid="{892A1F0A-A7F1-4663-B5AA-7EE44FE843F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B5EC9-CF72-49B6-8A8E-3EF97153F3AD}">
  <dimension ref="A1:L23"/>
  <sheetViews>
    <sheetView workbookViewId="0"/>
  </sheetViews>
  <sheetFormatPr defaultRowHeight="14.4" x14ac:dyDescent="0.3"/>
  <cols>
    <col min="1" max="1" width="14" bestFit="1" customWidth="1"/>
    <col min="2" max="2" width="10.5546875" customWidth="1"/>
    <col min="3" max="3" width="9.109375" customWidth="1"/>
    <col min="5" max="5" width="15.33203125" bestFit="1" customWidth="1"/>
    <col min="6" max="6" width="11.88671875" customWidth="1"/>
    <col min="7" max="7" width="9.33203125" customWidth="1"/>
    <col min="8" max="8" width="3.6640625" customWidth="1"/>
    <col min="10" max="10" width="10" bestFit="1" customWidth="1"/>
    <col min="11" max="12" width="11.33203125" bestFit="1" customWidth="1"/>
    <col min="13" max="13" width="10" bestFit="1" customWidth="1"/>
  </cols>
  <sheetData>
    <row r="1" spans="1:12" x14ac:dyDescent="0.3">
      <c r="A1" s="6" t="s">
        <v>4</v>
      </c>
      <c r="B1" s="7" t="s">
        <v>12</v>
      </c>
      <c r="C1" s="7"/>
      <c r="D1" s="8"/>
      <c r="E1" s="8"/>
      <c r="F1" s="490" t="s">
        <v>5</v>
      </c>
      <c r="G1" s="491"/>
      <c r="H1" s="9"/>
      <c r="I1" s="10" t="s">
        <v>6</v>
      </c>
    </row>
    <row r="2" spans="1:12" x14ac:dyDescent="0.3">
      <c r="A2" s="11" t="s">
        <v>7</v>
      </c>
      <c r="B2" s="33" t="s">
        <v>14</v>
      </c>
      <c r="C2" s="33"/>
      <c r="D2" s="33"/>
      <c r="E2" s="33"/>
      <c r="F2" s="33"/>
      <c r="G2" s="12"/>
      <c r="H2" t="s">
        <v>28</v>
      </c>
      <c r="I2" t="s">
        <v>29</v>
      </c>
    </row>
    <row r="3" spans="1:12" x14ac:dyDescent="0.3">
      <c r="A3" s="11" t="s">
        <v>8</v>
      </c>
      <c r="B3" s="33" t="s">
        <v>23</v>
      </c>
      <c r="C3" s="33"/>
      <c r="D3" s="33"/>
      <c r="E3" s="33"/>
      <c r="F3" s="33"/>
      <c r="G3" s="12"/>
    </row>
    <row r="4" spans="1:12" x14ac:dyDescent="0.3">
      <c r="A4" s="13"/>
      <c r="B4" s="34"/>
      <c r="C4" s="34"/>
      <c r="D4" s="34"/>
      <c r="E4" s="34"/>
      <c r="F4" s="34"/>
      <c r="G4" s="14"/>
      <c r="I4" t="s">
        <v>33</v>
      </c>
    </row>
    <row r="5" spans="1:12" x14ac:dyDescent="0.3">
      <c r="A5" s="15" t="s">
        <v>9</v>
      </c>
      <c r="B5" s="33" t="s">
        <v>16</v>
      </c>
      <c r="C5" s="36"/>
      <c r="D5" s="36"/>
      <c r="E5" s="36"/>
      <c r="F5" s="36"/>
      <c r="G5" s="37"/>
      <c r="I5" t="s">
        <v>34</v>
      </c>
    </row>
    <row r="6" spans="1:12" x14ac:dyDescent="0.3">
      <c r="A6" s="16"/>
      <c r="B6" s="36"/>
      <c r="C6" s="36"/>
      <c r="D6" s="36"/>
      <c r="E6" s="36"/>
      <c r="F6" s="36"/>
      <c r="G6" s="37"/>
    </row>
    <row r="7" spans="1:12" x14ac:dyDescent="0.3">
      <c r="A7" s="16"/>
      <c r="B7" s="43"/>
      <c r="C7" s="57" t="s">
        <v>19</v>
      </c>
      <c r="D7" s="58"/>
      <c r="E7" s="45" t="s">
        <v>21</v>
      </c>
      <c r="F7" s="36"/>
      <c r="G7" s="37"/>
      <c r="J7" s="18" t="s">
        <v>17</v>
      </c>
      <c r="K7" s="27" t="s">
        <v>30</v>
      </c>
      <c r="L7" s="20" t="s">
        <v>31</v>
      </c>
    </row>
    <row r="8" spans="1:12" x14ac:dyDescent="0.3">
      <c r="A8" s="16"/>
      <c r="B8" s="46" t="s">
        <v>17</v>
      </c>
      <c r="C8" s="54" t="s">
        <v>20</v>
      </c>
      <c r="D8" s="48" t="s">
        <v>18</v>
      </c>
      <c r="E8" s="48" t="s">
        <v>22</v>
      </c>
      <c r="F8" s="36"/>
      <c r="G8" s="37"/>
      <c r="J8" s="21">
        <v>1</v>
      </c>
      <c r="K8" s="28">
        <f>C9/D9</f>
        <v>0.98421052631578942</v>
      </c>
      <c r="L8" s="22">
        <f>C9/E9</f>
        <v>1.0274725274725274</v>
      </c>
    </row>
    <row r="9" spans="1:12" x14ac:dyDescent="0.3">
      <c r="A9" s="16"/>
      <c r="B9" s="49">
        <v>1</v>
      </c>
      <c r="C9" s="59">
        <v>187000</v>
      </c>
      <c r="D9" s="51">
        <v>190000</v>
      </c>
      <c r="E9" s="51">
        <v>182000</v>
      </c>
      <c r="F9" s="36"/>
      <c r="G9" s="37"/>
      <c r="J9" s="23">
        <v>2</v>
      </c>
      <c r="K9" s="29">
        <f>C10/D10</f>
        <v>1</v>
      </c>
      <c r="L9" s="24">
        <f>C10/E10</f>
        <v>1.0427807486631016</v>
      </c>
    </row>
    <row r="10" spans="1:12" x14ac:dyDescent="0.3">
      <c r="A10" s="16"/>
      <c r="B10" s="52">
        <v>2</v>
      </c>
      <c r="C10" s="60">
        <v>195000</v>
      </c>
      <c r="D10" s="53">
        <v>195000</v>
      </c>
      <c r="E10" s="53">
        <v>187000</v>
      </c>
      <c r="F10" s="36"/>
      <c r="G10" s="37"/>
      <c r="J10" s="23">
        <v>3</v>
      </c>
      <c r="K10" s="29">
        <f>C11/D11</f>
        <v>1.0049999999999999</v>
      </c>
      <c r="L10" s="24">
        <f>C11/E11</f>
        <v>1.0307692307692307</v>
      </c>
    </row>
    <row r="11" spans="1:12" x14ac:dyDescent="0.3">
      <c r="A11" s="16"/>
      <c r="B11" s="52">
        <v>3</v>
      </c>
      <c r="C11" s="60">
        <v>201000</v>
      </c>
      <c r="D11" s="53">
        <v>200000</v>
      </c>
      <c r="E11" s="53">
        <v>195000</v>
      </c>
      <c r="F11" s="36"/>
      <c r="G11" s="37"/>
      <c r="J11" s="23">
        <v>4</v>
      </c>
      <c r="K11" s="29">
        <f>C12/D12</f>
        <v>1.1073170731707318</v>
      </c>
      <c r="L11" s="24">
        <f>C12/E12</f>
        <v>1.0809523809523809</v>
      </c>
    </row>
    <row r="12" spans="1:12" x14ac:dyDescent="0.3">
      <c r="A12" s="16"/>
      <c r="B12" s="52">
        <v>4</v>
      </c>
      <c r="C12" s="60">
        <v>227000</v>
      </c>
      <c r="D12" s="53">
        <v>205000</v>
      </c>
      <c r="E12" s="53">
        <v>210000</v>
      </c>
      <c r="F12" s="36"/>
      <c r="G12" s="37"/>
      <c r="J12" s="25">
        <v>5</v>
      </c>
      <c r="K12" s="30">
        <f>C13/D13</f>
        <v>1.1333333333333333</v>
      </c>
      <c r="L12" s="26">
        <f>C13/E13</f>
        <v>0.93333333333333335</v>
      </c>
    </row>
    <row r="13" spans="1:12" x14ac:dyDescent="0.3">
      <c r="A13" s="16"/>
      <c r="B13" s="54">
        <v>5</v>
      </c>
      <c r="C13" s="61">
        <v>238000</v>
      </c>
      <c r="D13" s="56">
        <v>210000</v>
      </c>
      <c r="E13" s="56">
        <v>255000</v>
      </c>
      <c r="F13" s="36"/>
      <c r="G13" s="37"/>
    </row>
    <row r="14" spans="1:12" x14ac:dyDescent="0.3">
      <c r="A14" s="16"/>
      <c r="B14" s="36"/>
      <c r="C14" s="36"/>
      <c r="D14" s="36"/>
      <c r="E14" s="36"/>
      <c r="F14" s="36"/>
      <c r="G14" s="37"/>
      <c r="I14" t="s">
        <v>35</v>
      </c>
    </row>
    <row r="15" spans="1:12" x14ac:dyDescent="0.3">
      <c r="A15" s="15" t="s">
        <v>10</v>
      </c>
      <c r="B15" s="36" t="s">
        <v>24</v>
      </c>
      <c r="C15" s="36"/>
      <c r="D15" s="36"/>
      <c r="E15" s="36"/>
      <c r="F15" s="36"/>
      <c r="G15" s="37"/>
    </row>
    <row r="16" spans="1:12" x14ac:dyDescent="0.3">
      <c r="A16" s="16"/>
      <c r="B16" s="36"/>
      <c r="C16" s="36"/>
      <c r="D16" s="36"/>
      <c r="E16" s="36"/>
      <c r="F16" s="36"/>
      <c r="G16" s="37"/>
      <c r="I16" t="s">
        <v>36</v>
      </c>
      <c r="K16" s="32">
        <f>_xlfn.VAR.S(K8:K12)</f>
        <v>4.7504574408929068E-3</v>
      </c>
      <c r="L16" s="32">
        <f>_xlfn.VAR.S(L8:L12)</f>
        <v>2.9675532588778475E-3</v>
      </c>
    </row>
    <row r="17" spans="1:12" x14ac:dyDescent="0.3">
      <c r="A17" s="16"/>
      <c r="B17" s="36" t="s">
        <v>25</v>
      </c>
      <c r="C17" s="36"/>
      <c r="D17" s="36"/>
      <c r="E17" s="36"/>
      <c r="F17" s="36"/>
      <c r="G17" s="37"/>
    </row>
    <row r="18" spans="1:12" x14ac:dyDescent="0.3">
      <c r="A18" s="16"/>
      <c r="B18" s="36" t="s">
        <v>26</v>
      </c>
      <c r="C18" s="36"/>
      <c r="D18" s="36"/>
      <c r="E18" s="36"/>
      <c r="F18" s="36"/>
      <c r="G18" s="37"/>
      <c r="I18" t="s">
        <v>37</v>
      </c>
      <c r="L18" s="31">
        <f>L16/K16</f>
        <v>0.62468789496618649</v>
      </c>
    </row>
    <row r="19" spans="1:12" x14ac:dyDescent="0.3">
      <c r="A19" s="16"/>
      <c r="B19" s="36" t="s">
        <v>27</v>
      </c>
      <c r="C19" s="36"/>
      <c r="D19" s="36"/>
      <c r="E19" s="36"/>
      <c r="F19" s="36"/>
      <c r="G19" s="37"/>
    </row>
    <row r="20" spans="1:12" ht="15" thickBot="1" x14ac:dyDescent="0.35">
      <c r="A20" s="17"/>
      <c r="B20" s="41"/>
      <c r="C20" s="41"/>
      <c r="D20" s="41"/>
      <c r="E20" s="41"/>
      <c r="F20" s="41"/>
      <c r="G20" s="42"/>
      <c r="H20" t="s">
        <v>38</v>
      </c>
      <c r="I20" t="s">
        <v>40</v>
      </c>
    </row>
    <row r="21" spans="1:12" x14ac:dyDescent="0.3">
      <c r="I21" t="s">
        <v>39</v>
      </c>
    </row>
    <row r="22" spans="1:12" x14ac:dyDescent="0.3">
      <c r="I22" t="s">
        <v>41</v>
      </c>
    </row>
    <row r="23" spans="1:12" x14ac:dyDescent="0.3">
      <c r="I23" t="s">
        <v>42</v>
      </c>
    </row>
  </sheetData>
  <mergeCells count="1">
    <mergeCell ref="F1:G1"/>
  </mergeCells>
  <hyperlinks>
    <hyperlink ref="F1" location="TOC!A1" display="Return to TOC" xr:uid="{F86FEEA0-D69A-469A-961D-1EC6EB23E8C9}"/>
  </hyperlink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6E4EC-91F2-42B6-917A-9BE25ACC23D4}">
  <dimension ref="A1:O24"/>
  <sheetViews>
    <sheetView workbookViewId="0"/>
  </sheetViews>
  <sheetFormatPr defaultRowHeight="14.4" x14ac:dyDescent="0.3"/>
  <cols>
    <col min="1" max="1" width="14" bestFit="1" customWidth="1"/>
    <col min="8" max="8" width="3.6640625" customWidth="1"/>
    <col min="15" max="15" width="10" bestFit="1" customWidth="1"/>
  </cols>
  <sheetData>
    <row r="1" spans="1:15" x14ac:dyDescent="0.3">
      <c r="A1" s="6" t="s">
        <v>4</v>
      </c>
      <c r="B1" s="7" t="s">
        <v>770</v>
      </c>
      <c r="C1" s="7"/>
      <c r="D1" s="8"/>
      <c r="E1" s="8"/>
      <c r="F1" s="490" t="s">
        <v>5</v>
      </c>
      <c r="G1" s="491"/>
      <c r="I1" s="10" t="s">
        <v>6</v>
      </c>
    </row>
    <row r="2" spans="1:15" x14ac:dyDescent="0.3">
      <c r="A2" s="11" t="s">
        <v>7</v>
      </c>
      <c r="B2" s="33" t="s">
        <v>771</v>
      </c>
      <c r="C2" s="33"/>
      <c r="D2" s="33"/>
      <c r="E2" s="33"/>
      <c r="F2" s="33"/>
      <c r="G2" s="12"/>
      <c r="H2" t="s">
        <v>28</v>
      </c>
      <c r="I2" t="s">
        <v>396</v>
      </c>
      <c r="J2" s="313">
        <f>SUM(C13:F17)/COUNT(B13:B17)</f>
        <v>403000</v>
      </c>
      <c r="K2" s="101" t="s">
        <v>786</v>
      </c>
    </row>
    <row r="3" spans="1:15" x14ac:dyDescent="0.3">
      <c r="A3" s="11" t="s">
        <v>8</v>
      </c>
      <c r="B3" s="33" t="s">
        <v>785</v>
      </c>
      <c r="C3" s="33"/>
      <c r="D3" s="33"/>
      <c r="E3" s="33"/>
      <c r="F3" s="33"/>
      <c r="G3" s="12"/>
      <c r="H3" s="185"/>
      <c r="I3" s="270"/>
    </row>
    <row r="4" spans="1:15" x14ac:dyDescent="0.3">
      <c r="A4" s="13"/>
      <c r="B4" s="34"/>
      <c r="C4" s="34"/>
      <c r="D4" s="34"/>
      <c r="E4" s="34"/>
      <c r="F4" s="34"/>
      <c r="G4" s="14"/>
      <c r="H4" s="185"/>
      <c r="I4" s="96"/>
      <c r="J4" s="339" t="s">
        <v>787</v>
      </c>
      <c r="K4" s="339"/>
      <c r="L4" s="339"/>
      <c r="M4" s="339"/>
      <c r="N4" s="96"/>
      <c r="O4" s="89" t="s">
        <v>790</v>
      </c>
    </row>
    <row r="5" spans="1:15" x14ac:dyDescent="0.3">
      <c r="A5" s="15" t="s">
        <v>9</v>
      </c>
      <c r="B5" s="33" t="s">
        <v>772</v>
      </c>
      <c r="C5" s="36"/>
      <c r="D5" s="36"/>
      <c r="E5" s="36"/>
      <c r="F5" s="36"/>
      <c r="G5" s="37"/>
      <c r="H5" s="185"/>
      <c r="I5" s="90" t="s">
        <v>341</v>
      </c>
      <c r="J5" s="19" t="s">
        <v>776</v>
      </c>
      <c r="K5" s="19" t="s">
        <v>777</v>
      </c>
      <c r="L5" s="19" t="s">
        <v>778</v>
      </c>
      <c r="M5" s="19" t="s">
        <v>779</v>
      </c>
      <c r="N5" s="90" t="s">
        <v>151</v>
      </c>
      <c r="O5" s="90" t="s">
        <v>789</v>
      </c>
    </row>
    <row r="6" spans="1:15" x14ac:dyDescent="0.3">
      <c r="A6" s="16"/>
      <c r="B6" s="33" t="s">
        <v>773</v>
      </c>
      <c r="C6" s="36"/>
      <c r="D6" s="36"/>
      <c r="E6" s="36"/>
      <c r="F6" s="36"/>
      <c r="G6" s="37"/>
      <c r="I6" s="89">
        <v>1</v>
      </c>
      <c r="J6" s="35">
        <f>MIN(C13,$B$22)</f>
        <v>70000</v>
      </c>
      <c r="K6" s="35">
        <f>MIN(D13,$B$22)</f>
        <v>80000</v>
      </c>
      <c r="L6" s="35"/>
      <c r="M6" s="35"/>
      <c r="N6" s="91">
        <f>SUM(J6:M6)</f>
        <v>150000</v>
      </c>
      <c r="O6" s="84">
        <f>MIN(N6,$B$23)</f>
        <v>150000</v>
      </c>
    </row>
    <row r="7" spans="1:15" x14ac:dyDescent="0.3">
      <c r="A7" s="16"/>
      <c r="B7" s="33" t="s">
        <v>774</v>
      </c>
      <c r="C7" s="36"/>
      <c r="D7" s="36"/>
      <c r="E7" s="36"/>
      <c r="F7" s="36"/>
      <c r="G7" s="37"/>
      <c r="I7" s="97">
        <v>2</v>
      </c>
      <c r="J7" s="35">
        <f>MIN(C14,$B$22)</f>
        <v>150000</v>
      </c>
      <c r="K7" s="35">
        <f>MIN(D14,$B$22)</f>
        <v>150000</v>
      </c>
      <c r="L7" s="35">
        <f>MIN(E14,$B$22)</f>
        <v>150000</v>
      </c>
      <c r="M7" s="35"/>
      <c r="N7" s="91">
        <f t="shared" ref="N7:N10" si="0">SUM(J7:M7)</f>
        <v>450000</v>
      </c>
      <c r="O7" s="84">
        <f t="shared" ref="O7:O10" si="1">MIN(N7,$B$23)</f>
        <v>450000</v>
      </c>
    </row>
    <row r="8" spans="1:15" x14ac:dyDescent="0.3">
      <c r="A8" s="16"/>
      <c r="B8" s="33" t="s">
        <v>775</v>
      </c>
      <c r="C8" s="36"/>
      <c r="D8" s="36"/>
      <c r="E8" s="36"/>
      <c r="F8" s="36"/>
      <c r="G8" s="37"/>
      <c r="I8" s="97">
        <v>3</v>
      </c>
      <c r="J8" s="35">
        <f>MIN(C15,$B$22)</f>
        <v>150000</v>
      </c>
      <c r="K8" s="35"/>
      <c r="L8" s="35"/>
      <c r="M8" s="35"/>
      <c r="N8" s="91">
        <f t="shared" si="0"/>
        <v>150000</v>
      </c>
      <c r="O8" s="84">
        <f t="shared" si="1"/>
        <v>150000</v>
      </c>
    </row>
    <row r="9" spans="1:15" x14ac:dyDescent="0.3">
      <c r="A9" s="16"/>
      <c r="B9" s="36"/>
      <c r="C9" s="36"/>
      <c r="D9" s="36"/>
      <c r="E9" s="36"/>
      <c r="F9" s="36"/>
      <c r="G9" s="37"/>
      <c r="I9" s="97">
        <v>4</v>
      </c>
      <c r="J9" s="35">
        <f>MIN(C16,$B$22)</f>
        <v>150000</v>
      </c>
      <c r="K9" s="35">
        <f>MIN(D16,$B$22)</f>
        <v>150000</v>
      </c>
      <c r="L9" s="35">
        <f>MIN(E16,$B$22)</f>
        <v>150000</v>
      </c>
      <c r="M9" s="35">
        <f>MIN(F16,$B$22)</f>
        <v>150000</v>
      </c>
      <c r="N9" s="91">
        <f t="shared" si="0"/>
        <v>600000</v>
      </c>
      <c r="O9" s="84">
        <f t="shared" si="1"/>
        <v>450000</v>
      </c>
    </row>
    <row r="10" spans="1:15" x14ac:dyDescent="0.3">
      <c r="A10" s="16"/>
      <c r="B10" s="39"/>
      <c r="C10" s="338" t="s">
        <v>791</v>
      </c>
      <c r="D10" s="338"/>
      <c r="E10" s="38"/>
      <c r="F10" s="38"/>
      <c r="G10" s="37"/>
      <c r="I10" s="90">
        <v>5</v>
      </c>
      <c r="J10" s="35">
        <f>MIN(C17,$B$22)</f>
        <v>150000</v>
      </c>
      <c r="K10" s="35"/>
      <c r="L10" s="35"/>
      <c r="M10" s="35"/>
      <c r="N10" s="91">
        <f t="shared" si="0"/>
        <v>150000</v>
      </c>
      <c r="O10" s="84">
        <f t="shared" si="1"/>
        <v>150000</v>
      </c>
    </row>
    <row r="11" spans="1:15" x14ac:dyDescent="0.3">
      <c r="A11" s="16"/>
      <c r="B11" s="39"/>
      <c r="C11" s="338" t="s">
        <v>780</v>
      </c>
      <c r="D11" s="338"/>
      <c r="E11" s="38"/>
      <c r="F11" s="38"/>
      <c r="G11" s="37"/>
      <c r="I11" s="18" t="s">
        <v>151</v>
      </c>
      <c r="J11" s="19"/>
      <c r="K11" s="19"/>
      <c r="L11" s="19"/>
      <c r="M11" s="20"/>
      <c r="N11" s="340">
        <f>SUM(N6:N10)</f>
        <v>1500000</v>
      </c>
      <c r="O11" s="341">
        <f>SUM(O6:O10)</f>
        <v>1350000</v>
      </c>
    </row>
    <row r="12" spans="1:15" x14ac:dyDescent="0.3">
      <c r="A12" s="16"/>
      <c r="B12" s="114" t="s">
        <v>341</v>
      </c>
      <c r="C12" s="217" t="s">
        <v>776</v>
      </c>
      <c r="D12" s="217" t="s">
        <v>777</v>
      </c>
      <c r="E12" s="217" t="s">
        <v>778</v>
      </c>
      <c r="F12" s="115" t="s">
        <v>779</v>
      </c>
      <c r="G12" s="37"/>
    </row>
    <row r="13" spans="1:15" x14ac:dyDescent="0.3">
      <c r="A13" s="16"/>
      <c r="B13" s="68">
        <v>1</v>
      </c>
      <c r="C13" s="59">
        <v>70000</v>
      </c>
      <c r="D13" s="50">
        <v>80000</v>
      </c>
      <c r="E13" s="50"/>
      <c r="F13" s="51"/>
      <c r="G13" s="37"/>
      <c r="I13" t="s">
        <v>404</v>
      </c>
      <c r="J13" s="313">
        <f>SUM(J6:M10)/COUNT(I6:I10)</f>
        <v>300000</v>
      </c>
      <c r="K13" s="101" t="s">
        <v>788</v>
      </c>
    </row>
    <row r="14" spans="1:15" x14ac:dyDescent="0.3">
      <c r="A14" s="16"/>
      <c r="B14" s="69">
        <v>2</v>
      </c>
      <c r="C14" s="60">
        <v>165000</v>
      </c>
      <c r="D14" s="40">
        <v>300000</v>
      </c>
      <c r="E14" s="40">
        <v>250000</v>
      </c>
      <c r="F14" s="53"/>
      <c r="G14" s="37"/>
    </row>
    <row r="15" spans="1:15" x14ac:dyDescent="0.3">
      <c r="A15" s="16"/>
      <c r="B15" s="69">
        <v>3</v>
      </c>
      <c r="C15" s="60">
        <v>150000</v>
      </c>
      <c r="D15" s="40"/>
      <c r="E15" s="40"/>
      <c r="F15" s="53"/>
      <c r="G15" s="37"/>
      <c r="I15" t="s">
        <v>793</v>
      </c>
    </row>
    <row r="16" spans="1:15" x14ac:dyDescent="0.3">
      <c r="A16" s="16"/>
      <c r="B16" s="69">
        <v>4</v>
      </c>
      <c r="C16" s="60">
        <v>150000</v>
      </c>
      <c r="D16" s="40">
        <v>250000</v>
      </c>
      <c r="E16" s="40">
        <v>200000</v>
      </c>
      <c r="F16" s="53">
        <v>150000</v>
      </c>
      <c r="G16" s="37"/>
      <c r="I16" s="313">
        <f>J2-J13</f>
        <v>103000</v>
      </c>
    </row>
    <row r="17" spans="1:9" x14ac:dyDescent="0.3">
      <c r="A17" s="16"/>
      <c r="B17" s="70">
        <v>5</v>
      </c>
      <c r="C17" s="61">
        <v>250000</v>
      </c>
      <c r="D17" s="55"/>
      <c r="E17" s="55"/>
      <c r="F17" s="56"/>
      <c r="G17" s="37"/>
    </row>
    <row r="18" spans="1:9" x14ac:dyDescent="0.3">
      <c r="A18" s="16"/>
      <c r="B18" s="36"/>
      <c r="C18" s="36"/>
      <c r="D18" s="36"/>
      <c r="E18" s="36"/>
      <c r="F18" s="36"/>
      <c r="G18" s="37"/>
      <c r="I18" t="s">
        <v>792</v>
      </c>
    </row>
    <row r="19" spans="1:9" x14ac:dyDescent="0.3">
      <c r="A19" s="63" t="s">
        <v>10</v>
      </c>
      <c r="B19" s="36" t="s">
        <v>781</v>
      </c>
      <c r="C19" s="36"/>
      <c r="D19" s="36"/>
      <c r="E19" s="36"/>
      <c r="F19" s="36"/>
      <c r="G19" s="37"/>
      <c r="I19" s="313">
        <f>(N11-O11)/COUNT(I6:I10)</f>
        <v>30000</v>
      </c>
    </row>
    <row r="20" spans="1:9" x14ac:dyDescent="0.3">
      <c r="A20" s="16"/>
      <c r="B20" s="36" t="s">
        <v>782</v>
      </c>
      <c r="C20" s="36"/>
      <c r="D20" s="36"/>
      <c r="E20" s="36"/>
      <c r="F20" s="36"/>
      <c r="G20" s="37"/>
    </row>
    <row r="21" spans="1:9" x14ac:dyDescent="0.3">
      <c r="A21" s="16"/>
      <c r="B21" s="36"/>
      <c r="C21" s="36"/>
      <c r="D21" s="36"/>
      <c r="E21" s="36"/>
      <c r="F21" s="36"/>
      <c r="G21" s="37"/>
      <c r="I21" t="s">
        <v>794</v>
      </c>
    </row>
    <row r="22" spans="1:9" x14ac:dyDescent="0.3">
      <c r="A22" s="16"/>
      <c r="B22" s="336">
        <v>150000</v>
      </c>
      <c r="C22" s="43" t="s">
        <v>783</v>
      </c>
      <c r="D22" s="117"/>
      <c r="E22" s="118"/>
      <c r="F22" s="36"/>
      <c r="G22" s="37"/>
      <c r="I22" s="342">
        <f>I16+I19</f>
        <v>133000</v>
      </c>
    </row>
    <row r="23" spans="1:9" x14ac:dyDescent="0.3">
      <c r="A23" s="16"/>
      <c r="B23" s="337">
        <v>450000</v>
      </c>
      <c r="C23" s="268" t="s">
        <v>784</v>
      </c>
      <c r="D23" s="120"/>
      <c r="E23" s="121"/>
      <c r="F23" s="36"/>
      <c r="G23" s="37"/>
    </row>
    <row r="24" spans="1:9" ht="15" thickBot="1" x14ac:dyDescent="0.35">
      <c r="A24" s="17"/>
      <c r="B24" s="41"/>
      <c r="C24" s="41"/>
      <c r="D24" s="41"/>
      <c r="E24" s="41"/>
      <c r="F24" s="41"/>
      <c r="G24" s="42"/>
    </row>
  </sheetData>
  <mergeCells count="1">
    <mergeCell ref="F1:G1"/>
  </mergeCells>
  <hyperlinks>
    <hyperlink ref="F1" location="TOC!A1" display="Return to TOC" xr:uid="{3610071F-8CCD-4BC8-A6A8-6CFD0358C506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E919A-D8EF-4A64-A0C5-FCAAE9AB7FFD}">
  <dimension ref="A1:M29"/>
  <sheetViews>
    <sheetView workbookViewId="0"/>
  </sheetViews>
  <sheetFormatPr defaultRowHeight="14.4" x14ac:dyDescent="0.3"/>
  <cols>
    <col min="1" max="1" width="14" bestFit="1" customWidth="1"/>
    <col min="8" max="8" width="3.6640625" customWidth="1"/>
  </cols>
  <sheetData>
    <row r="1" spans="1:13" x14ac:dyDescent="0.3">
      <c r="A1" s="6" t="s">
        <v>4</v>
      </c>
      <c r="B1" s="7" t="s">
        <v>524</v>
      </c>
      <c r="C1" s="7"/>
      <c r="D1" s="8"/>
      <c r="E1" s="8"/>
      <c r="F1" s="490" t="s">
        <v>5</v>
      </c>
      <c r="G1" s="491"/>
      <c r="I1" s="10" t="s">
        <v>6</v>
      </c>
    </row>
    <row r="2" spans="1:13" x14ac:dyDescent="0.3">
      <c r="A2" s="11" t="s">
        <v>7</v>
      </c>
      <c r="B2" s="33" t="s">
        <v>525</v>
      </c>
      <c r="C2" s="33"/>
      <c r="D2" s="33"/>
      <c r="E2" s="33"/>
      <c r="F2" s="33"/>
      <c r="G2" s="12"/>
      <c r="H2" t="s">
        <v>28</v>
      </c>
      <c r="I2" t="s">
        <v>534</v>
      </c>
    </row>
    <row r="3" spans="1:13" x14ac:dyDescent="0.3">
      <c r="A3" s="11" t="s">
        <v>8</v>
      </c>
      <c r="B3" s="33" t="s">
        <v>526</v>
      </c>
      <c r="C3" s="33"/>
      <c r="D3" s="33"/>
      <c r="E3" s="33"/>
      <c r="F3" s="33"/>
      <c r="G3" s="12"/>
      <c r="H3" s="185"/>
      <c r="I3" t="s">
        <v>535</v>
      </c>
    </row>
    <row r="4" spans="1:13" x14ac:dyDescent="0.3">
      <c r="A4" s="13"/>
      <c r="B4" s="34"/>
      <c r="C4" s="34"/>
      <c r="D4" s="34"/>
      <c r="E4" s="34"/>
      <c r="F4" s="34"/>
      <c r="G4" s="14"/>
      <c r="H4" s="185"/>
    </row>
    <row r="5" spans="1:13" x14ac:dyDescent="0.3">
      <c r="A5" s="15" t="s">
        <v>9</v>
      </c>
      <c r="B5" s="33" t="s">
        <v>527</v>
      </c>
      <c r="C5" s="36"/>
      <c r="D5" s="36"/>
      <c r="E5" s="36"/>
      <c r="F5" s="36"/>
      <c r="G5" s="37"/>
      <c r="H5" s="185"/>
      <c r="I5" t="s">
        <v>396</v>
      </c>
      <c r="K5" s="298">
        <v>0.8</v>
      </c>
    </row>
    <row r="6" spans="1:13" x14ac:dyDescent="0.3">
      <c r="A6" s="16"/>
      <c r="B6" s="33" t="s">
        <v>528</v>
      </c>
      <c r="C6" s="36"/>
      <c r="D6" s="36"/>
      <c r="E6" s="36"/>
      <c r="F6" s="36"/>
      <c r="G6" s="37"/>
      <c r="I6" t="s">
        <v>533</v>
      </c>
      <c r="K6">
        <v>1.125</v>
      </c>
    </row>
    <row r="7" spans="1:13" x14ac:dyDescent="0.3">
      <c r="A7" s="16"/>
      <c r="B7" s="36"/>
      <c r="C7" s="36"/>
      <c r="D7" s="36"/>
      <c r="E7" s="36"/>
      <c r="F7" s="36"/>
      <c r="G7" s="37"/>
    </row>
    <row r="8" spans="1:13" x14ac:dyDescent="0.3">
      <c r="A8" s="16"/>
      <c r="B8" s="36"/>
      <c r="C8" s="36"/>
      <c r="D8" s="36"/>
      <c r="E8" s="36"/>
      <c r="F8" s="36"/>
      <c r="G8" s="37"/>
      <c r="I8" t="s">
        <v>536</v>
      </c>
      <c r="K8" s="299">
        <f>K5*K6</f>
        <v>0.9</v>
      </c>
    </row>
    <row r="9" spans="1:13" x14ac:dyDescent="0.3">
      <c r="A9" s="16"/>
      <c r="B9" s="36"/>
      <c r="C9" s="36"/>
      <c r="D9" s="36"/>
      <c r="E9" s="36"/>
      <c r="F9" s="36"/>
      <c r="G9" s="37"/>
    </row>
    <row r="10" spans="1:13" x14ac:dyDescent="0.3">
      <c r="A10" s="16"/>
      <c r="B10" s="36"/>
      <c r="C10" s="36"/>
      <c r="D10" s="36"/>
      <c r="E10" s="36"/>
      <c r="F10" s="36"/>
      <c r="G10" s="37"/>
      <c r="I10" t="s">
        <v>537</v>
      </c>
      <c r="K10" s="300">
        <f>5%*(40%-20%)+20%*(60%-40%)+55%*(80%-60%)+70%*(90%-80%)</f>
        <v>0.23</v>
      </c>
    </row>
    <row r="11" spans="1:13" x14ac:dyDescent="0.3">
      <c r="A11" s="16"/>
      <c r="B11" s="36"/>
      <c r="C11" s="36"/>
      <c r="D11" s="36"/>
      <c r="E11" s="36"/>
      <c r="F11" s="36"/>
      <c r="G11" s="37"/>
    </row>
    <row r="12" spans="1:13" x14ac:dyDescent="0.3">
      <c r="A12" s="16"/>
      <c r="B12" s="36"/>
      <c r="C12" s="36"/>
      <c r="D12" s="36"/>
      <c r="E12" s="36"/>
      <c r="F12" s="36"/>
      <c r="G12" s="37"/>
      <c r="I12" t="s">
        <v>538</v>
      </c>
    </row>
    <row r="13" spans="1:13" x14ac:dyDescent="0.3">
      <c r="A13" s="16"/>
      <c r="B13" s="36"/>
      <c r="C13" s="36"/>
      <c r="D13" s="36"/>
      <c r="E13" s="36"/>
      <c r="F13" s="36"/>
      <c r="G13" s="37"/>
      <c r="I13" t="s">
        <v>539</v>
      </c>
      <c r="M13" s="31">
        <f>K10/K5</f>
        <v>0.28749999999999998</v>
      </c>
    </row>
    <row r="14" spans="1:13" x14ac:dyDescent="0.3">
      <c r="A14" s="16"/>
      <c r="B14" s="36"/>
      <c r="C14" s="36"/>
      <c r="D14" s="36"/>
      <c r="E14" s="36"/>
      <c r="F14" s="36"/>
      <c r="G14" s="37"/>
    </row>
    <row r="15" spans="1:13" x14ac:dyDescent="0.3">
      <c r="A15" s="16"/>
      <c r="B15" s="36"/>
      <c r="C15" s="36"/>
      <c r="D15" s="36"/>
      <c r="E15" s="36"/>
      <c r="F15" s="36"/>
      <c r="G15" s="37"/>
      <c r="H15" t="s">
        <v>38</v>
      </c>
      <c r="I15" t="s">
        <v>540</v>
      </c>
    </row>
    <row r="16" spans="1:13" x14ac:dyDescent="0.3">
      <c r="A16" s="16"/>
      <c r="B16" s="36"/>
      <c r="C16" s="36"/>
      <c r="D16" s="36"/>
      <c r="E16" s="36"/>
      <c r="F16" s="36"/>
      <c r="G16" s="37"/>
      <c r="I16" t="s">
        <v>541</v>
      </c>
    </row>
    <row r="17" spans="1:7" x14ac:dyDescent="0.3">
      <c r="A17" s="16"/>
      <c r="B17" s="36"/>
      <c r="C17" s="36"/>
      <c r="D17" s="36"/>
      <c r="E17" s="36"/>
      <c r="F17" s="36"/>
      <c r="G17" s="37"/>
    </row>
    <row r="18" spans="1:7" x14ac:dyDescent="0.3">
      <c r="A18" s="16"/>
      <c r="B18" s="36"/>
      <c r="C18" s="36"/>
      <c r="D18" s="36"/>
      <c r="E18" s="36"/>
      <c r="F18" s="36"/>
      <c r="G18" s="37"/>
    </row>
    <row r="19" spans="1:7" x14ac:dyDescent="0.3">
      <c r="A19" s="16"/>
      <c r="B19" s="36"/>
      <c r="C19" s="36"/>
      <c r="D19" s="36"/>
      <c r="E19" s="36"/>
      <c r="F19" s="36"/>
      <c r="G19" s="37"/>
    </row>
    <row r="20" spans="1:7" x14ac:dyDescent="0.3">
      <c r="A20" s="16"/>
      <c r="B20" s="36"/>
      <c r="C20" s="36"/>
      <c r="D20" s="36"/>
      <c r="E20" s="36"/>
      <c r="F20" s="36"/>
      <c r="G20" s="37"/>
    </row>
    <row r="21" spans="1:7" x14ac:dyDescent="0.3">
      <c r="A21" s="16"/>
      <c r="B21" s="36"/>
      <c r="C21" s="36"/>
      <c r="D21" s="36"/>
      <c r="E21" s="36"/>
      <c r="F21" s="36"/>
      <c r="G21" s="37"/>
    </row>
    <row r="22" spans="1:7" x14ac:dyDescent="0.3">
      <c r="A22" s="16"/>
      <c r="B22" s="36"/>
      <c r="C22" s="36"/>
      <c r="D22" s="36"/>
      <c r="E22" s="36"/>
      <c r="F22" s="36"/>
      <c r="G22" s="37"/>
    </row>
    <row r="23" spans="1:7" x14ac:dyDescent="0.3">
      <c r="A23" s="16"/>
      <c r="B23" s="36"/>
      <c r="C23" s="36"/>
      <c r="D23" s="36"/>
      <c r="E23" s="36"/>
      <c r="F23" s="36"/>
      <c r="G23" s="37"/>
    </row>
    <row r="24" spans="1:7" x14ac:dyDescent="0.3">
      <c r="A24" s="16"/>
      <c r="B24" s="36"/>
      <c r="C24" s="36"/>
      <c r="D24" s="36"/>
      <c r="E24" s="36"/>
      <c r="F24" s="36"/>
      <c r="G24" s="37"/>
    </row>
    <row r="25" spans="1:7" x14ac:dyDescent="0.3">
      <c r="A25" s="63" t="s">
        <v>10</v>
      </c>
      <c r="B25" s="36" t="s">
        <v>529</v>
      </c>
      <c r="C25" s="36"/>
      <c r="D25" s="36"/>
      <c r="E25" s="36"/>
      <c r="F25" s="36"/>
      <c r="G25" s="37"/>
    </row>
    <row r="26" spans="1:7" x14ac:dyDescent="0.3">
      <c r="A26" s="16"/>
      <c r="B26" s="36"/>
      <c r="C26" s="36"/>
      <c r="D26" s="36"/>
      <c r="E26" s="36"/>
      <c r="F26" s="36"/>
      <c r="G26" s="37"/>
    </row>
    <row r="27" spans="1:7" x14ac:dyDescent="0.3">
      <c r="A27" s="16"/>
      <c r="B27" s="36" t="s">
        <v>530</v>
      </c>
      <c r="C27" s="36"/>
      <c r="D27" s="36"/>
      <c r="E27" s="36"/>
      <c r="F27" s="36"/>
      <c r="G27" s="37"/>
    </row>
    <row r="28" spans="1:7" x14ac:dyDescent="0.3">
      <c r="A28" s="16"/>
      <c r="B28" s="36" t="s">
        <v>531</v>
      </c>
      <c r="C28" s="36"/>
      <c r="D28" s="36"/>
      <c r="E28" s="36"/>
      <c r="F28" s="36"/>
      <c r="G28" s="37"/>
    </row>
    <row r="29" spans="1:7" ht="15" thickBot="1" x14ac:dyDescent="0.35">
      <c r="A29" s="17"/>
      <c r="B29" s="41" t="s">
        <v>532</v>
      </c>
      <c r="C29" s="41"/>
      <c r="D29" s="41"/>
      <c r="E29" s="41"/>
      <c r="F29" s="41"/>
      <c r="G29" s="42"/>
    </row>
  </sheetData>
  <mergeCells count="1">
    <mergeCell ref="F1:G1"/>
  </mergeCells>
  <hyperlinks>
    <hyperlink ref="F1" location="TOC!A1" display="Return to TOC" xr:uid="{97878FF8-1EEE-4209-96BA-F82CB5E60ABB}"/>
  </hyperlink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DCAE9-D91C-4809-8A8A-05336681A60C}">
  <dimension ref="A1:N25"/>
  <sheetViews>
    <sheetView workbookViewId="0"/>
  </sheetViews>
  <sheetFormatPr defaultRowHeight="14.4" x14ac:dyDescent="0.3"/>
  <cols>
    <col min="1" max="1" width="14" bestFit="1" customWidth="1"/>
    <col min="2" max="2" width="10.88671875" bestFit="1" customWidth="1"/>
    <col min="3" max="6" width="9.6640625" customWidth="1"/>
    <col min="9" max="9" width="3.6640625" customWidth="1"/>
    <col min="11" max="11" width="11.88671875" bestFit="1" customWidth="1"/>
    <col min="13" max="13" width="9.109375" customWidth="1"/>
    <col min="14" max="14" width="13.5546875" bestFit="1" customWidth="1"/>
  </cols>
  <sheetData>
    <row r="1" spans="1:14" x14ac:dyDescent="0.3">
      <c r="A1" s="6" t="s">
        <v>4</v>
      </c>
      <c r="B1" s="7" t="s">
        <v>524</v>
      </c>
      <c r="C1" s="7"/>
      <c r="D1" s="8"/>
      <c r="E1" s="8"/>
      <c r="F1" s="8"/>
      <c r="G1" s="490" t="s">
        <v>5</v>
      </c>
      <c r="H1" s="491"/>
      <c r="J1" s="10" t="s">
        <v>6</v>
      </c>
    </row>
    <row r="2" spans="1:14" x14ac:dyDescent="0.3">
      <c r="A2" s="11" t="s">
        <v>7</v>
      </c>
      <c r="B2" s="33" t="s">
        <v>542</v>
      </c>
      <c r="C2" s="33"/>
      <c r="D2" s="33"/>
      <c r="E2" s="33"/>
      <c r="F2" s="33"/>
      <c r="G2" s="33"/>
      <c r="H2" s="12"/>
      <c r="I2" t="s">
        <v>28</v>
      </c>
      <c r="J2" t="s">
        <v>559</v>
      </c>
    </row>
    <row r="3" spans="1:14" x14ac:dyDescent="0.3">
      <c r="A3" s="11" t="s">
        <v>8</v>
      </c>
      <c r="B3" s="33" t="s">
        <v>543</v>
      </c>
      <c r="C3" s="33"/>
      <c r="D3" s="33"/>
      <c r="E3" s="33"/>
      <c r="F3" s="33"/>
      <c r="G3" s="33"/>
      <c r="H3" s="12"/>
      <c r="I3" s="185"/>
      <c r="J3" t="s">
        <v>560</v>
      </c>
    </row>
    <row r="4" spans="1:14" x14ac:dyDescent="0.3">
      <c r="A4" s="13"/>
      <c r="B4" s="34"/>
      <c r="C4" s="34"/>
      <c r="D4" s="34"/>
      <c r="E4" s="34"/>
      <c r="F4" s="34"/>
      <c r="G4" s="34"/>
      <c r="H4" s="14"/>
      <c r="I4" s="185"/>
    </row>
    <row r="5" spans="1:14" x14ac:dyDescent="0.3">
      <c r="A5" s="15" t="s">
        <v>9</v>
      </c>
      <c r="B5" s="33" t="s">
        <v>544</v>
      </c>
      <c r="C5" s="36"/>
      <c r="D5" s="36"/>
      <c r="E5" s="36"/>
      <c r="F5" s="36"/>
      <c r="G5" s="36"/>
      <c r="H5" s="37"/>
      <c r="I5" s="185"/>
      <c r="J5" t="s">
        <v>561</v>
      </c>
      <c r="L5" s="101" t="s">
        <v>564</v>
      </c>
    </row>
    <row r="6" spans="1:14" x14ac:dyDescent="0.3">
      <c r="A6" s="16"/>
      <c r="B6" s="33" t="s">
        <v>545</v>
      </c>
      <c r="C6" s="36"/>
      <c r="D6" s="36"/>
      <c r="E6" s="36"/>
      <c r="F6" s="36"/>
      <c r="G6" s="36"/>
      <c r="H6" s="37"/>
      <c r="J6" t="s">
        <v>562</v>
      </c>
    </row>
    <row r="7" spans="1:14" x14ac:dyDescent="0.3">
      <c r="A7" s="16"/>
      <c r="B7" s="33" t="s">
        <v>546</v>
      </c>
      <c r="C7" s="36"/>
      <c r="D7" s="36"/>
      <c r="E7" s="36"/>
      <c r="F7" s="36"/>
      <c r="G7" s="36"/>
      <c r="H7" s="37"/>
      <c r="J7" t="s">
        <v>563</v>
      </c>
      <c r="N7" s="270">
        <f>B18 -(B16-1)*B12+B16*B19</f>
        <v>369999.99999999988</v>
      </c>
    </row>
    <row r="8" spans="1:14" x14ac:dyDescent="0.3">
      <c r="A8" s="16"/>
      <c r="B8" s="36"/>
      <c r="C8" s="36"/>
      <c r="D8" s="36"/>
      <c r="E8" s="36"/>
      <c r="F8" s="36"/>
      <c r="G8" s="36"/>
      <c r="H8" s="37"/>
    </row>
    <row r="9" spans="1:14" x14ac:dyDescent="0.3">
      <c r="A9" s="16"/>
      <c r="B9" s="116">
        <v>2000000</v>
      </c>
      <c r="C9" s="43" t="s">
        <v>547</v>
      </c>
      <c r="D9" s="117"/>
      <c r="E9" s="117"/>
      <c r="F9" s="117"/>
      <c r="G9" s="118"/>
      <c r="H9" s="37"/>
      <c r="J9" t="s">
        <v>565</v>
      </c>
      <c r="N9" s="270">
        <f>B15*B9*B16</f>
        <v>330000</v>
      </c>
    </row>
    <row r="10" spans="1:14" x14ac:dyDescent="0.3">
      <c r="A10" s="16"/>
      <c r="B10" s="71">
        <v>1000000</v>
      </c>
      <c r="C10" s="267" t="s">
        <v>548</v>
      </c>
      <c r="D10" s="36"/>
      <c r="E10" s="36"/>
      <c r="F10" s="36"/>
      <c r="G10" s="119"/>
      <c r="H10" s="37"/>
    </row>
    <row r="11" spans="1:14" x14ac:dyDescent="0.3">
      <c r="A11" s="16"/>
      <c r="B11" s="71">
        <v>3000000</v>
      </c>
      <c r="C11" s="267" t="s">
        <v>549</v>
      </c>
      <c r="D11" s="36"/>
      <c r="E11" s="36"/>
      <c r="F11" s="36"/>
      <c r="G11" s="119"/>
      <c r="H11" s="37"/>
      <c r="J11" t="s">
        <v>566</v>
      </c>
      <c r="N11" s="270">
        <f>B16*B14</f>
        <v>1650000.0000000002</v>
      </c>
    </row>
    <row r="12" spans="1:14" x14ac:dyDescent="0.3">
      <c r="A12" s="16"/>
      <c r="B12" s="71">
        <v>1400000</v>
      </c>
      <c r="C12" s="267" t="s">
        <v>22</v>
      </c>
      <c r="D12" s="36"/>
      <c r="E12" s="36"/>
      <c r="F12" s="36"/>
      <c r="G12" s="119"/>
      <c r="H12" s="37"/>
    </row>
    <row r="13" spans="1:14" x14ac:dyDescent="0.3">
      <c r="A13" s="16"/>
      <c r="B13" s="71">
        <v>1700000</v>
      </c>
      <c r="C13" s="267" t="s">
        <v>550</v>
      </c>
      <c r="D13" s="36"/>
      <c r="E13" s="36"/>
      <c r="F13" s="36"/>
      <c r="G13" s="119"/>
      <c r="H13" s="37"/>
      <c r="J13" t="s">
        <v>567</v>
      </c>
      <c r="N13" s="270">
        <f>B17*B9</f>
        <v>140000</v>
      </c>
    </row>
    <row r="14" spans="1:14" x14ac:dyDescent="0.3">
      <c r="A14" s="16"/>
      <c r="B14" s="71">
        <v>1500000</v>
      </c>
      <c r="C14" s="267" t="s">
        <v>551</v>
      </c>
      <c r="D14" s="36"/>
      <c r="E14" s="36"/>
      <c r="F14" s="36"/>
      <c r="G14" s="119"/>
      <c r="H14" s="37"/>
    </row>
    <row r="15" spans="1:14" x14ac:dyDescent="0.3">
      <c r="A15" s="16"/>
      <c r="B15" s="73">
        <v>0.15</v>
      </c>
      <c r="C15" s="267" t="s">
        <v>552</v>
      </c>
      <c r="D15" s="36"/>
      <c r="E15" s="36"/>
      <c r="F15" s="36"/>
      <c r="G15" s="119"/>
      <c r="H15" s="37"/>
      <c r="J15" t="s">
        <v>569</v>
      </c>
      <c r="N15" s="270">
        <f>SUM(N7:N13)*B20</f>
        <v>2614500</v>
      </c>
    </row>
    <row r="16" spans="1:14" x14ac:dyDescent="0.3">
      <c r="A16" s="16"/>
      <c r="B16" s="73">
        <v>1.1000000000000001</v>
      </c>
      <c r="C16" s="267" t="s">
        <v>440</v>
      </c>
      <c r="D16" s="36"/>
      <c r="E16" s="36"/>
      <c r="F16" s="36"/>
      <c r="G16" s="119"/>
      <c r="H16" s="37"/>
    </row>
    <row r="17" spans="1:14" x14ac:dyDescent="0.3">
      <c r="A17" s="16"/>
      <c r="B17" s="73">
        <v>7.0000000000000007E-2</v>
      </c>
      <c r="C17" s="267" t="s">
        <v>553</v>
      </c>
      <c r="D17" s="36"/>
      <c r="E17" s="36"/>
      <c r="F17" s="36"/>
      <c r="G17" s="119"/>
      <c r="H17" s="37"/>
      <c r="J17" t="s">
        <v>568</v>
      </c>
      <c r="N17" s="301">
        <f>MAX(MIN(B11,N15),B10)</f>
        <v>2614500</v>
      </c>
    </row>
    <row r="18" spans="1:14" x14ac:dyDescent="0.3">
      <c r="A18" s="16"/>
      <c r="B18" s="71">
        <v>400000</v>
      </c>
      <c r="C18" s="267" t="s">
        <v>554</v>
      </c>
      <c r="D18" s="36"/>
      <c r="E18" s="36"/>
      <c r="F18" s="36"/>
      <c r="G18" s="119"/>
      <c r="H18" s="37"/>
    </row>
    <row r="19" spans="1:14" x14ac:dyDescent="0.3">
      <c r="A19" s="16"/>
      <c r="B19" s="71">
        <v>100000</v>
      </c>
      <c r="C19" s="267" t="s">
        <v>555</v>
      </c>
      <c r="D19" s="36"/>
      <c r="E19" s="36"/>
      <c r="F19" s="36"/>
      <c r="G19" s="119"/>
      <c r="H19" s="37"/>
      <c r="J19" t="s">
        <v>570</v>
      </c>
    </row>
    <row r="20" spans="1:14" x14ac:dyDescent="0.3">
      <c r="A20" s="16"/>
      <c r="B20" s="74">
        <v>1.05</v>
      </c>
      <c r="C20" s="268" t="s">
        <v>439</v>
      </c>
      <c r="D20" s="120"/>
      <c r="E20" s="120"/>
      <c r="F20" s="120"/>
      <c r="G20" s="121"/>
      <c r="H20" s="37"/>
    </row>
    <row r="21" spans="1:14" x14ac:dyDescent="0.3">
      <c r="A21" s="16"/>
      <c r="B21" s="36"/>
      <c r="C21" s="36"/>
      <c r="D21" s="36"/>
      <c r="E21" s="36"/>
      <c r="F21" s="36"/>
      <c r="G21" s="36"/>
      <c r="H21" s="37"/>
      <c r="I21" t="s">
        <v>38</v>
      </c>
      <c r="J21" t="s">
        <v>571</v>
      </c>
    </row>
    <row r="22" spans="1:14" x14ac:dyDescent="0.3">
      <c r="A22" s="63" t="s">
        <v>10</v>
      </c>
      <c r="B22" s="36" t="s">
        <v>556</v>
      </c>
      <c r="C22" s="36"/>
      <c r="D22" s="36"/>
      <c r="E22" s="36"/>
      <c r="F22" s="36"/>
      <c r="G22" s="36"/>
      <c r="H22" s="37"/>
      <c r="J22" t="s">
        <v>572</v>
      </c>
    </row>
    <row r="23" spans="1:14" x14ac:dyDescent="0.3">
      <c r="A23" s="16"/>
      <c r="B23" s="36"/>
      <c r="C23" s="36"/>
      <c r="D23" s="36"/>
      <c r="E23" s="36"/>
      <c r="F23" s="36"/>
      <c r="G23" s="36"/>
      <c r="H23" s="37"/>
      <c r="J23" t="s">
        <v>573</v>
      </c>
    </row>
    <row r="24" spans="1:14" x14ac:dyDescent="0.3">
      <c r="A24" s="16"/>
      <c r="B24" s="36" t="s">
        <v>557</v>
      </c>
      <c r="C24" s="36"/>
      <c r="D24" s="36"/>
      <c r="E24" s="36"/>
      <c r="F24" s="36"/>
      <c r="G24" s="36"/>
      <c r="H24" s="37"/>
    </row>
    <row r="25" spans="1:14" ht="15" thickBot="1" x14ac:dyDescent="0.35">
      <c r="A25" s="17"/>
      <c r="B25" s="41" t="s">
        <v>558</v>
      </c>
      <c r="C25" s="41"/>
      <c r="D25" s="41"/>
      <c r="E25" s="41"/>
      <c r="F25" s="41"/>
      <c r="G25" s="41"/>
      <c r="H25" s="42"/>
    </row>
  </sheetData>
  <mergeCells count="1">
    <mergeCell ref="G1:H1"/>
  </mergeCells>
  <hyperlinks>
    <hyperlink ref="G1" location="TOC!A1" display="Return to TOC" xr:uid="{5021DE89-98E6-4615-BB67-83FD2D80866A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27C79-B7F0-4B77-A5CA-F26829CDD551}">
  <dimension ref="A1:L39"/>
  <sheetViews>
    <sheetView workbookViewId="0"/>
  </sheetViews>
  <sheetFormatPr defaultRowHeight="14.4" x14ac:dyDescent="0.3"/>
  <cols>
    <col min="1" max="1" width="14" bestFit="1" customWidth="1"/>
    <col min="10" max="10" width="5.88671875" customWidth="1"/>
    <col min="11" max="11" width="3.6640625" customWidth="1"/>
  </cols>
  <sheetData>
    <row r="1" spans="1:12" x14ac:dyDescent="0.3">
      <c r="A1" s="6" t="s">
        <v>4</v>
      </c>
      <c r="B1" s="7" t="s">
        <v>524</v>
      </c>
      <c r="C1" s="7"/>
      <c r="D1" s="8"/>
      <c r="E1" s="8"/>
      <c r="F1" s="8"/>
      <c r="G1" s="8"/>
      <c r="H1" s="8"/>
      <c r="I1" s="490" t="s">
        <v>5</v>
      </c>
      <c r="J1" s="491"/>
      <c r="L1" s="10" t="s">
        <v>6</v>
      </c>
    </row>
    <row r="2" spans="1:12" x14ac:dyDescent="0.3">
      <c r="A2" s="11" t="s">
        <v>7</v>
      </c>
      <c r="B2" s="33" t="s">
        <v>574</v>
      </c>
      <c r="C2" s="33"/>
      <c r="D2" s="33"/>
      <c r="E2" s="33"/>
      <c r="F2" s="33"/>
      <c r="G2" s="33"/>
      <c r="H2" s="33"/>
      <c r="I2" s="33"/>
      <c r="J2" s="12"/>
      <c r="K2" t="s">
        <v>28</v>
      </c>
      <c r="L2" s="307" t="s">
        <v>590</v>
      </c>
    </row>
    <row r="3" spans="1:12" x14ac:dyDescent="0.3">
      <c r="A3" s="11" t="s">
        <v>8</v>
      </c>
      <c r="B3" s="33" t="s">
        <v>575</v>
      </c>
      <c r="C3" s="33"/>
      <c r="D3" s="33"/>
      <c r="E3" s="33"/>
      <c r="F3" s="33"/>
      <c r="G3" s="33"/>
      <c r="H3" s="33"/>
      <c r="I3" s="33"/>
      <c r="J3" s="12"/>
      <c r="K3" s="185"/>
    </row>
    <row r="4" spans="1:12" x14ac:dyDescent="0.3">
      <c r="A4" s="13"/>
      <c r="B4" s="34"/>
      <c r="C4" s="34"/>
      <c r="D4" s="34"/>
      <c r="E4" s="34"/>
      <c r="F4" s="34"/>
      <c r="G4" s="34"/>
      <c r="H4" s="34"/>
      <c r="I4" s="34"/>
      <c r="J4" s="14"/>
      <c r="K4" s="185"/>
    </row>
    <row r="5" spans="1:12" x14ac:dyDescent="0.3">
      <c r="A5" s="15" t="s">
        <v>9</v>
      </c>
      <c r="B5" s="33" t="s">
        <v>581</v>
      </c>
      <c r="C5" s="36"/>
      <c r="D5" s="36"/>
      <c r="E5" s="36"/>
      <c r="F5" s="36"/>
      <c r="G5" s="36"/>
      <c r="H5" s="36"/>
      <c r="I5" s="36"/>
      <c r="J5" s="37"/>
      <c r="K5" s="185"/>
    </row>
    <row r="6" spans="1:12" x14ac:dyDescent="0.3">
      <c r="A6" s="16"/>
      <c r="B6" s="33" t="s">
        <v>582</v>
      </c>
      <c r="C6" s="36"/>
      <c r="D6" s="36"/>
      <c r="E6" s="36"/>
      <c r="F6" s="36"/>
      <c r="G6" s="36"/>
      <c r="H6" s="36"/>
      <c r="I6" s="36"/>
      <c r="J6" s="37"/>
    </row>
    <row r="7" spans="1:12" x14ac:dyDescent="0.3">
      <c r="A7" s="16"/>
      <c r="B7" s="36"/>
      <c r="C7" s="36"/>
      <c r="D7" s="36"/>
      <c r="E7" s="36"/>
      <c r="F7" s="36"/>
      <c r="G7" s="36"/>
      <c r="H7" s="36"/>
      <c r="I7" s="36"/>
      <c r="J7" s="37"/>
    </row>
    <row r="8" spans="1:12" x14ac:dyDescent="0.3">
      <c r="A8" s="16"/>
      <c r="B8" s="36"/>
      <c r="C8" s="36"/>
      <c r="D8" s="36"/>
      <c r="E8" s="36"/>
      <c r="F8" s="36"/>
      <c r="G8" s="36"/>
      <c r="H8" s="36"/>
      <c r="I8" s="36"/>
      <c r="J8" s="37"/>
    </row>
    <row r="9" spans="1:12" x14ac:dyDescent="0.3">
      <c r="A9" s="16"/>
      <c r="B9" s="36"/>
      <c r="C9" s="36"/>
      <c r="D9" s="36"/>
      <c r="E9" s="36"/>
      <c r="F9" s="36"/>
      <c r="G9" s="36"/>
      <c r="H9" s="36"/>
      <c r="I9" s="36"/>
      <c r="J9" s="37"/>
    </row>
    <row r="10" spans="1:12" x14ac:dyDescent="0.3">
      <c r="A10" s="16"/>
      <c r="B10" s="36"/>
      <c r="C10" s="36"/>
      <c r="D10" s="36"/>
      <c r="E10" s="36"/>
      <c r="F10" s="36"/>
      <c r="G10" s="36"/>
      <c r="H10" s="36"/>
      <c r="I10" s="36"/>
      <c r="J10" s="37"/>
    </row>
    <row r="11" spans="1:12" x14ac:dyDescent="0.3">
      <c r="A11" s="16"/>
      <c r="B11" s="36"/>
      <c r="C11" s="36"/>
      <c r="D11" s="36"/>
      <c r="E11" s="36"/>
      <c r="F11" s="36"/>
      <c r="G11" s="36"/>
      <c r="H11" s="36"/>
      <c r="I11" s="36"/>
      <c r="J11" s="37"/>
    </row>
    <row r="12" spans="1:12" x14ac:dyDescent="0.3">
      <c r="A12" s="16"/>
      <c r="B12" s="36"/>
      <c r="C12" s="36"/>
      <c r="D12" s="36"/>
      <c r="E12" s="36"/>
      <c r="F12" s="36"/>
      <c r="G12" s="36"/>
      <c r="H12" s="36"/>
      <c r="I12" s="36"/>
      <c r="J12" s="37"/>
    </row>
    <row r="13" spans="1:12" x14ac:dyDescent="0.3">
      <c r="A13" s="16"/>
      <c r="B13" s="36"/>
      <c r="C13" s="36"/>
      <c r="D13" s="36"/>
      <c r="E13" s="36"/>
      <c r="F13" s="36"/>
      <c r="G13" s="36"/>
      <c r="H13" s="36"/>
      <c r="I13" s="36"/>
      <c r="J13" s="37"/>
    </row>
    <row r="14" spans="1:12" x14ac:dyDescent="0.3">
      <c r="A14" s="16"/>
      <c r="B14" s="36"/>
      <c r="C14" s="36"/>
      <c r="D14" s="36"/>
      <c r="E14" s="36"/>
      <c r="F14" s="36"/>
      <c r="G14" s="36"/>
      <c r="H14" s="36"/>
      <c r="I14" s="36"/>
      <c r="J14" s="37"/>
    </row>
    <row r="15" spans="1:12" x14ac:dyDescent="0.3">
      <c r="A15" s="16"/>
      <c r="B15" s="36"/>
      <c r="C15" s="36"/>
      <c r="D15" s="36"/>
      <c r="E15" s="36"/>
      <c r="F15" s="36"/>
      <c r="G15" s="36"/>
      <c r="H15" s="36"/>
      <c r="I15" s="36"/>
      <c r="J15" s="37"/>
    </row>
    <row r="16" spans="1:12" x14ac:dyDescent="0.3">
      <c r="A16" s="16"/>
      <c r="B16" s="36"/>
      <c r="C16" s="36"/>
      <c r="D16" s="36"/>
      <c r="E16" s="36"/>
      <c r="F16" s="36"/>
      <c r="G16" s="36"/>
      <c r="H16" s="36"/>
      <c r="I16" s="36"/>
      <c r="J16" s="37"/>
    </row>
    <row r="17" spans="1:10" x14ac:dyDescent="0.3">
      <c r="A17" s="16"/>
      <c r="B17" s="36"/>
      <c r="C17" s="36"/>
      <c r="D17" s="36"/>
      <c r="E17" s="36"/>
      <c r="F17" s="36"/>
      <c r="G17" s="36"/>
      <c r="H17" s="36"/>
      <c r="I17" s="36"/>
      <c r="J17" s="37"/>
    </row>
    <row r="18" spans="1:10" x14ac:dyDescent="0.3">
      <c r="A18" s="16"/>
      <c r="B18" s="36"/>
      <c r="C18" s="36"/>
      <c r="D18" s="36"/>
      <c r="E18" s="36"/>
      <c r="F18" s="36"/>
      <c r="G18" s="36"/>
      <c r="H18" s="36"/>
      <c r="I18" s="36"/>
      <c r="J18" s="37"/>
    </row>
    <row r="19" spans="1:10" x14ac:dyDescent="0.3">
      <c r="A19" s="16"/>
      <c r="B19" s="36"/>
      <c r="C19" s="36"/>
      <c r="D19" s="36"/>
      <c r="E19" s="36"/>
      <c r="F19" s="36"/>
      <c r="G19" s="36"/>
      <c r="H19" s="36"/>
      <c r="I19" s="36"/>
      <c r="J19" s="37"/>
    </row>
    <row r="20" spans="1:10" x14ac:dyDescent="0.3">
      <c r="A20" s="16"/>
      <c r="B20" s="36"/>
      <c r="C20" s="36"/>
      <c r="D20" s="36"/>
      <c r="E20" s="36"/>
      <c r="F20" s="36"/>
      <c r="G20" s="36"/>
      <c r="H20" s="36"/>
      <c r="I20" s="36"/>
      <c r="J20" s="37"/>
    </row>
    <row r="21" spans="1:10" x14ac:dyDescent="0.3">
      <c r="A21" s="16"/>
      <c r="B21" s="36"/>
      <c r="C21" s="36"/>
      <c r="D21" s="36"/>
      <c r="E21" s="36"/>
      <c r="F21" s="36"/>
      <c r="G21" s="36"/>
      <c r="H21" s="36"/>
      <c r="I21" s="36"/>
      <c r="J21" s="37"/>
    </row>
    <row r="22" spans="1:10" x14ac:dyDescent="0.3">
      <c r="A22" s="16"/>
      <c r="B22" s="36"/>
      <c r="C22" s="36"/>
      <c r="D22" s="36"/>
      <c r="E22" s="36"/>
      <c r="F22" s="36"/>
      <c r="G22" s="36"/>
      <c r="H22" s="36"/>
      <c r="I22" s="36"/>
      <c r="J22" s="37"/>
    </row>
    <row r="23" spans="1:10" x14ac:dyDescent="0.3">
      <c r="A23" s="16"/>
      <c r="B23" s="36"/>
      <c r="C23" s="36"/>
      <c r="D23" s="36"/>
      <c r="E23" s="36"/>
      <c r="F23" s="36"/>
      <c r="G23" s="36"/>
      <c r="H23" s="36"/>
      <c r="I23" s="36"/>
      <c r="J23" s="37"/>
    </row>
    <row r="24" spans="1:10" x14ac:dyDescent="0.3">
      <c r="A24" s="16"/>
      <c r="B24" s="36"/>
      <c r="C24" s="36"/>
      <c r="D24" s="36"/>
      <c r="E24" s="36"/>
      <c r="F24" s="36"/>
      <c r="G24" s="36"/>
      <c r="H24" s="36"/>
      <c r="I24" s="36"/>
      <c r="J24" s="37"/>
    </row>
    <row r="25" spans="1:10" x14ac:dyDescent="0.3">
      <c r="A25" s="16"/>
      <c r="B25" s="36"/>
      <c r="C25" s="36"/>
      <c r="D25" s="36"/>
      <c r="E25" s="36"/>
      <c r="F25" s="36"/>
      <c r="G25" s="36"/>
      <c r="H25" s="36"/>
      <c r="I25" s="36"/>
      <c r="J25" s="37"/>
    </row>
    <row r="26" spans="1:10" x14ac:dyDescent="0.3">
      <c r="A26" s="16"/>
      <c r="B26" s="36" t="s">
        <v>576</v>
      </c>
      <c r="C26" s="36"/>
      <c r="D26" s="36"/>
      <c r="E26" s="36"/>
      <c r="F26" s="36"/>
      <c r="G26" s="36"/>
      <c r="H26" s="36"/>
      <c r="I26" s="36"/>
      <c r="J26" s="37"/>
    </row>
    <row r="27" spans="1:10" x14ac:dyDescent="0.3">
      <c r="A27" s="16"/>
      <c r="B27" s="36" t="s">
        <v>577</v>
      </c>
      <c r="C27" s="36"/>
      <c r="D27" s="36"/>
      <c r="E27" s="36"/>
      <c r="F27" s="36"/>
      <c r="G27" s="36"/>
      <c r="H27" s="36"/>
      <c r="I27" s="36"/>
      <c r="J27" s="37"/>
    </row>
    <row r="28" spans="1:10" x14ac:dyDescent="0.3">
      <c r="A28" s="16"/>
      <c r="B28" s="36" t="s">
        <v>578</v>
      </c>
      <c r="C28" s="36"/>
      <c r="D28" s="36"/>
      <c r="E28" s="36"/>
      <c r="F28" s="36"/>
      <c r="G28" s="36"/>
      <c r="H28" s="36"/>
      <c r="I28" s="36"/>
      <c r="J28" s="37"/>
    </row>
    <row r="29" spans="1:10" x14ac:dyDescent="0.3">
      <c r="A29" s="16"/>
      <c r="B29" s="36" t="s">
        <v>579</v>
      </c>
      <c r="C29" s="36"/>
      <c r="D29" s="36"/>
      <c r="E29" s="36"/>
      <c r="F29" s="36"/>
      <c r="G29" s="36"/>
      <c r="H29" s="36"/>
      <c r="I29" s="36"/>
      <c r="J29" s="37"/>
    </row>
    <row r="30" spans="1:10" x14ac:dyDescent="0.3">
      <c r="A30" s="16"/>
      <c r="B30" s="36" t="s">
        <v>580</v>
      </c>
      <c r="C30" s="36"/>
      <c r="D30" s="36"/>
      <c r="E30" s="36"/>
      <c r="F30" s="36"/>
      <c r="G30" s="36"/>
      <c r="H30" s="36"/>
      <c r="I30" s="36"/>
      <c r="J30" s="37"/>
    </row>
    <row r="31" spans="1:10" x14ac:dyDescent="0.3">
      <c r="A31" s="16"/>
      <c r="B31" s="36"/>
      <c r="C31" s="36"/>
      <c r="D31" s="36"/>
      <c r="E31" s="36"/>
      <c r="F31" s="36"/>
      <c r="G31" s="36"/>
      <c r="H31" s="36"/>
      <c r="I31" s="36"/>
      <c r="J31" s="37"/>
    </row>
    <row r="32" spans="1:10" x14ac:dyDescent="0.3">
      <c r="A32" s="63" t="s">
        <v>10</v>
      </c>
      <c r="B32" s="36" t="s">
        <v>583</v>
      </c>
      <c r="C32" s="36"/>
      <c r="D32" s="36"/>
      <c r="E32" s="36"/>
      <c r="F32" s="36"/>
      <c r="G32" s="36"/>
      <c r="H32" s="36"/>
      <c r="I32" s="36"/>
      <c r="J32" s="37"/>
    </row>
    <row r="33" spans="1:10" ht="45" customHeight="1" x14ac:dyDescent="0.3">
      <c r="A33" s="16"/>
      <c r="B33" s="306" t="s">
        <v>589</v>
      </c>
      <c r="C33" s="244"/>
      <c r="D33" s="302"/>
      <c r="E33" s="303"/>
      <c r="F33" s="303"/>
      <c r="G33" s="303"/>
      <c r="H33" s="304"/>
      <c r="I33" s="305"/>
      <c r="J33" s="37"/>
    </row>
    <row r="34" spans="1:10" ht="45" customHeight="1" x14ac:dyDescent="0.3">
      <c r="A34" s="16"/>
      <c r="B34" s="306" t="s">
        <v>588</v>
      </c>
      <c r="C34" s="244"/>
      <c r="D34" s="302"/>
      <c r="E34" s="303"/>
      <c r="F34" s="303"/>
      <c r="G34" s="303"/>
      <c r="H34" s="304"/>
      <c r="I34" s="305"/>
      <c r="J34" s="37"/>
    </row>
    <row r="35" spans="1:10" ht="45" customHeight="1" x14ac:dyDescent="0.3">
      <c r="A35" s="16"/>
      <c r="B35" s="306" t="s">
        <v>584</v>
      </c>
      <c r="C35" s="244"/>
      <c r="D35" s="302"/>
      <c r="E35" s="303"/>
      <c r="F35" s="303"/>
      <c r="G35" s="303"/>
      <c r="H35" s="304"/>
      <c r="I35" s="305"/>
      <c r="J35" s="37"/>
    </row>
    <row r="36" spans="1:10" ht="45" customHeight="1" x14ac:dyDescent="0.3">
      <c r="A36" s="16"/>
      <c r="B36" s="306" t="s">
        <v>585</v>
      </c>
      <c r="C36" s="244"/>
      <c r="D36" s="302"/>
      <c r="E36" s="303"/>
      <c r="F36" s="303"/>
      <c r="G36" s="303"/>
      <c r="H36" s="304"/>
      <c r="I36" s="305"/>
      <c r="J36" s="37"/>
    </row>
    <row r="37" spans="1:10" ht="45" customHeight="1" x14ac:dyDescent="0.3">
      <c r="A37" s="16"/>
      <c r="B37" s="306" t="s">
        <v>587</v>
      </c>
      <c r="C37" s="244"/>
      <c r="D37" s="302"/>
      <c r="E37" s="303"/>
      <c r="F37" s="303"/>
      <c r="G37" s="303"/>
      <c r="H37" s="304"/>
      <c r="I37" s="305"/>
      <c r="J37" s="37"/>
    </row>
    <row r="38" spans="1:10" ht="45" customHeight="1" x14ac:dyDescent="0.3">
      <c r="A38" s="16"/>
      <c r="B38" s="306" t="s">
        <v>586</v>
      </c>
      <c r="C38" s="244"/>
      <c r="D38" s="302"/>
      <c r="E38" s="303"/>
      <c r="F38" s="303"/>
      <c r="G38" s="303"/>
      <c r="H38" s="304"/>
      <c r="I38" s="305"/>
      <c r="J38" s="37"/>
    </row>
    <row r="39" spans="1:10" ht="15" thickBot="1" x14ac:dyDescent="0.35">
      <c r="A39" s="17"/>
      <c r="B39" s="41"/>
      <c r="C39" s="41"/>
      <c r="D39" s="41"/>
      <c r="E39" s="41"/>
      <c r="F39" s="41"/>
      <c r="G39" s="41"/>
      <c r="H39" s="41"/>
      <c r="I39" s="41"/>
      <c r="J39" s="42"/>
    </row>
  </sheetData>
  <mergeCells count="1">
    <mergeCell ref="I1:J1"/>
  </mergeCells>
  <hyperlinks>
    <hyperlink ref="I1" location="TOC!A1" display="Return to TOC" xr:uid="{89DD6FEF-D059-4E04-927E-68899D9BF746}"/>
  </hyperlink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D631E-BF24-41EB-B250-C959F9BD747B}">
  <dimension ref="A1:L23"/>
  <sheetViews>
    <sheetView workbookViewId="0"/>
  </sheetViews>
  <sheetFormatPr defaultRowHeight="14.4" x14ac:dyDescent="0.3"/>
  <cols>
    <col min="1" max="1" width="14" bestFit="1" customWidth="1"/>
    <col min="9" max="9" width="3.6640625" customWidth="1"/>
    <col min="11" max="11" width="11.109375" bestFit="1" customWidth="1"/>
  </cols>
  <sheetData>
    <row r="1" spans="1:12" x14ac:dyDescent="0.3">
      <c r="A1" s="6" t="s">
        <v>4</v>
      </c>
      <c r="B1" s="7" t="s">
        <v>524</v>
      </c>
      <c r="C1" s="7"/>
      <c r="D1" s="8"/>
      <c r="E1" s="8"/>
      <c r="F1" s="8"/>
      <c r="G1" s="490" t="s">
        <v>5</v>
      </c>
      <c r="H1" s="491"/>
      <c r="J1" s="10" t="s">
        <v>6</v>
      </c>
    </row>
    <row r="2" spans="1:12" x14ac:dyDescent="0.3">
      <c r="A2" s="11" t="s">
        <v>7</v>
      </c>
      <c r="B2" s="33" t="s">
        <v>591</v>
      </c>
      <c r="C2" s="33"/>
      <c r="D2" s="33"/>
      <c r="E2" s="33"/>
      <c r="F2" s="33"/>
      <c r="G2" s="33"/>
      <c r="H2" s="12"/>
      <c r="I2" t="s">
        <v>28</v>
      </c>
      <c r="J2" t="s">
        <v>614</v>
      </c>
    </row>
    <row r="3" spans="1:12" x14ac:dyDescent="0.3">
      <c r="A3" s="11" t="s">
        <v>8</v>
      </c>
      <c r="B3" s="33" t="s">
        <v>543</v>
      </c>
      <c r="C3" s="33"/>
      <c r="D3" s="33"/>
      <c r="E3" s="33"/>
      <c r="F3" s="33"/>
      <c r="G3" s="33"/>
      <c r="H3" s="12"/>
      <c r="I3" s="185"/>
      <c r="J3" t="s">
        <v>609</v>
      </c>
    </row>
    <row r="4" spans="1:12" x14ac:dyDescent="0.3">
      <c r="A4" s="13"/>
      <c r="B4" s="34"/>
      <c r="C4" s="34"/>
      <c r="D4" s="34"/>
      <c r="E4" s="34"/>
      <c r="F4" s="34"/>
      <c r="G4" s="34"/>
      <c r="H4" s="14"/>
      <c r="I4" s="185"/>
      <c r="J4" t="s">
        <v>613</v>
      </c>
    </row>
    <row r="5" spans="1:12" x14ac:dyDescent="0.3">
      <c r="A5" s="15" t="s">
        <v>9</v>
      </c>
      <c r="B5" s="33" t="s">
        <v>592</v>
      </c>
      <c r="C5" s="36"/>
      <c r="D5" s="36"/>
      <c r="E5" s="36"/>
      <c r="F5" s="36"/>
      <c r="G5" s="36"/>
      <c r="H5" s="37"/>
      <c r="I5" s="185"/>
    </row>
    <row r="6" spans="1:12" x14ac:dyDescent="0.3">
      <c r="A6" s="16"/>
      <c r="B6" s="33" t="s">
        <v>593</v>
      </c>
      <c r="C6" s="36"/>
      <c r="D6" s="36"/>
      <c r="E6" s="36"/>
      <c r="F6" s="36"/>
      <c r="G6" s="36"/>
      <c r="H6" s="37"/>
      <c r="J6" t="s">
        <v>561</v>
      </c>
    </row>
    <row r="7" spans="1:12" x14ac:dyDescent="0.3">
      <c r="A7" s="16"/>
      <c r="B7" s="36"/>
      <c r="C7" s="36"/>
      <c r="D7" s="36"/>
      <c r="E7" s="36"/>
      <c r="F7" s="36"/>
      <c r="G7" s="36"/>
      <c r="H7" s="37"/>
    </row>
    <row r="8" spans="1:12" x14ac:dyDescent="0.3">
      <c r="A8" s="16"/>
      <c r="B8" s="234">
        <v>0.7</v>
      </c>
      <c r="C8" s="43" t="s">
        <v>594</v>
      </c>
      <c r="D8" s="117"/>
      <c r="E8" s="117"/>
      <c r="F8" s="117"/>
      <c r="G8" s="118"/>
      <c r="H8" s="37"/>
      <c r="J8" t="s">
        <v>606</v>
      </c>
    </row>
    <row r="9" spans="1:12" x14ac:dyDescent="0.3">
      <c r="A9" s="16"/>
      <c r="B9" s="69">
        <v>1.1000000000000001</v>
      </c>
      <c r="C9" s="267" t="s">
        <v>595</v>
      </c>
      <c r="D9" s="36"/>
      <c r="E9" s="36"/>
      <c r="F9" s="36"/>
      <c r="G9" s="119"/>
      <c r="H9" s="37"/>
      <c r="J9" t="s">
        <v>603</v>
      </c>
      <c r="K9" s="5">
        <f>(B18-B19)*B8</f>
        <v>0.43539999999999995</v>
      </c>
    </row>
    <row r="10" spans="1:12" x14ac:dyDescent="0.3">
      <c r="A10" s="16"/>
      <c r="B10" s="235">
        <v>0.2</v>
      </c>
      <c r="C10" s="267" t="s">
        <v>596</v>
      </c>
      <c r="D10" s="36"/>
      <c r="E10" s="36"/>
      <c r="F10" s="36"/>
      <c r="G10" s="119"/>
      <c r="H10" s="37"/>
    </row>
    <row r="11" spans="1:12" x14ac:dyDescent="0.3">
      <c r="A11" s="16"/>
      <c r="B11" s="69">
        <v>1.125</v>
      </c>
      <c r="C11" s="267" t="s">
        <v>440</v>
      </c>
      <c r="D11" s="36"/>
      <c r="E11" s="36"/>
      <c r="F11" s="36"/>
      <c r="G11" s="119"/>
      <c r="H11" s="37"/>
      <c r="J11" t="s">
        <v>563</v>
      </c>
      <c r="K11" s="309">
        <f>B10-(B11-1)*B8+B11*K9</f>
        <v>0.602325</v>
      </c>
      <c r="L11" t="s">
        <v>607</v>
      </c>
    </row>
    <row r="12" spans="1:12" x14ac:dyDescent="0.3">
      <c r="A12" s="16"/>
      <c r="B12" s="235">
        <v>1.25</v>
      </c>
      <c r="C12" s="267" t="s">
        <v>597</v>
      </c>
      <c r="D12" s="36"/>
      <c r="E12" s="36"/>
      <c r="F12" s="36"/>
      <c r="G12" s="119"/>
      <c r="H12" s="37"/>
    </row>
    <row r="13" spans="1:12" x14ac:dyDescent="0.3">
      <c r="A13" s="16"/>
      <c r="B13" s="269">
        <v>0.75</v>
      </c>
      <c r="C13" s="268" t="s">
        <v>598</v>
      </c>
      <c r="D13" s="120"/>
      <c r="E13" s="120"/>
      <c r="F13" s="120"/>
      <c r="G13" s="121"/>
      <c r="H13" s="37"/>
      <c r="J13" t="s">
        <v>608</v>
      </c>
    </row>
    <row r="14" spans="1:12" x14ac:dyDescent="0.3">
      <c r="A14" s="16"/>
      <c r="B14" s="36"/>
      <c r="C14" s="36"/>
      <c r="D14" s="36"/>
      <c r="E14" s="36"/>
      <c r="F14" s="36"/>
      <c r="G14" s="36"/>
      <c r="H14" s="37"/>
    </row>
    <row r="15" spans="1:12" x14ac:dyDescent="0.3">
      <c r="A15" s="16"/>
      <c r="B15" s="36" t="s">
        <v>599</v>
      </c>
      <c r="C15" s="36"/>
      <c r="D15" s="36"/>
      <c r="E15" s="36"/>
      <c r="F15" s="36"/>
      <c r="G15" s="36"/>
      <c r="H15" s="37"/>
      <c r="J15" t="s">
        <v>610</v>
      </c>
    </row>
    <row r="16" spans="1:12" x14ac:dyDescent="0.3">
      <c r="A16" s="16"/>
      <c r="B16" s="36" t="s">
        <v>600</v>
      </c>
      <c r="C16" s="36"/>
      <c r="D16" s="36"/>
      <c r="E16" s="36"/>
      <c r="F16" s="36"/>
      <c r="G16" s="36"/>
      <c r="H16" s="37"/>
    </row>
    <row r="17" spans="1:12" x14ac:dyDescent="0.3">
      <c r="A17" s="16"/>
      <c r="B17" s="36"/>
      <c r="C17" s="36"/>
      <c r="D17" s="36"/>
      <c r="E17" s="36"/>
      <c r="F17" s="36"/>
      <c r="G17" s="36"/>
      <c r="H17" s="37"/>
      <c r="J17" t="s">
        <v>611</v>
      </c>
    </row>
    <row r="18" spans="1:12" x14ac:dyDescent="0.3">
      <c r="A18" s="16"/>
      <c r="B18" s="68">
        <v>0.65300000000000002</v>
      </c>
      <c r="C18" s="36" t="s">
        <v>604</v>
      </c>
      <c r="D18" s="36"/>
      <c r="E18" s="36"/>
      <c r="F18" s="36"/>
      <c r="G18" s="36"/>
      <c r="H18" s="37"/>
      <c r="J18" t="s">
        <v>612</v>
      </c>
      <c r="K18" s="308">
        <f>B8-K9</f>
        <v>0.2646</v>
      </c>
    </row>
    <row r="19" spans="1:12" x14ac:dyDescent="0.3">
      <c r="A19" s="16"/>
      <c r="B19" s="70">
        <v>3.1E-2</v>
      </c>
      <c r="C19" s="36" t="s">
        <v>605</v>
      </c>
      <c r="D19" s="36"/>
      <c r="E19" s="36"/>
      <c r="F19" s="36"/>
      <c r="G19" s="36"/>
      <c r="H19" s="37"/>
    </row>
    <row r="20" spans="1:12" x14ac:dyDescent="0.3">
      <c r="A20" s="16"/>
      <c r="B20" s="36"/>
      <c r="C20" s="36"/>
      <c r="D20" s="36"/>
      <c r="E20" s="36"/>
      <c r="F20" s="36"/>
      <c r="G20" s="36"/>
      <c r="H20" s="37"/>
      <c r="J20" t="s">
        <v>615</v>
      </c>
      <c r="K20" s="310">
        <f>(K11+B11*K18)*B9</f>
        <v>0.9900000000000001</v>
      </c>
      <c r="L20" t="s">
        <v>607</v>
      </c>
    </row>
    <row r="21" spans="1:12" x14ac:dyDescent="0.3">
      <c r="A21" s="63" t="s">
        <v>10</v>
      </c>
      <c r="B21" s="36" t="s">
        <v>601</v>
      </c>
      <c r="C21" s="36"/>
      <c r="D21" s="36"/>
      <c r="E21" s="36"/>
      <c r="F21" s="36"/>
      <c r="G21" s="36"/>
      <c r="H21" s="37"/>
    </row>
    <row r="22" spans="1:12" ht="15" thickBot="1" x14ac:dyDescent="0.35">
      <c r="A22" s="17"/>
      <c r="B22" s="41" t="s">
        <v>602</v>
      </c>
      <c r="C22" s="41"/>
      <c r="D22" s="41"/>
      <c r="E22" s="41"/>
      <c r="F22" s="41"/>
      <c r="G22" s="41"/>
      <c r="H22" s="42"/>
      <c r="J22" t="s">
        <v>616</v>
      </c>
    </row>
    <row r="23" spans="1:12" x14ac:dyDescent="0.3">
      <c r="J23" t="s">
        <v>617</v>
      </c>
    </row>
  </sheetData>
  <mergeCells count="1">
    <mergeCell ref="G1:H1"/>
  </mergeCells>
  <hyperlinks>
    <hyperlink ref="G1" location="TOC!A1" display="Return to TOC" xr:uid="{78F49BDD-265E-463E-B2ED-C320E4964810}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47201-33AC-49FA-9C7E-8E7278BFBBB3}">
  <dimension ref="A1:O37"/>
  <sheetViews>
    <sheetView workbookViewId="0"/>
  </sheetViews>
  <sheetFormatPr defaultRowHeight="14.4" x14ac:dyDescent="0.3"/>
  <cols>
    <col min="1" max="1" width="14" bestFit="1" customWidth="1"/>
    <col min="9" max="9" width="3.44140625" customWidth="1"/>
    <col min="10" max="10" width="3.6640625" customWidth="1"/>
    <col min="12" max="12" width="10.109375" bestFit="1" customWidth="1"/>
    <col min="14" max="14" width="9.109375" customWidth="1"/>
    <col min="15" max="15" width="11.109375" bestFit="1" customWidth="1"/>
  </cols>
  <sheetData>
    <row r="1" spans="1:15" x14ac:dyDescent="0.3">
      <c r="A1" s="6" t="s">
        <v>4</v>
      </c>
      <c r="B1" s="7" t="s">
        <v>524</v>
      </c>
      <c r="C1" s="7"/>
      <c r="D1" s="8"/>
      <c r="E1" s="8"/>
      <c r="F1" s="8"/>
      <c r="G1" s="8"/>
      <c r="H1" s="490" t="s">
        <v>5</v>
      </c>
      <c r="I1" s="491"/>
      <c r="K1" s="10" t="s">
        <v>6</v>
      </c>
    </row>
    <row r="2" spans="1:15" x14ac:dyDescent="0.3">
      <c r="A2" s="11" t="s">
        <v>7</v>
      </c>
      <c r="B2" s="33" t="s">
        <v>618</v>
      </c>
      <c r="C2" s="33"/>
      <c r="D2" s="33"/>
      <c r="E2" s="33"/>
      <c r="F2" s="33"/>
      <c r="G2" s="33"/>
      <c r="H2" s="33"/>
      <c r="I2" s="12"/>
      <c r="J2" t="s">
        <v>28</v>
      </c>
      <c r="K2" s="312" t="s">
        <v>632</v>
      </c>
    </row>
    <row r="3" spans="1:15" x14ac:dyDescent="0.3">
      <c r="A3" s="11" t="s">
        <v>8</v>
      </c>
      <c r="B3" s="33" t="s">
        <v>619</v>
      </c>
      <c r="C3" s="33"/>
      <c r="D3" s="33"/>
      <c r="E3" s="33"/>
      <c r="F3" s="33"/>
      <c r="G3" s="33"/>
      <c r="H3" s="33"/>
      <c r="I3" s="12"/>
      <c r="J3" s="185"/>
    </row>
    <row r="4" spans="1:15" x14ac:dyDescent="0.3">
      <c r="A4" s="13"/>
      <c r="B4" s="34"/>
      <c r="C4" s="34"/>
      <c r="D4" s="34"/>
      <c r="E4" s="34"/>
      <c r="F4" s="34"/>
      <c r="G4" s="34"/>
      <c r="H4" s="34"/>
      <c r="I4" s="14"/>
      <c r="J4" s="185"/>
    </row>
    <row r="5" spans="1:15" x14ac:dyDescent="0.3">
      <c r="A5" s="15" t="s">
        <v>9</v>
      </c>
      <c r="B5" s="33" t="s">
        <v>620</v>
      </c>
      <c r="C5" s="36"/>
      <c r="D5" s="36"/>
      <c r="E5" s="36"/>
      <c r="F5" s="36"/>
      <c r="G5" s="36"/>
      <c r="H5" s="36"/>
      <c r="I5" s="37"/>
      <c r="J5" s="185"/>
    </row>
    <row r="6" spans="1:15" x14ac:dyDescent="0.3">
      <c r="A6" s="16"/>
      <c r="B6" s="33" t="s">
        <v>621</v>
      </c>
      <c r="C6" s="36"/>
      <c r="D6" s="36"/>
      <c r="E6" s="36"/>
      <c r="F6" s="36"/>
      <c r="G6" s="36"/>
      <c r="H6" s="36"/>
      <c r="I6" s="37"/>
    </row>
    <row r="7" spans="1:15" x14ac:dyDescent="0.3">
      <c r="A7" s="16"/>
      <c r="B7" s="36"/>
      <c r="C7" s="36"/>
      <c r="D7" s="36"/>
      <c r="E7" s="36"/>
      <c r="F7" s="36"/>
      <c r="G7" s="36"/>
      <c r="H7" s="36"/>
      <c r="I7" s="37"/>
    </row>
    <row r="8" spans="1:15" x14ac:dyDescent="0.3">
      <c r="A8" s="16"/>
      <c r="B8" s="125">
        <v>17500</v>
      </c>
      <c r="C8" s="43" t="s">
        <v>548</v>
      </c>
      <c r="D8" s="117"/>
      <c r="E8" s="118"/>
      <c r="F8" s="36"/>
      <c r="G8" s="36"/>
      <c r="H8" s="36"/>
      <c r="I8" s="37"/>
      <c r="K8" t="s">
        <v>633</v>
      </c>
    </row>
    <row r="9" spans="1:15" x14ac:dyDescent="0.3">
      <c r="A9" s="16"/>
      <c r="B9" s="99">
        <v>80000</v>
      </c>
      <c r="C9" s="267" t="s">
        <v>549</v>
      </c>
      <c r="D9" s="36"/>
      <c r="E9" s="119"/>
      <c r="F9" s="36"/>
      <c r="G9" s="36"/>
      <c r="H9" s="36"/>
      <c r="I9" s="37"/>
    </row>
    <row r="10" spans="1:15" x14ac:dyDescent="0.3">
      <c r="A10" s="16"/>
      <c r="B10" s="99">
        <v>8125</v>
      </c>
      <c r="C10" s="267" t="s">
        <v>622</v>
      </c>
      <c r="D10" s="36"/>
      <c r="E10" s="119"/>
      <c r="F10" s="36"/>
      <c r="G10" s="36"/>
      <c r="H10" s="36"/>
      <c r="I10" s="37"/>
      <c r="K10" t="s">
        <v>396</v>
      </c>
      <c r="L10" s="280">
        <f>AVERAGE(90000,0)</f>
        <v>45000</v>
      </c>
    </row>
    <row r="11" spans="1:15" x14ac:dyDescent="0.3">
      <c r="A11" s="16"/>
      <c r="B11" s="311">
        <v>1.25</v>
      </c>
      <c r="C11" s="268" t="s">
        <v>440</v>
      </c>
      <c r="D11" s="120"/>
      <c r="E11" s="121"/>
      <c r="F11" s="36"/>
      <c r="G11" s="36"/>
      <c r="H11" s="36"/>
      <c r="I11" s="37"/>
    </row>
    <row r="12" spans="1:15" x14ac:dyDescent="0.3">
      <c r="A12" s="16"/>
      <c r="B12" s="36"/>
      <c r="C12" s="36"/>
      <c r="D12" s="36"/>
      <c r="E12" s="36"/>
      <c r="F12" s="36"/>
      <c r="G12" s="36"/>
      <c r="H12" s="36"/>
      <c r="I12" s="37"/>
      <c r="K12" t="s">
        <v>634</v>
      </c>
      <c r="L12" s="313">
        <f>B9</f>
        <v>80000</v>
      </c>
    </row>
    <row r="13" spans="1:15" x14ac:dyDescent="0.3">
      <c r="A13" s="16"/>
      <c r="B13" s="36" t="s">
        <v>623</v>
      </c>
      <c r="C13" s="36"/>
      <c r="D13" s="36"/>
      <c r="E13" s="36"/>
      <c r="F13" s="36"/>
      <c r="G13" s="36"/>
      <c r="H13" s="36"/>
      <c r="I13" s="37"/>
      <c r="K13" t="s">
        <v>635</v>
      </c>
      <c r="L13" s="313">
        <f>B8</f>
        <v>17500</v>
      </c>
    </row>
    <row r="14" spans="1:15" x14ac:dyDescent="0.3">
      <c r="A14" s="16"/>
      <c r="B14" s="36" t="s">
        <v>624</v>
      </c>
      <c r="C14" s="36"/>
      <c r="D14" s="36"/>
      <c r="E14" s="36"/>
      <c r="F14" s="36"/>
      <c r="G14" s="36"/>
      <c r="H14" s="36"/>
      <c r="I14" s="37"/>
    </row>
    <row r="15" spans="1:15" ht="15.6" x14ac:dyDescent="0.35">
      <c r="A15" s="16"/>
      <c r="B15" s="36"/>
      <c r="C15" s="36"/>
      <c r="D15" s="36"/>
      <c r="E15" s="36"/>
      <c r="F15" s="36"/>
      <c r="G15" s="36"/>
      <c r="H15" s="36"/>
      <c r="I15" s="37"/>
      <c r="K15" t="s">
        <v>636</v>
      </c>
      <c r="O15" s="314">
        <f>(L12-L13)/(B11*L10)</f>
        <v>1.1111111111111112</v>
      </c>
    </row>
    <row r="16" spans="1:15" x14ac:dyDescent="0.3">
      <c r="A16" s="16"/>
      <c r="B16" s="36" t="s">
        <v>625</v>
      </c>
      <c r="C16" s="36"/>
      <c r="D16" s="36"/>
      <c r="E16" s="36"/>
      <c r="F16" s="36"/>
      <c r="G16" s="36"/>
      <c r="H16" s="36"/>
      <c r="I16" s="37"/>
    </row>
    <row r="17" spans="1:15" ht="15.6" x14ac:dyDescent="0.35">
      <c r="A17" s="16"/>
      <c r="B17" s="36" t="s">
        <v>626</v>
      </c>
      <c r="C17" s="36"/>
      <c r="D17" s="36"/>
      <c r="E17" s="36"/>
      <c r="F17" s="36"/>
      <c r="G17" s="36"/>
      <c r="H17" s="36"/>
      <c r="I17" s="37"/>
      <c r="K17" t="s">
        <v>637</v>
      </c>
      <c r="O17">
        <f>((B10+L10)-L13)/(B11*L10)</f>
        <v>0.6333333333333333</v>
      </c>
    </row>
    <row r="18" spans="1:15" x14ac:dyDescent="0.3">
      <c r="A18" s="16"/>
      <c r="B18" s="36" t="s">
        <v>627</v>
      </c>
      <c r="C18" s="36"/>
      <c r="D18" s="36"/>
      <c r="E18" s="36"/>
      <c r="F18" s="36"/>
      <c r="G18" s="36"/>
      <c r="H18" s="36"/>
      <c r="I18" s="37"/>
    </row>
    <row r="19" spans="1:15" x14ac:dyDescent="0.3">
      <c r="A19" s="16"/>
      <c r="B19" s="36" t="s">
        <v>628</v>
      </c>
      <c r="C19" s="36"/>
      <c r="D19" s="36"/>
      <c r="E19" s="36"/>
      <c r="F19" s="36"/>
      <c r="G19" s="36"/>
      <c r="H19" s="36"/>
      <c r="I19" s="37"/>
      <c r="K19" t="s">
        <v>638</v>
      </c>
    </row>
    <row r="20" spans="1:15" x14ac:dyDescent="0.3">
      <c r="A20" s="16"/>
      <c r="B20" s="36" t="s">
        <v>629</v>
      </c>
      <c r="C20" s="36"/>
      <c r="D20" s="36"/>
      <c r="E20" s="36"/>
      <c r="F20" s="36"/>
      <c r="G20" s="36"/>
      <c r="H20" s="36"/>
      <c r="I20" s="37"/>
      <c r="K20" t="s">
        <v>639</v>
      </c>
    </row>
    <row r="21" spans="1:15" x14ac:dyDescent="0.3">
      <c r="A21" s="16"/>
      <c r="B21" s="36"/>
      <c r="C21" s="36"/>
      <c r="D21" s="36"/>
      <c r="E21" s="36"/>
      <c r="F21" s="36"/>
      <c r="G21" s="36"/>
      <c r="H21" s="36"/>
      <c r="I21" s="37"/>
      <c r="K21" t="s">
        <v>640</v>
      </c>
    </row>
    <row r="22" spans="1:15" x14ac:dyDescent="0.3">
      <c r="A22" s="63" t="s">
        <v>10</v>
      </c>
      <c r="B22" s="36" t="s">
        <v>630</v>
      </c>
      <c r="C22" s="36"/>
      <c r="D22" s="36"/>
      <c r="E22" s="36"/>
      <c r="F22" s="36"/>
      <c r="G22" s="36"/>
      <c r="H22" s="36"/>
      <c r="I22" s="37"/>
    </row>
    <row r="23" spans="1:15" ht="15" thickBot="1" x14ac:dyDescent="0.35">
      <c r="A23" s="17"/>
      <c r="B23" s="41" t="s">
        <v>631</v>
      </c>
      <c r="C23" s="41"/>
      <c r="D23" s="41"/>
      <c r="E23" s="41"/>
      <c r="F23" s="41"/>
      <c r="G23" s="41"/>
      <c r="H23" s="41"/>
      <c r="I23" s="42"/>
      <c r="K23" t="s">
        <v>641</v>
      </c>
    </row>
    <row r="25" spans="1:15" x14ac:dyDescent="0.3">
      <c r="K25" t="s">
        <v>642</v>
      </c>
    </row>
    <row r="26" spans="1:15" x14ac:dyDescent="0.3">
      <c r="K26" t="s">
        <v>643</v>
      </c>
    </row>
    <row r="30" spans="1:15" x14ac:dyDescent="0.3">
      <c r="K30" t="s">
        <v>644</v>
      </c>
    </row>
    <row r="31" spans="1:15" ht="15.6" x14ac:dyDescent="0.35">
      <c r="K31" t="s">
        <v>645</v>
      </c>
      <c r="M31">
        <f>(O17-O15*O15/4)/O15</f>
        <v>0.29222222222222216</v>
      </c>
    </row>
    <row r="32" spans="1:15" ht="15.6" x14ac:dyDescent="0.35">
      <c r="K32" t="s">
        <v>646</v>
      </c>
      <c r="M32">
        <f>(1-M31)*2</f>
        <v>1.4155555555555557</v>
      </c>
    </row>
    <row r="33" spans="11:14" ht="15.6" x14ac:dyDescent="0.35">
      <c r="K33" t="s">
        <v>647</v>
      </c>
      <c r="M33" s="314">
        <f>M32-O15</f>
        <v>0.30444444444444452</v>
      </c>
    </row>
    <row r="35" spans="11:14" x14ac:dyDescent="0.3">
      <c r="K35" t="s">
        <v>648</v>
      </c>
    </row>
    <row r="36" spans="11:14" x14ac:dyDescent="0.3">
      <c r="K36" t="s">
        <v>650</v>
      </c>
      <c r="N36" s="315">
        <f>M32*L10</f>
        <v>63700.000000000007</v>
      </c>
    </row>
    <row r="37" spans="11:14" x14ac:dyDescent="0.3">
      <c r="K37" t="s">
        <v>649</v>
      </c>
      <c r="N37" s="315">
        <f>M33*L10</f>
        <v>13700.000000000004</v>
      </c>
    </row>
  </sheetData>
  <mergeCells count="1">
    <mergeCell ref="H1:I1"/>
  </mergeCells>
  <hyperlinks>
    <hyperlink ref="H1" location="TOC!A1" display="Return to TOC" xr:uid="{C4CFB8CA-4552-4F1F-9211-F2B0BFB8EAC5}"/>
  </hyperlink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80B6B-921C-4782-89E3-017F99A4C195}">
  <dimension ref="A1:S39"/>
  <sheetViews>
    <sheetView workbookViewId="0"/>
  </sheetViews>
  <sheetFormatPr defaultRowHeight="14.4" x14ac:dyDescent="0.3"/>
  <cols>
    <col min="1" max="1" width="14" bestFit="1" customWidth="1"/>
    <col min="10" max="10" width="3.6640625" customWidth="1"/>
    <col min="12" max="12" width="11.88671875" bestFit="1" customWidth="1"/>
  </cols>
  <sheetData>
    <row r="1" spans="1:15" x14ac:dyDescent="0.3">
      <c r="A1" s="6" t="s">
        <v>4</v>
      </c>
      <c r="B1" s="7" t="s">
        <v>524</v>
      </c>
      <c r="C1" s="7"/>
      <c r="D1" s="8"/>
      <c r="E1" s="8"/>
      <c r="F1" s="8"/>
      <c r="G1" s="8"/>
      <c r="H1" s="490" t="s">
        <v>5</v>
      </c>
      <c r="I1" s="491"/>
      <c r="K1" s="10" t="s">
        <v>6</v>
      </c>
    </row>
    <row r="2" spans="1:15" x14ac:dyDescent="0.3">
      <c r="A2" s="11" t="s">
        <v>7</v>
      </c>
      <c r="B2" s="33" t="s">
        <v>660</v>
      </c>
      <c r="C2" s="33"/>
      <c r="D2" s="33"/>
      <c r="E2" s="33"/>
      <c r="F2" s="33"/>
      <c r="G2" s="33"/>
      <c r="H2" s="33"/>
      <c r="I2" s="12"/>
      <c r="J2" t="s">
        <v>28</v>
      </c>
      <c r="K2" t="s">
        <v>665</v>
      </c>
    </row>
    <row r="3" spans="1:15" x14ac:dyDescent="0.3">
      <c r="A3" s="11" t="s">
        <v>8</v>
      </c>
      <c r="B3" s="33" t="s">
        <v>651</v>
      </c>
      <c r="C3" s="33"/>
      <c r="D3" s="33"/>
      <c r="E3" s="33"/>
      <c r="F3" s="33"/>
      <c r="G3" s="33"/>
      <c r="H3" s="33"/>
      <c r="I3" s="12"/>
      <c r="J3" s="185"/>
      <c r="K3" t="s">
        <v>666</v>
      </c>
    </row>
    <row r="4" spans="1:15" x14ac:dyDescent="0.3">
      <c r="A4" s="13"/>
      <c r="B4" s="34"/>
      <c r="C4" s="34"/>
      <c r="D4" s="34"/>
      <c r="E4" s="34"/>
      <c r="F4" s="34"/>
      <c r="G4" s="34"/>
      <c r="H4" s="34"/>
      <c r="I4" s="14"/>
      <c r="J4" s="185"/>
    </row>
    <row r="5" spans="1:15" ht="16.2" x14ac:dyDescent="0.3">
      <c r="A5" s="15" t="s">
        <v>9</v>
      </c>
      <c r="B5" s="33" t="s">
        <v>652</v>
      </c>
      <c r="C5" s="36"/>
      <c r="D5" s="36"/>
      <c r="E5" s="36"/>
      <c r="F5" s="36"/>
      <c r="G5" s="36"/>
      <c r="H5" s="36"/>
      <c r="I5" s="37"/>
      <c r="J5" s="185"/>
      <c r="K5" t="s">
        <v>670</v>
      </c>
    </row>
    <row r="6" spans="1:15" x14ac:dyDescent="0.3">
      <c r="A6" s="16"/>
      <c r="B6" s="33" t="s">
        <v>658</v>
      </c>
      <c r="C6" s="36"/>
      <c r="D6" s="36"/>
      <c r="E6" s="36"/>
      <c r="F6" s="36"/>
      <c r="G6" s="36"/>
      <c r="H6" s="36"/>
      <c r="I6" s="37"/>
      <c r="K6" t="s">
        <v>667</v>
      </c>
      <c r="L6" s="280">
        <f>AVERAGE(10^6,0)</f>
        <v>500000</v>
      </c>
    </row>
    <row r="7" spans="1:15" x14ac:dyDescent="0.3">
      <c r="A7" s="16"/>
      <c r="B7" s="33" t="s">
        <v>659</v>
      </c>
      <c r="C7" s="36"/>
      <c r="D7" s="36"/>
      <c r="E7" s="36"/>
      <c r="F7" s="36"/>
      <c r="G7" s="36"/>
      <c r="H7" s="36"/>
      <c r="I7" s="37"/>
    </row>
    <row r="8" spans="1:15" x14ac:dyDescent="0.3">
      <c r="A8" s="16"/>
      <c r="B8" s="36"/>
      <c r="C8" s="36"/>
      <c r="D8" s="36"/>
      <c r="E8" s="36"/>
      <c r="F8" s="36"/>
      <c r="G8" s="36"/>
      <c r="H8" s="36"/>
      <c r="I8" s="37"/>
      <c r="K8" t="s">
        <v>677</v>
      </c>
    </row>
    <row r="9" spans="1:15" x14ac:dyDescent="0.3">
      <c r="A9" s="16"/>
      <c r="B9" s="116">
        <v>700000</v>
      </c>
      <c r="C9" s="43" t="s">
        <v>547</v>
      </c>
      <c r="D9" s="117"/>
      <c r="E9" s="118"/>
      <c r="F9" s="36"/>
      <c r="G9" s="36"/>
      <c r="H9" s="36"/>
      <c r="I9" s="37"/>
    </row>
    <row r="10" spans="1:15" x14ac:dyDescent="0.3">
      <c r="A10" s="16"/>
      <c r="B10" s="71">
        <v>80000</v>
      </c>
      <c r="C10" s="267" t="s">
        <v>653</v>
      </c>
      <c r="D10" s="36"/>
      <c r="E10" s="119"/>
      <c r="F10" s="36"/>
      <c r="G10" s="36"/>
      <c r="H10" s="36"/>
      <c r="I10" s="37"/>
      <c r="K10" t="s">
        <v>675</v>
      </c>
    </row>
    <row r="11" spans="1:15" x14ac:dyDescent="0.3">
      <c r="A11" s="16"/>
      <c r="B11" s="71">
        <v>750000</v>
      </c>
      <c r="C11" s="267" t="s">
        <v>654</v>
      </c>
      <c r="D11" s="36"/>
      <c r="E11" s="119"/>
      <c r="F11" s="36"/>
      <c r="G11" s="36"/>
      <c r="H11" s="36"/>
      <c r="I11" s="37"/>
      <c r="K11" t="s">
        <v>676</v>
      </c>
    </row>
    <row r="12" spans="1:15" x14ac:dyDescent="0.3">
      <c r="A12" s="16"/>
      <c r="B12" s="71">
        <v>83660</v>
      </c>
      <c r="C12" s="267" t="s">
        <v>438</v>
      </c>
      <c r="D12" s="36"/>
      <c r="E12" s="119"/>
      <c r="F12" s="36"/>
      <c r="G12" s="36"/>
      <c r="H12" s="36"/>
      <c r="I12" s="37"/>
      <c r="K12" s="312"/>
    </row>
    <row r="13" spans="1:15" ht="15.6" x14ac:dyDescent="0.35">
      <c r="A13" s="16"/>
      <c r="B13" s="74">
        <v>1.2</v>
      </c>
      <c r="C13" s="268" t="s">
        <v>440</v>
      </c>
      <c r="D13" s="120"/>
      <c r="E13" s="121"/>
      <c r="F13" s="36"/>
      <c r="G13" s="36"/>
      <c r="H13" s="36"/>
      <c r="I13" s="37"/>
      <c r="K13" t="s">
        <v>678</v>
      </c>
      <c r="O13" t="s">
        <v>679</v>
      </c>
    </row>
    <row r="14" spans="1:15" x14ac:dyDescent="0.3">
      <c r="A14" s="16"/>
      <c r="B14" s="36"/>
      <c r="C14" s="36"/>
      <c r="D14" s="36"/>
      <c r="E14" s="36"/>
      <c r="F14" s="36"/>
      <c r="G14" s="36"/>
      <c r="H14" s="36"/>
      <c r="I14" s="37"/>
    </row>
    <row r="15" spans="1:15" x14ac:dyDescent="0.3">
      <c r="A15" s="16"/>
      <c r="B15" s="36" t="s">
        <v>661</v>
      </c>
      <c r="C15" s="36"/>
      <c r="D15" s="36"/>
      <c r="E15" s="36"/>
      <c r="F15" s="36"/>
      <c r="G15" s="36"/>
      <c r="H15" s="36"/>
      <c r="I15" s="37"/>
      <c r="K15" t="s">
        <v>668</v>
      </c>
      <c r="O15">
        <f>B10/L6</f>
        <v>0.16</v>
      </c>
    </row>
    <row r="16" spans="1:15" x14ac:dyDescent="0.3">
      <c r="A16" s="16"/>
      <c r="B16" s="36"/>
      <c r="C16" s="36"/>
      <c r="D16" s="36"/>
      <c r="E16" s="36"/>
      <c r="F16" s="36"/>
      <c r="G16" s="36"/>
      <c r="H16" s="36"/>
      <c r="I16" s="37"/>
      <c r="K16" t="s">
        <v>669</v>
      </c>
      <c r="O16">
        <f>B11/L6</f>
        <v>1.5</v>
      </c>
    </row>
    <row r="17" spans="1:19" x14ac:dyDescent="0.3">
      <c r="A17" s="16"/>
      <c r="B17" s="36" t="s">
        <v>662</v>
      </c>
      <c r="C17" s="36"/>
      <c r="D17" s="36"/>
      <c r="E17" s="36"/>
      <c r="F17" s="36"/>
      <c r="G17" s="36"/>
      <c r="H17" s="36"/>
      <c r="I17" s="37"/>
    </row>
    <row r="18" spans="1:19" x14ac:dyDescent="0.3">
      <c r="A18" s="16"/>
      <c r="B18" s="36" t="s">
        <v>663</v>
      </c>
      <c r="C18" s="36"/>
      <c r="D18" s="36"/>
      <c r="E18" s="36"/>
      <c r="F18" s="36"/>
      <c r="G18" s="36"/>
      <c r="H18" s="36"/>
      <c r="I18" s="37"/>
      <c r="K18" t="s">
        <v>638</v>
      </c>
    </row>
    <row r="19" spans="1:19" x14ac:dyDescent="0.3">
      <c r="A19" s="16"/>
      <c r="B19" s="36" t="s">
        <v>664</v>
      </c>
      <c r="C19" s="36"/>
      <c r="D19" s="36"/>
      <c r="E19" s="36"/>
      <c r="F19" s="36"/>
      <c r="G19" s="36"/>
      <c r="H19" s="36"/>
      <c r="I19" s="37"/>
      <c r="K19" t="s">
        <v>639</v>
      </c>
    </row>
    <row r="20" spans="1:19" x14ac:dyDescent="0.3">
      <c r="A20" s="16"/>
      <c r="B20" s="36"/>
      <c r="C20" s="36"/>
      <c r="D20" s="36"/>
      <c r="E20" s="36"/>
      <c r="F20" s="36"/>
      <c r="G20" s="36"/>
      <c r="H20" s="36"/>
      <c r="I20" s="37"/>
      <c r="K20" t="s">
        <v>671</v>
      </c>
    </row>
    <row r="21" spans="1:19" x14ac:dyDescent="0.3">
      <c r="A21" s="63" t="s">
        <v>10</v>
      </c>
      <c r="B21" s="36" t="s">
        <v>655</v>
      </c>
      <c r="C21" s="36"/>
      <c r="D21" s="36"/>
      <c r="E21" s="36"/>
      <c r="F21" s="36"/>
      <c r="G21" s="36"/>
      <c r="H21" s="36"/>
      <c r="I21" s="37"/>
    </row>
    <row r="22" spans="1:19" x14ac:dyDescent="0.3">
      <c r="A22" s="16"/>
      <c r="B22" s="36"/>
      <c r="C22" s="36"/>
      <c r="D22" s="36"/>
      <c r="E22" s="36"/>
      <c r="F22" s="36"/>
      <c r="G22" s="36"/>
      <c r="H22" s="36"/>
      <c r="I22" s="37"/>
      <c r="K22" t="s">
        <v>641</v>
      </c>
    </row>
    <row r="23" spans="1:19" x14ac:dyDescent="0.3">
      <c r="A23" s="16"/>
      <c r="B23" s="36" t="s">
        <v>656</v>
      </c>
      <c r="C23" s="36"/>
      <c r="D23" s="36"/>
      <c r="E23" s="36"/>
      <c r="F23" s="36"/>
      <c r="G23" s="36"/>
      <c r="H23" s="36"/>
      <c r="I23" s="37"/>
    </row>
    <row r="24" spans="1:19" ht="16.2" thickBot="1" x14ac:dyDescent="0.4">
      <c r="A24" s="17"/>
      <c r="B24" s="41" t="s">
        <v>657</v>
      </c>
      <c r="C24" s="41"/>
      <c r="D24" s="41"/>
      <c r="E24" s="41"/>
      <c r="F24" s="41"/>
      <c r="G24" s="41"/>
      <c r="H24" s="41"/>
      <c r="I24" s="42"/>
      <c r="K24" t="s">
        <v>672</v>
      </c>
      <c r="S24">
        <f>0.5*(2-O16)*(1-O16/2)</f>
        <v>6.25E-2</v>
      </c>
    </row>
    <row r="25" spans="1:19" ht="15.6" x14ac:dyDescent="0.35">
      <c r="K25" t="s">
        <v>673</v>
      </c>
      <c r="S25">
        <f>0.5*(2-O15)*(1-O15/2)</f>
        <v>0.84640000000000004</v>
      </c>
    </row>
    <row r="26" spans="1:19" ht="15.6" x14ac:dyDescent="0.35">
      <c r="K26" t="s">
        <v>674</v>
      </c>
      <c r="S26">
        <f>S25+O15-1</f>
        <v>6.3999999999999613E-3</v>
      </c>
    </row>
    <row r="28" spans="1:19" x14ac:dyDescent="0.3">
      <c r="K28" t="s">
        <v>680</v>
      </c>
      <c r="O28" s="280">
        <f>L6*(1-S24+S26)</f>
        <v>471950</v>
      </c>
    </row>
    <row r="30" spans="1:19" x14ac:dyDescent="0.3">
      <c r="K30" t="s">
        <v>681</v>
      </c>
      <c r="L30" s="62">
        <f>B12+B13*O28</f>
        <v>650000</v>
      </c>
    </row>
    <row r="31" spans="1:19" x14ac:dyDescent="0.3">
      <c r="K31" t="s">
        <v>682</v>
      </c>
      <c r="L31" s="62">
        <f>L30-L6</f>
        <v>150000</v>
      </c>
    </row>
    <row r="33" spans="10:15" x14ac:dyDescent="0.3">
      <c r="K33" t="s">
        <v>683</v>
      </c>
      <c r="O33" s="316">
        <f>1-L30/B9</f>
        <v>7.1428571428571397E-2</v>
      </c>
    </row>
    <row r="35" spans="10:15" x14ac:dyDescent="0.3">
      <c r="J35" t="s">
        <v>38</v>
      </c>
      <c r="K35" t="s">
        <v>687</v>
      </c>
    </row>
    <row r="36" spans="10:15" x14ac:dyDescent="0.3">
      <c r="K36" t="s">
        <v>688</v>
      </c>
    </row>
    <row r="37" spans="10:15" x14ac:dyDescent="0.3">
      <c r="K37" t="s">
        <v>684</v>
      </c>
    </row>
    <row r="38" spans="10:15" x14ac:dyDescent="0.3">
      <c r="K38" t="s">
        <v>685</v>
      </c>
    </row>
    <row r="39" spans="10:15" x14ac:dyDescent="0.3">
      <c r="K39" t="s">
        <v>686</v>
      </c>
    </row>
  </sheetData>
  <mergeCells count="1">
    <mergeCell ref="H1:I1"/>
  </mergeCells>
  <hyperlinks>
    <hyperlink ref="H1" location="TOC!A1" display="Return to TOC" xr:uid="{859CC0B5-6237-4390-8B69-263326E07856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DEA8E-1B15-4FC5-B8D2-DA982883D507}">
  <dimension ref="A1:P35"/>
  <sheetViews>
    <sheetView workbookViewId="0"/>
  </sheetViews>
  <sheetFormatPr defaultRowHeight="14.4" x14ac:dyDescent="0.3"/>
  <cols>
    <col min="1" max="1" width="14" bestFit="1" customWidth="1"/>
    <col min="2" max="2" width="12" customWidth="1"/>
    <col min="10" max="10" width="3.6640625" customWidth="1"/>
    <col min="12" max="12" width="11.88671875" bestFit="1" customWidth="1"/>
    <col min="13" max="13" width="10.88671875" bestFit="1" customWidth="1"/>
  </cols>
  <sheetData>
    <row r="1" spans="1:16" x14ac:dyDescent="0.3">
      <c r="A1" s="6" t="s">
        <v>4</v>
      </c>
      <c r="B1" s="7" t="s">
        <v>524</v>
      </c>
      <c r="C1" s="7"/>
      <c r="D1" s="8"/>
      <c r="E1" s="8"/>
      <c r="F1" s="8"/>
      <c r="G1" s="8"/>
      <c r="H1" s="490" t="s">
        <v>5</v>
      </c>
      <c r="I1" s="491"/>
      <c r="K1" s="10" t="s">
        <v>6</v>
      </c>
    </row>
    <row r="2" spans="1:16" ht="15.6" x14ac:dyDescent="0.35">
      <c r="A2" s="11" t="s">
        <v>7</v>
      </c>
      <c r="B2" s="33" t="s">
        <v>735</v>
      </c>
      <c r="C2" s="33"/>
      <c r="D2" s="33"/>
      <c r="E2" s="33"/>
      <c r="F2" s="33"/>
      <c r="G2" s="33"/>
      <c r="H2" s="33"/>
      <c r="I2" s="12"/>
      <c r="J2" t="s">
        <v>28</v>
      </c>
      <c r="K2" s="185" t="s">
        <v>748</v>
      </c>
      <c r="L2" s="185"/>
      <c r="M2" s="185"/>
      <c r="N2" s="185"/>
      <c r="O2" s="185"/>
      <c r="P2" s="185"/>
    </row>
    <row r="3" spans="1:16" x14ac:dyDescent="0.3">
      <c r="A3" s="11" t="s">
        <v>8</v>
      </c>
      <c r="B3" s="33" t="s">
        <v>747</v>
      </c>
      <c r="C3" s="33"/>
      <c r="D3" s="33"/>
      <c r="E3" s="33"/>
      <c r="F3" s="33"/>
      <c r="G3" s="33"/>
      <c r="H3" s="33"/>
      <c r="I3" s="12"/>
      <c r="J3" s="185"/>
      <c r="K3" s="185" t="s">
        <v>749</v>
      </c>
      <c r="L3" s="9">
        <f>B10</f>
        <v>1.085</v>
      </c>
      <c r="M3" s="185"/>
      <c r="N3" s="185"/>
      <c r="O3" s="185"/>
      <c r="P3" s="185"/>
    </row>
    <row r="4" spans="1:16" x14ac:dyDescent="0.3">
      <c r="A4" s="13"/>
      <c r="B4" s="34"/>
      <c r="C4" s="34"/>
      <c r="D4" s="34"/>
      <c r="E4" s="34"/>
      <c r="F4" s="34"/>
      <c r="G4" s="34"/>
      <c r="H4" s="34"/>
      <c r="I4" s="14"/>
      <c r="J4" s="185"/>
      <c r="K4" s="185" t="s">
        <v>750</v>
      </c>
      <c r="L4" s="185"/>
      <c r="M4" s="331">
        <f>B6*B7</f>
        <v>6000000</v>
      </c>
      <c r="N4" s="185"/>
      <c r="O4" s="185"/>
      <c r="P4" s="185"/>
    </row>
    <row r="5" spans="1:16" x14ac:dyDescent="0.3">
      <c r="A5" s="15" t="s">
        <v>9</v>
      </c>
      <c r="B5" s="36" t="s">
        <v>736</v>
      </c>
      <c r="C5" s="36"/>
      <c r="D5" s="36"/>
      <c r="E5" s="36"/>
      <c r="F5" s="36"/>
      <c r="G5" s="36"/>
      <c r="H5" s="36"/>
      <c r="I5" s="37"/>
      <c r="J5" s="185"/>
      <c r="K5" s="185"/>
      <c r="L5" s="332"/>
      <c r="M5" s="185"/>
      <c r="N5" s="185"/>
      <c r="O5" s="185"/>
      <c r="P5" s="185"/>
    </row>
    <row r="6" spans="1:16" ht="15.6" x14ac:dyDescent="0.35">
      <c r="A6" s="16"/>
      <c r="B6" s="239">
        <v>10000000</v>
      </c>
      <c r="C6" s="43" t="s">
        <v>547</v>
      </c>
      <c r="D6" s="117"/>
      <c r="E6" s="117"/>
      <c r="F6" s="117"/>
      <c r="G6" s="117"/>
      <c r="H6" s="118"/>
      <c r="I6" s="37"/>
      <c r="K6" s="185" t="s">
        <v>751</v>
      </c>
      <c r="L6" s="332"/>
      <c r="M6" s="185"/>
      <c r="N6" s="185"/>
      <c r="O6" s="185"/>
      <c r="P6" s="185"/>
    </row>
    <row r="7" spans="1:16" ht="15.6" x14ac:dyDescent="0.35">
      <c r="A7" s="16"/>
      <c r="B7" s="224">
        <v>0.6</v>
      </c>
      <c r="C7" s="267" t="s">
        <v>737</v>
      </c>
      <c r="D7" s="36"/>
      <c r="E7" s="36"/>
      <c r="F7" s="36"/>
      <c r="G7" s="36"/>
      <c r="H7" s="119"/>
      <c r="I7" s="37"/>
      <c r="K7" s="185" t="s">
        <v>752</v>
      </c>
      <c r="L7" s="185"/>
      <c r="M7" s="185"/>
      <c r="N7" s="185"/>
      <c r="O7" s="185"/>
      <c r="P7" s="185"/>
    </row>
    <row r="8" spans="1:16" x14ac:dyDescent="0.3">
      <c r="A8" s="16"/>
      <c r="B8" s="224">
        <v>0.8</v>
      </c>
      <c r="C8" s="267" t="s">
        <v>738</v>
      </c>
      <c r="D8" s="36"/>
      <c r="E8" s="36"/>
      <c r="F8" s="36"/>
      <c r="G8" s="36"/>
      <c r="H8" s="119"/>
      <c r="I8" s="37"/>
      <c r="K8" s="185" t="s">
        <v>753</v>
      </c>
      <c r="L8" s="185"/>
      <c r="M8" s="185"/>
      <c r="N8" s="185"/>
      <c r="O8" s="185"/>
      <c r="P8" s="185"/>
    </row>
    <row r="9" spans="1:16" x14ac:dyDescent="0.3">
      <c r="A9" s="16"/>
      <c r="B9" s="224">
        <v>0.2</v>
      </c>
      <c r="C9" s="267" t="s">
        <v>739</v>
      </c>
      <c r="D9" s="36"/>
      <c r="E9" s="36"/>
      <c r="F9" s="36"/>
      <c r="G9" s="36"/>
      <c r="H9" s="119"/>
      <c r="I9" s="37"/>
      <c r="K9" s="185"/>
      <c r="L9" s="185"/>
      <c r="M9" s="185"/>
      <c r="N9" s="185"/>
      <c r="O9" s="185"/>
      <c r="P9" s="185"/>
    </row>
    <row r="10" spans="1:16" ht="15.6" x14ac:dyDescent="0.35">
      <c r="A10" s="16"/>
      <c r="B10" s="168">
        <v>1.085</v>
      </c>
      <c r="C10" s="267" t="s">
        <v>440</v>
      </c>
      <c r="D10" s="36"/>
      <c r="E10" s="36"/>
      <c r="F10" s="36"/>
      <c r="G10" s="36"/>
      <c r="H10" s="119"/>
      <c r="I10" s="37"/>
      <c r="K10" s="333" t="s">
        <v>754</v>
      </c>
      <c r="L10" s="248">
        <f>((90%-70%)*(1-80%) + (100% - 90%)*(120% - 80%))/B7</f>
        <v>0.13333333333333333</v>
      </c>
      <c r="M10" s="185"/>
      <c r="N10" s="185"/>
      <c r="O10" s="185"/>
      <c r="P10" s="185"/>
    </row>
    <row r="11" spans="1:16" ht="15.6" x14ac:dyDescent="0.35">
      <c r="A11" s="16"/>
      <c r="B11" s="330">
        <v>0.97</v>
      </c>
      <c r="C11" s="268" t="s">
        <v>740</v>
      </c>
      <c r="D11" s="120"/>
      <c r="E11" s="120"/>
      <c r="F11" s="120"/>
      <c r="G11" s="120"/>
      <c r="H11" s="121"/>
      <c r="I11" s="37"/>
      <c r="K11" s="333" t="s">
        <v>755</v>
      </c>
      <c r="L11" s="248">
        <f>((20% - 0%)*(20%-0%))/B7</f>
        <v>6.666666666666668E-2</v>
      </c>
      <c r="M11" s="185"/>
      <c r="N11" s="185"/>
      <c r="O11" s="185"/>
      <c r="P11" s="185"/>
    </row>
    <row r="12" spans="1:16" x14ac:dyDescent="0.3">
      <c r="A12" s="16"/>
      <c r="B12" s="36"/>
      <c r="C12" s="36"/>
      <c r="D12" s="36"/>
      <c r="E12" s="36"/>
      <c r="F12" s="36"/>
      <c r="G12" s="36"/>
      <c r="H12" s="36"/>
      <c r="I12" s="37"/>
      <c r="K12" s="185"/>
      <c r="L12" s="185"/>
      <c r="M12" s="185"/>
      <c r="N12" s="185"/>
      <c r="O12" s="185"/>
      <c r="P12" s="185"/>
    </row>
    <row r="13" spans="1:16" x14ac:dyDescent="0.3">
      <c r="A13" s="16"/>
      <c r="B13" s="36" t="s">
        <v>745</v>
      </c>
      <c r="C13" s="36"/>
      <c r="D13" s="36"/>
      <c r="E13" s="36"/>
      <c r="F13" s="36"/>
      <c r="G13" s="36"/>
      <c r="H13" s="36"/>
      <c r="I13" s="37"/>
      <c r="K13" s="185" t="s">
        <v>756</v>
      </c>
      <c r="L13" s="185"/>
      <c r="N13" s="334">
        <f>L3*M4*(L10-L11)</f>
        <v>433999.99999999988</v>
      </c>
      <c r="O13" s="185"/>
      <c r="P13" s="185"/>
    </row>
    <row r="14" spans="1:16" x14ac:dyDescent="0.3">
      <c r="A14" s="16"/>
      <c r="B14" s="36" t="s">
        <v>746</v>
      </c>
      <c r="C14" s="36"/>
      <c r="D14" s="36"/>
      <c r="E14" s="36"/>
      <c r="F14" s="36"/>
      <c r="G14" s="36"/>
      <c r="H14" s="36"/>
      <c r="I14" s="37"/>
      <c r="K14" s="185"/>
      <c r="L14" s="185"/>
      <c r="M14" s="185"/>
      <c r="N14" s="185"/>
      <c r="O14" s="185"/>
      <c r="P14" s="185"/>
    </row>
    <row r="15" spans="1:16" x14ac:dyDescent="0.3">
      <c r="A15" s="16"/>
      <c r="B15" s="36"/>
      <c r="C15" s="36"/>
      <c r="D15" s="36"/>
      <c r="E15" s="36"/>
      <c r="F15" s="36"/>
      <c r="G15" s="36"/>
      <c r="H15" s="36"/>
      <c r="I15" s="37"/>
      <c r="J15" t="s">
        <v>38</v>
      </c>
      <c r="K15" s="185" t="s">
        <v>757</v>
      </c>
      <c r="L15" s="185"/>
      <c r="M15" s="185"/>
      <c r="N15" s="185"/>
      <c r="O15" s="185"/>
      <c r="P15" s="185"/>
    </row>
    <row r="16" spans="1:16" x14ac:dyDescent="0.3">
      <c r="A16" s="16"/>
      <c r="B16" s="36"/>
      <c r="C16" s="36"/>
      <c r="D16" s="36"/>
      <c r="E16" s="36"/>
      <c r="F16" s="36"/>
      <c r="G16" s="36"/>
      <c r="H16" s="36"/>
      <c r="I16" s="37"/>
      <c r="K16" s="185"/>
      <c r="L16" s="185"/>
      <c r="M16" s="185"/>
      <c r="N16" s="185"/>
      <c r="O16" s="185"/>
      <c r="P16" s="185"/>
    </row>
    <row r="17" spans="1:16" x14ac:dyDescent="0.3">
      <c r="A17" s="16"/>
      <c r="B17" s="36"/>
      <c r="C17" s="36"/>
      <c r="D17" s="36"/>
      <c r="E17" s="36"/>
      <c r="F17" s="36"/>
      <c r="G17" s="36"/>
      <c r="H17" s="36"/>
      <c r="I17" s="37"/>
      <c r="K17" s="185" t="s">
        <v>758</v>
      </c>
      <c r="L17" s="185"/>
      <c r="M17" s="185"/>
      <c r="N17" s="185"/>
      <c r="O17" s="185"/>
      <c r="P17" s="185"/>
    </row>
    <row r="18" spans="1:16" x14ac:dyDescent="0.3">
      <c r="A18" s="16"/>
      <c r="B18" s="36"/>
      <c r="C18" s="36"/>
      <c r="D18" s="36"/>
      <c r="E18" s="36"/>
      <c r="F18" s="36"/>
      <c r="G18" s="36"/>
      <c r="H18" s="36"/>
      <c r="I18" s="37"/>
      <c r="K18" s="185" t="s">
        <v>759</v>
      </c>
      <c r="L18" s="185"/>
      <c r="M18" s="185"/>
      <c r="N18" s="185"/>
      <c r="O18" s="185"/>
      <c r="P18" s="185"/>
    </row>
    <row r="19" spans="1:16" x14ac:dyDescent="0.3">
      <c r="A19" s="16"/>
      <c r="B19" s="36"/>
      <c r="C19" s="36"/>
      <c r="D19" s="36"/>
      <c r="E19" s="36"/>
      <c r="F19" s="36"/>
      <c r="G19" s="36"/>
      <c r="H19" s="36"/>
      <c r="I19" s="37"/>
      <c r="K19" s="185" t="s">
        <v>760</v>
      </c>
      <c r="L19" s="185"/>
      <c r="M19" s="185"/>
      <c r="N19" s="185"/>
      <c r="O19" s="185"/>
      <c r="P19" s="185"/>
    </row>
    <row r="20" spans="1:16" x14ac:dyDescent="0.3">
      <c r="A20" s="16"/>
      <c r="B20" s="36"/>
      <c r="C20" s="36"/>
      <c r="D20" s="36"/>
      <c r="E20" s="36"/>
      <c r="F20" s="36"/>
      <c r="G20" s="36"/>
      <c r="H20" s="36"/>
      <c r="I20" s="37"/>
      <c r="K20" s="185" t="s">
        <v>761</v>
      </c>
      <c r="L20" s="296">
        <f>(B11-B7)*B6</f>
        <v>3700000</v>
      </c>
      <c r="M20" s="185"/>
      <c r="N20" s="185"/>
      <c r="O20" s="185"/>
      <c r="P20" s="185"/>
    </row>
    <row r="21" spans="1:16" x14ac:dyDescent="0.3">
      <c r="A21" s="16"/>
      <c r="B21" s="36"/>
      <c r="C21" s="36"/>
      <c r="D21" s="36"/>
      <c r="E21" s="36"/>
      <c r="F21" s="36"/>
      <c r="G21" s="36"/>
      <c r="H21" s="36"/>
      <c r="I21" s="37"/>
      <c r="K21" s="185"/>
      <c r="L21" s="185"/>
      <c r="M21" s="185"/>
      <c r="N21" s="185"/>
      <c r="O21" s="185"/>
      <c r="P21" s="185"/>
    </row>
    <row r="22" spans="1:16" x14ac:dyDescent="0.3">
      <c r="A22" s="16"/>
      <c r="B22" s="36"/>
      <c r="C22" s="36"/>
      <c r="D22" s="36"/>
      <c r="E22" s="36"/>
      <c r="F22" s="36"/>
      <c r="G22" s="36"/>
      <c r="H22" s="36"/>
      <c r="I22" s="37"/>
      <c r="K22" s="185" t="s">
        <v>762</v>
      </c>
      <c r="L22" s="296">
        <f>L20-(L3-1)*M4+N13</f>
        <v>3624000</v>
      </c>
      <c r="M22" s="185"/>
      <c r="N22" s="185"/>
      <c r="O22" s="185"/>
      <c r="P22" s="185"/>
    </row>
    <row r="23" spans="1:16" x14ac:dyDescent="0.3">
      <c r="A23" s="16"/>
      <c r="B23" s="36"/>
      <c r="C23" s="36"/>
      <c r="D23" s="36"/>
      <c r="E23" s="36"/>
      <c r="F23" s="36"/>
      <c r="G23" s="36"/>
      <c r="H23" s="36"/>
      <c r="I23" s="37"/>
      <c r="K23" s="185"/>
      <c r="L23" s="185"/>
      <c r="M23" s="185"/>
      <c r="N23" s="185"/>
      <c r="O23" s="185"/>
      <c r="P23" s="185"/>
    </row>
    <row r="24" spans="1:16" x14ac:dyDescent="0.3">
      <c r="A24" s="16"/>
      <c r="B24" s="36"/>
      <c r="C24" s="36"/>
      <c r="D24" s="36"/>
      <c r="E24" s="36"/>
      <c r="F24" s="36"/>
      <c r="G24" s="36"/>
      <c r="H24" s="36"/>
      <c r="I24" s="37"/>
      <c r="K24" s="185" t="s">
        <v>763</v>
      </c>
      <c r="L24" s="296">
        <v>12500000</v>
      </c>
      <c r="M24" s="185" t="s">
        <v>764</v>
      </c>
      <c r="N24" s="185"/>
      <c r="O24" s="185"/>
      <c r="P24" s="185"/>
    </row>
    <row r="25" spans="1:16" x14ac:dyDescent="0.3">
      <c r="A25" s="16"/>
      <c r="B25" s="36"/>
      <c r="C25" s="36"/>
      <c r="D25" s="36"/>
      <c r="E25" s="36"/>
      <c r="F25" s="36"/>
      <c r="G25" s="36"/>
      <c r="H25" s="36"/>
      <c r="I25" s="37"/>
      <c r="K25" s="185"/>
      <c r="L25" s="185"/>
      <c r="M25" s="185"/>
      <c r="N25" s="185"/>
      <c r="O25" s="185"/>
      <c r="P25" s="185"/>
    </row>
    <row r="26" spans="1:16" x14ac:dyDescent="0.3">
      <c r="A26" s="16"/>
      <c r="B26" s="36"/>
      <c r="C26" s="36"/>
      <c r="D26" s="36"/>
      <c r="E26" s="36"/>
      <c r="F26" s="36"/>
      <c r="G26" s="36"/>
      <c r="H26" s="36"/>
      <c r="I26" s="37"/>
      <c r="K26" s="185" t="s">
        <v>765</v>
      </c>
      <c r="L26" s="185"/>
      <c r="M26" s="185"/>
      <c r="N26" s="185"/>
      <c r="O26" s="185"/>
      <c r="P26" s="185"/>
    </row>
    <row r="27" spans="1:16" x14ac:dyDescent="0.3">
      <c r="A27" s="16"/>
      <c r="B27" s="36"/>
      <c r="C27" s="36"/>
      <c r="D27" s="36"/>
      <c r="E27" s="36"/>
      <c r="F27" s="36"/>
      <c r="G27" s="36"/>
      <c r="H27" s="36"/>
      <c r="I27" s="37"/>
      <c r="K27" s="221">
        <f>8700000/B6</f>
        <v>0.87</v>
      </c>
      <c r="L27" s="185"/>
      <c r="M27" s="185"/>
      <c r="N27" s="185"/>
      <c r="O27" s="185"/>
      <c r="P27" s="185"/>
    </row>
    <row r="28" spans="1:16" x14ac:dyDescent="0.3">
      <c r="A28" s="16"/>
      <c r="B28" s="36"/>
      <c r="C28" s="36"/>
      <c r="D28" s="36"/>
      <c r="E28" s="36"/>
      <c r="F28" s="36"/>
      <c r="G28" s="36"/>
      <c r="H28" s="36"/>
      <c r="I28" s="37"/>
      <c r="K28" s="185" t="s">
        <v>766</v>
      </c>
      <c r="L28" s="185"/>
      <c r="M28" s="185"/>
      <c r="N28" s="185"/>
      <c r="O28" s="185"/>
      <c r="P28" s="185"/>
    </row>
    <row r="29" spans="1:16" x14ac:dyDescent="0.3">
      <c r="A29" s="16"/>
      <c r="B29" s="36"/>
      <c r="C29" s="36"/>
      <c r="D29" s="36"/>
      <c r="E29" s="36"/>
      <c r="F29" s="36"/>
      <c r="G29" s="36"/>
      <c r="H29" s="36"/>
      <c r="I29" s="37"/>
      <c r="K29" s="185" t="s">
        <v>767</v>
      </c>
      <c r="L29" s="185"/>
      <c r="M29" s="331">
        <f>80%*B6</f>
        <v>8000000</v>
      </c>
      <c r="N29" s="185"/>
      <c r="O29" s="185"/>
      <c r="P29" s="185"/>
    </row>
    <row r="30" spans="1:16" x14ac:dyDescent="0.3">
      <c r="A30" s="16"/>
      <c r="B30" s="36"/>
      <c r="C30" s="36"/>
      <c r="D30" s="36"/>
      <c r="E30" s="36"/>
      <c r="F30" s="36"/>
      <c r="G30" s="36"/>
      <c r="H30" s="36"/>
      <c r="I30" s="37"/>
      <c r="K30" s="185"/>
      <c r="L30" s="185"/>
      <c r="M30" s="185"/>
      <c r="N30" s="185"/>
      <c r="O30" s="185"/>
      <c r="P30" s="185"/>
    </row>
    <row r="31" spans="1:16" x14ac:dyDescent="0.3">
      <c r="A31" s="63" t="s">
        <v>10</v>
      </c>
      <c r="B31" s="36" t="s">
        <v>741</v>
      </c>
      <c r="C31" s="36"/>
      <c r="D31" s="36"/>
      <c r="E31" s="36"/>
      <c r="F31" s="36"/>
      <c r="G31" s="36"/>
      <c r="H31" s="36"/>
      <c r="I31" s="37"/>
      <c r="K31" s="185" t="s">
        <v>768</v>
      </c>
      <c r="L31" s="185"/>
      <c r="M31" s="185"/>
      <c r="N31" s="185"/>
      <c r="O31" s="185"/>
      <c r="P31" s="185"/>
    </row>
    <row r="32" spans="1:16" x14ac:dyDescent="0.3">
      <c r="A32" s="16"/>
      <c r="B32" s="36"/>
      <c r="C32" s="36"/>
      <c r="D32" s="36"/>
      <c r="E32" s="36"/>
      <c r="F32" s="36"/>
      <c r="G32" s="36"/>
      <c r="H32" s="36"/>
      <c r="I32" s="37"/>
      <c r="K32" s="185" t="s">
        <v>769</v>
      </c>
      <c r="L32" s="185"/>
      <c r="M32" s="335">
        <f>L24/(L22+L3*M29)</f>
        <v>1.0159297789336801</v>
      </c>
      <c r="N32" s="185"/>
      <c r="O32" s="185"/>
      <c r="P32" s="185"/>
    </row>
    <row r="33" spans="1:16" x14ac:dyDescent="0.3">
      <c r="A33" s="16"/>
      <c r="B33" s="36" t="s">
        <v>742</v>
      </c>
      <c r="C33" s="36"/>
      <c r="D33" s="36"/>
      <c r="E33" s="36"/>
      <c r="F33" s="36"/>
      <c r="G33" s="36"/>
      <c r="H33" s="36"/>
      <c r="I33" s="37"/>
      <c r="K33" s="185"/>
      <c r="L33" s="185"/>
      <c r="M33" s="185"/>
      <c r="N33" s="185"/>
      <c r="O33" s="185"/>
      <c r="P33" s="185"/>
    </row>
    <row r="34" spans="1:16" x14ac:dyDescent="0.3">
      <c r="A34" s="16"/>
      <c r="B34" s="36" t="s">
        <v>743</v>
      </c>
      <c r="C34" s="36"/>
      <c r="D34" s="36"/>
      <c r="E34" s="36"/>
      <c r="F34" s="36"/>
      <c r="G34" s="36"/>
      <c r="H34" s="36"/>
      <c r="I34" s="37"/>
    </row>
    <row r="35" spans="1:16" ht="15" thickBot="1" x14ac:dyDescent="0.35">
      <c r="A35" s="17"/>
      <c r="B35" s="41" t="s">
        <v>744</v>
      </c>
      <c r="C35" s="41"/>
      <c r="D35" s="41"/>
      <c r="E35" s="41"/>
      <c r="F35" s="41"/>
      <c r="G35" s="41"/>
      <c r="H35" s="41"/>
      <c r="I35" s="42"/>
    </row>
  </sheetData>
  <mergeCells count="1">
    <mergeCell ref="H1:I1"/>
  </mergeCells>
  <hyperlinks>
    <hyperlink ref="H1" location="TOC!A1" display="Return to TOC" xr:uid="{69002FC6-D507-4228-B97E-8F1DEB49EABC}"/>
  </hyperlink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71FF3-3F2A-490F-A7B5-0A0B9B2CF1D7}">
  <dimension ref="A1:K17"/>
  <sheetViews>
    <sheetView workbookViewId="0"/>
  </sheetViews>
  <sheetFormatPr defaultRowHeight="14.4" x14ac:dyDescent="0.3"/>
  <cols>
    <col min="1" max="1" width="13.33203125" bestFit="1" customWidth="1"/>
    <col min="6" max="6" width="12.6640625" customWidth="1"/>
    <col min="7" max="7" width="9.21875" customWidth="1"/>
    <col min="8" max="8" width="3.77734375" customWidth="1"/>
    <col min="10" max="10" width="10.5546875" bestFit="1" customWidth="1"/>
  </cols>
  <sheetData>
    <row r="1" spans="1:11" x14ac:dyDescent="0.3">
      <c r="A1" s="6" t="s">
        <v>4</v>
      </c>
      <c r="B1" s="7" t="s">
        <v>524</v>
      </c>
      <c r="C1" s="7"/>
      <c r="D1" s="8"/>
      <c r="E1" s="8"/>
      <c r="F1" s="490" t="s">
        <v>5</v>
      </c>
      <c r="G1" s="491"/>
      <c r="I1" s="10" t="s">
        <v>6</v>
      </c>
    </row>
    <row r="2" spans="1:11" x14ac:dyDescent="0.3">
      <c r="A2" s="11" t="s">
        <v>7</v>
      </c>
      <c r="B2" s="33" t="s">
        <v>1023</v>
      </c>
      <c r="C2" s="33"/>
      <c r="D2" s="33"/>
      <c r="E2" s="33"/>
      <c r="F2" s="33"/>
      <c r="G2" s="12"/>
      <c r="H2" t="s">
        <v>28</v>
      </c>
      <c r="I2" s="185" t="s">
        <v>1028</v>
      </c>
    </row>
    <row r="3" spans="1:11" x14ac:dyDescent="0.3">
      <c r="A3" s="11" t="s">
        <v>8</v>
      </c>
      <c r="B3" s="33" t="s">
        <v>1040</v>
      </c>
      <c r="C3" s="33"/>
      <c r="D3" s="33"/>
      <c r="E3" s="33"/>
      <c r="F3" s="33"/>
      <c r="G3" s="12"/>
      <c r="H3" s="185"/>
      <c r="I3" s="185"/>
    </row>
    <row r="4" spans="1:11" x14ac:dyDescent="0.3">
      <c r="A4" s="13"/>
      <c r="B4" s="34"/>
      <c r="C4" s="34"/>
      <c r="D4" s="34"/>
      <c r="E4" s="34"/>
      <c r="F4" s="34"/>
      <c r="G4" s="14"/>
      <c r="H4" s="185"/>
      <c r="I4" t="s">
        <v>1029</v>
      </c>
      <c r="J4" s="432">
        <f>(B8+B10)*B6*B9</f>
        <v>82400</v>
      </c>
      <c r="K4" t="s">
        <v>1039</v>
      </c>
    </row>
    <row r="5" spans="1:11" x14ac:dyDescent="0.3">
      <c r="A5" s="15" t="s">
        <v>9</v>
      </c>
      <c r="B5" s="36" t="s">
        <v>1027</v>
      </c>
      <c r="C5" s="36"/>
      <c r="D5" s="36"/>
      <c r="E5" s="36"/>
      <c r="F5" s="36"/>
      <c r="G5" s="37"/>
      <c r="H5" s="185"/>
      <c r="I5" s="185"/>
    </row>
    <row r="6" spans="1:11" x14ac:dyDescent="0.3">
      <c r="A6" s="16"/>
      <c r="B6" s="116">
        <v>100000</v>
      </c>
      <c r="C6" s="43" t="s">
        <v>547</v>
      </c>
      <c r="D6" s="117"/>
      <c r="E6" s="117"/>
      <c r="F6" s="118"/>
      <c r="G6" s="37"/>
      <c r="H6" t="s">
        <v>38</v>
      </c>
      <c r="I6" s="185" t="s">
        <v>1031</v>
      </c>
    </row>
    <row r="7" spans="1:11" x14ac:dyDescent="0.3">
      <c r="A7" s="16"/>
      <c r="B7" s="282">
        <v>1.1000000000000001</v>
      </c>
      <c r="C7" s="267" t="s">
        <v>440</v>
      </c>
      <c r="D7" s="36"/>
      <c r="E7" s="36"/>
      <c r="F7" s="119"/>
      <c r="G7" s="37"/>
      <c r="I7" s="185" t="s">
        <v>1032</v>
      </c>
      <c r="K7" s="62">
        <f>B11*B6</f>
        <v>30000</v>
      </c>
    </row>
    <row r="8" spans="1:11" x14ac:dyDescent="0.3">
      <c r="A8" s="16"/>
      <c r="B8" s="433">
        <v>0.6</v>
      </c>
      <c r="C8" s="267" t="s">
        <v>737</v>
      </c>
      <c r="D8" s="36"/>
      <c r="E8" s="36"/>
      <c r="F8" s="119"/>
      <c r="G8" s="37"/>
      <c r="I8" s="185" t="s">
        <v>612</v>
      </c>
      <c r="J8" s="271">
        <f>(J4/B9-K7)/B7</f>
        <v>45454.545454545449</v>
      </c>
    </row>
    <row r="9" spans="1:11" x14ac:dyDescent="0.3">
      <c r="A9" s="16"/>
      <c r="B9" s="282">
        <v>1.03</v>
      </c>
      <c r="C9" s="267" t="s">
        <v>439</v>
      </c>
      <c r="D9" s="36"/>
      <c r="E9" s="36"/>
      <c r="F9" s="119"/>
      <c r="G9" s="37"/>
    </row>
    <row r="10" spans="1:11" x14ac:dyDescent="0.3">
      <c r="A10" s="16"/>
      <c r="B10" s="433">
        <v>0.2</v>
      </c>
      <c r="C10" s="267" t="s">
        <v>1024</v>
      </c>
      <c r="D10" s="36"/>
      <c r="E10" s="36"/>
      <c r="F10" s="119"/>
      <c r="G10" s="37"/>
      <c r="H10" t="s">
        <v>240</v>
      </c>
      <c r="I10" s="185" t="s">
        <v>1033</v>
      </c>
    </row>
    <row r="11" spans="1:11" x14ac:dyDescent="0.3">
      <c r="A11" s="16"/>
      <c r="B11" s="434">
        <v>0.3</v>
      </c>
      <c r="C11" s="268" t="s">
        <v>1025</v>
      </c>
      <c r="D11" s="120"/>
      <c r="E11" s="120"/>
      <c r="F11" s="121"/>
      <c r="G11" s="37"/>
      <c r="I11" s="185" t="s">
        <v>1034</v>
      </c>
      <c r="J11" s="62">
        <f>B10*B6</f>
        <v>20000</v>
      </c>
    </row>
    <row r="12" spans="1:11" x14ac:dyDescent="0.3">
      <c r="A12" s="16"/>
      <c r="B12" s="36"/>
      <c r="C12" s="36"/>
      <c r="D12" s="36"/>
      <c r="E12" s="36"/>
      <c r="F12" s="36"/>
      <c r="G12" s="37"/>
      <c r="I12" s="185" t="s">
        <v>603</v>
      </c>
      <c r="J12" s="270">
        <f>(K7-J11+(B7-1)*B8*B6)/B7</f>
        <v>14545.45454545455</v>
      </c>
    </row>
    <row r="13" spans="1:11" x14ac:dyDescent="0.3">
      <c r="A13" s="63" t="s">
        <v>10</v>
      </c>
      <c r="B13" s="36" t="s">
        <v>1026</v>
      </c>
      <c r="C13" s="36"/>
      <c r="D13" s="36"/>
      <c r="E13" s="36"/>
      <c r="F13" s="36"/>
      <c r="G13" s="37"/>
      <c r="I13" s="185" t="s">
        <v>1036</v>
      </c>
    </row>
    <row r="14" spans="1:11" x14ac:dyDescent="0.3">
      <c r="A14" s="16"/>
      <c r="B14" s="36"/>
      <c r="C14" s="36"/>
      <c r="D14" s="36"/>
      <c r="E14" s="36"/>
      <c r="F14" s="36"/>
      <c r="G14" s="37"/>
      <c r="I14" s="185" t="s">
        <v>1037</v>
      </c>
    </row>
    <row r="15" spans="1:11" x14ac:dyDescent="0.3">
      <c r="A15" s="16"/>
      <c r="B15" s="36" t="s">
        <v>1030</v>
      </c>
      <c r="C15" s="36"/>
      <c r="D15" s="36"/>
      <c r="E15" s="36"/>
      <c r="F15" s="36"/>
      <c r="G15" s="37"/>
    </row>
    <row r="16" spans="1:11" x14ac:dyDescent="0.3">
      <c r="A16" s="16"/>
      <c r="B16" s="36"/>
      <c r="C16" s="36"/>
      <c r="D16" s="36"/>
      <c r="E16" s="36"/>
      <c r="F16" s="36"/>
      <c r="G16" s="37"/>
      <c r="I16" s="290">
        <f>J12/(B8*B6)</f>
        <v>0.24242424242424249</v>
      </c>
      <c r="J16" t="s">
        <v>1038</v>
      </c>
    </row>
    <row r="17" spans="1:7" ht="15" thickBot="1" x14ac:dyDescent="0.35">
      <c r="A17" s="17"/>
      <c r="B17" s="41" t="s">
        <v>1035</v>
      </c>
      <c r="C17" s="41"/>
      <c r="D17" s="41"/>
      <c r="E17" s="41"/>
      <c r="F17" s="41"/>
      <c r="G17" s="42"/>
    </row>
  </sheetData>
  <mergeCells count="1">
    <mergeCell ref="F1:G1"/>
  </mergeCells>
  <hyperlinks>
    <hyperlink ref="F1" location="TOC!A1" display="Return to TOC" xr:uid="{2FEBCAFF-4120-4AA6-9558-9708BB56C828}"/>
  </hyperlink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CF16D-3555-4C34-8797-F9D845CBC9CE}">
  <dimension ref="A1:M18"/>
  <sheetViews>
    <sheetView workbookViewId="0"/>
  </sheetViews>
  <sheetFormatPr defaultRowHeight="14.4" x14ac:dyDescent="0.3"/>
  <cols>
    <col min="1" max="1" width="13.33203125" bestFit="1" customWidth="1"/>
    <col min="8" max="8" width="3.77734375" customWidth="1"/>
  </cols>
  <sheetData>
    <row r="1" spans="1:13" x14ac:dyDescent="0.3">
      <c r="A1" s="6" t="s">
        <v>4</v>
      </c>
      <c r="B1" s="7" t="s">
        <v>524</v>
      </c>
      <c r="C1" s="7"/>
      <c r="D1" s="8"/>
      <c r="E1" s="8"/>
      <c r="F1" s="490" t="s">
        <v>5</v>
      </c>
      <c r="G1" s="491"/>
      <c r="I1" s="10" t="s">
        <v>6</v>
      </c>
    </row>
    <row r="2" spans="1:13" x14ac:dyDescent="0.3">
      <c r="A2" s="11" t="s">
        <v>7</v>
      </c>
      <c r="B2" s="33" t="s">
        <v>1401</v>
      </c>
      <c r="C2" s="33"/>
      <c r="D2" s="33"/>
      <c r="E2" s="33"/>
      <c r="F2" s="33"/>
      <c r="G2" s="12"/>
      <c r="H2" t="s">
        <v>28</v>
      </c>
      <c r="I2" s="185" t="s">
        <v>1407</v>
      </c>
    </row>
    <row r="3" spans="1:13" x14ac:dyDescent="0.3">
      <c r="A3" s="11" t="s">
        <v>8</v>
      </c>
      <c r="B3" s="33" t="s">
        <v>1406</v>
      </c>
      <c r="C3" s="33"/>
      <c r="D3" s="33"/>
      <c r="E3" s="33"/>
      <c r="F3" s="33"/>
      <c r="G3" s="12"/>
      <c r="H3" s="185"/>
      <c r="I3" s="185" t="s">
        <v>1408</v>
      </c>
    </row>
    <row r="4" spans="1:13" x14ac:dyDescent="0.3">
      <c r="A4" s="13"/>
      <c r="B4" s="34"/>
      <c r="C4" s="34"/>
      <c r="D4" s="34"/>
      <c r="E4" s="34"/>
      <c r="F4" s="34"/>
      <c r="G4" s="14"/>
      <c r="H4" s="185"/>
    </row>
    <row r="5" spans="1:13" x14ac:dyDescent="0.3">
      <c r="A5" s="15" t="s">
        <v>9</v>
      </c>
      <c r="B5" s="36" t="s">
        <v>1402</v>
      </c>
      <c r="C5" s="36"/>
      <c r="D5" s="36"/>
      <c r="E5" s="36"/>
      <c r="F5" s="36"/>
      <c r="G5" s="37"/>
      <c r="H5" s="185"/>
      <c r="I5" s="185" t="s">
        <v>1409</v>
      </c>
    </row>
    <row r="6" spans="1:13" x14ac:dyDescent="0.3">
      <c r="A6" s="16"/>
      <c r="B6" s="33" t="s">
        <v>1403</v>
      </c>
      <c r="C6" s="36"/>
      <c r="D6" s="36"/>
      <c r="E6" s="36"/>
      <c r="F6" s="36"/>
      <c r="G6" s="37"/>
      <c r="I6" s="185" t="s">
        <v>1410</v>
      </c>
    </row>
    <row r="7" spans="1:13" x14ac:dyDescent="0.3">
      <c r="A7" s="16"/>
      <c r="B7" s="36"/>
      <c r="C7" s="36"/>
      <c r="D7" s="36"/>
      <c r="E7" s="36"/>
      <c r="F7" s="36"/>
      <c r="G7" s="37"/>
    </row>
    <row r="8" spans="1:13" x14ac:dyDescent="0.3">
      <c r="A8" s="16"/>
      <c r="B8" s="49" t="s">
        <v>1053</v>
      </c>
      <c r="C8" s="45"/>
      <c r="D8" s="36"/>
      <c r="E8" s="36"/>
      <c r="F8" s="36"/>
      <c r="G8" s="37"/>
      <c r="I8" s="185" t="s">
        <v>1412</v>
      </c>
    </row>
    <row r="9" spans="1:13" x14ac:dyDescent="0.3">
      <c r="A9" s="16"/>
      <c r="B9" s="54" t="s">
        <v>1052</v>
      </c>
      <c r="C9" s="48" t="s">
        <v>1404</v>
      </c>
      <c r="D9" s="36"/>
      <c r="E9" s="36"/>
      <c r="F9" s="36"/>
      <c r="G9" s="37"/>
      <c r="I9" s="439">
        <f>C13-C12</f>
        <v>0.29999999999999993</v>
      </c>
    </row>
    <row r="10" spans="1:13" x14ac:dyDescent="0.3">
      <c r="A10" s="16"/>
      <c r="B10" s="466">
        <v>0.6</v>
      </c>
      <c r="C10" s="179">
        <v>0.2</v>
      </c>
      <c r="D10" s="36"/>
      <c r="E10" s="36"/>
      <c r="F10" s="36"/>
      <c r="G10" s="37"/>
    </row>
    <row r="11" spans="1:13" x14ac:dyDescent="0.3">
      <c r="A11" s="16"/>
      <c r="B11" s="161">
        <v>1</v>
      </c>
      <c r="C11" s="162">
        <v>0.45</v>
      </c>
      <c r="D11" s="36"/>
      <c r="E11" s="36"/>
      <c r="F11" s="36"/>
      <c r="G11" s="37"/>
      <c r="I11" s="290" t="s">
        <v>1413</v>
      </c>
      <c r="J11" s="290"/>
      <c r="K11" s="290"/>
      <c r="L11" s="290"/>
      <c r="M11" s="290"/>
    </row>
    <row r="12" spans="1:13" x14ac:dyDescent="0.3">
      <c r="A12" s="16"/>
      <c r="B12" s="161">
        <v>1.4</v>
      </c>
      <c r="C12" s="162">
        <v>0.55000000000000004</v>
      </c>
      <c r="D12" s="36"/>
      <c r="E12" s="36"/>
      <c r="F12" s="36"/>
      <c r="G12" s="37"/>
    </row>
    <row r="13" spans="1:13" x14ac:dyDescent="0.3">
      <c r="A13" s="16"/>
      <c r="B13" s="161">
        <v>2.7</v>
      </c>
      <c r="C13" s="162">
        <v>0.85</v>
      </c>
      <c r="D13" s="36"/>
      <c r="E13" s="36"/>
      <c r="F13" s="36"/>
      <c r="G13" s="37"/>
    </row>
    <row r="14" spans="1:13" x14ac:dyDescent="0.3">
      <c r="A14" s="16"/>
      <c r="B14" s="163">
        <v>3.2</v>
      </c>
      <c r="C14" s="164">
        <v>1</v>
      </c>
      <c r="D14" s="36"/>
      <c r="E14" s="36"/>
      <c r="F14" s="36"/>
      <c r="G14" s="37"/>
    </row>
    <row r="15" spans="1:13" x14ac:dyDescent="0.3">
      <c r="A15" s="16"/>
      <c r="B15" s="36"/>
      <c r="C15" s="36"/>
      <c r="D15" s="36"/>
      <c r="E15" s="36"/>
      <c r="F15" s="36"/>
      <c r="G15" s="37"/>
    </row>
    <row r="16" spans="1:13" x14ac:dyDescent="0.3">
      <c r="A16" s="16"/>
      <c r="B16" s="36" t="s">
        <v>1405</v>
      </c>
      <c r="C16" s="36"/>
      <c r="D16" s="36"/>
      <c r="E16" s="36"/>
      <c r="F16" s="36"/>
      <c r="G16" s="37"/>
    </row>
    <row r="17" spans="1:7" x14ac:dyDescent="0.3">
      <c r="A17" s="16"/>
      <c r="B17" s="36"/>
      <c r="C17" s="36"/>
      <c r="D17" s="36"/>
      <c r="E17" s="36"/>
      <c r="F17" s="36"/>
      <c r="G17" s="37"/>
    </row>
    <row r="18" spans="1:7" ht="15" thickBot="1" x14ac:dyDescent="0.35">
      <c r="A18" s="122" t="s">
        <v>10</v>
      </c>
      <c r="B18" s="41" t="s">
        <v>1411</v>
      </c>
      <c r="C18" s="41"/>
      <c r="D18" s="41"/>
      <c r="E18" s="41"/>
      <c r="F18" s="41"/>
      <c r="G18" s="42"/>
    </row>
  </sheetData>
  <sortState xmlns:xlrd2="http://schemas.microsoft.com/office/spreadsheetml/2017/richdata2" ref="B10:B14">
    <sortCondition ref="B10:B14"/>
  </sortState>
  <mergeCells count="1">
    <mergeCell ref="F1:G1"/>
  </mergeCells>
  <hyperlinks>
    <hyperlink ref="F1" location="TOC!A1" display="Return to TOC" xr:uid="{29EF9DF9-1809-4B15-9F12-95B878E9937B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84AA5-1C55-43CB-A7D5-478C7CD2DEC0}">
  <dimension ref="A1:L23"/>
  <sheetViews>
    <sheetView workbookViewId="0"/>
  </sheetViews>
  <sheetFormatPr defaultRowHeight="14.4" x14ac:dyDescent="0.3"/>
  <cols>
    <col min="1" max="1" width="14" bestFit="1" customWidth="1"/>
    <col min="3" max="3" width="12.33203125" bestFit="1" customWidth="1"/>
    <col min="8" max="8" width="3.6640625" customWidth="1"/>
    <col min="11" max="11" width="10" bestFit="1" customWidth="1"/>
    <col min="12" max="12" width="11.33203125" bestFit="1" customWidth="1"/>
  </cols>
  <sheetData>
    <row r="1" spans="1:12" x14ac:dyDescent="0.3">
      <c r="A1" s="6" t="s">
        <v>4</v>
      </c>
      <c r="B1" s="7" t="s">
        <v>12</v>
      </c>
      <c r="C1" s="7"/>
      <c r="D1" s="8"/>
      <c r="E1" s="8"/>
      <c r="F1" s="490" t="s">
        <v>5</v>
      </c>
      <c r="G1" s="491"/>
      <c r="I1" s="10" t="s">
        <v>6</v>
      </c>
    </row>
    <row r="2" spans="1:12" x14ac:dyDescent="0.3">
      <c r="A2" s="11" t="s">
        <v>7</v>
      </c>
      <c r="B2" s="33" t="s">
        <v>43</v>
      </c>
      <c r="C2" s="33"/>
      <c r="D2" s="33"/>
      <c r="E2" s="33"/>
      <c r="F2" s="33"/>
      <c r="G2" s="12"/>
      <c r="H2" t="s">
        <v>28</v>
      </c>
      <c r="I2" t="s">
        <v>64</v>
      </c>
    </row>
    <row r="3" spans="1:12" x14ac:dyDescent="0.3">
      <c r="A3" s="11" t="s">
        <v>8</v>
      </c>
      <c r="B3" s="33" t="s">
        <v>63</v>
      </c>
      <c r="C3" s="33"/>
      <c r="D3" s="33"/>
      <c r="E3" s="33"/>
      <c r="F3" s="33"/>
      <c r="G3" s="12"/>
      <c r="I3" t="s">
        <v>65</v>
      </c>
    </row>
    <row r="4" spans="1:12" x14ac:dyDescent="0.3">
      <c r="A4" s="13"/>
      <c r="B4" s="34"/>
      <c r="C4" s="34"/>
      <c r="D4" s="34"/>
      <c r="E4" s="34"/>
      <c r="F4" s="34"/>
      <c r="G4" s="14"/>
      <c r="I4" t="s">
        <v>66</v>
      </c>
    </row>
    <row r="5" spans="1:12" x14ac:dyDescent="0.3">
      <c r="A5" s="15" t="s">
        <v>9</v>
      </c>
      <c r="B5" s="33" t="s">
        <v>44</v>
      </c>
      <c r="C5" s="36"/>
      <c r="D5" s="36"/>
      <c r="E5" s="36"/>
      <c r="F5" s="36"/>
      <c r="G5" s="37"/>
    </row>
    <row r="6" spans="1:12" x14ac:dyDescent="0.3">
      <c r="A6" s="16"/>
      <c r="B6" s="33" t="s">
        <v>45</v>
      </c>
      <c r="C6" s="36"/>
      <c r="D6" s="36"/>
      <c r="E6" s="36"/>
      <c r="F6" s="36"/>
      <c r="G6" s="37"/>
      <c r="H6" t="s">
        <v>38</v>
      </c>
      <c r="I6" t="s">
        <v>67</v>
      </c>
    </row>
    <row r="7" spans="1:12" x14ac:dyDescent="0.3">
      <c r="A7" s="16"/>
      <c r="B7" s="33" t="s">
        <v>46</v>
      </c>
      <c r="C7" s="36"/>
      <c r="D7" s="36"/>
      <c r="E7" s="36"/>
      <c r="F7" s="36"/>
      <c r="G7" s="37"/>
      <c r="I7" s="18" t="s">
        <v>47</v>
      </c>
      <c r="J7" s="27" t="s">
        <v>32</v>
      </c>
      <c r="K7" s="27" t="s">
        <v>30</v>
      </c>
      <c r="L7" s="20" t="s">
        <v>31</v>
      </c>
    </row>
    <row r="8" spans="1:12" x14ac:dyDescent="0.3">
      <c r="A8" s="16"/>
      <c r="B8" s="36"/>
      <c r="C8" s="36"/>
      <c r="D8" s="36"/>
      <c r="E8" s="36"/>
      <c r="F8" s="36"/>
      <c r="G8" s="37"/>
      <c r="I8" s="23" t="s">
        <v>57</v>
      </c>
      <c r="J8" s="79">
        <f>C16</f>
        <v>0.81</v>
      </c>
      <c r="K8" s="81">
        <f>INDEX($E$12:$E$16,MATCH(I8,$B$12:$B$16,0))/INDEX($D$12:$D$16,MATCH(I8,$B$12:$B$16,0))</f>
        <v>0.73333333333333328</v>
      </c>
      <c r="L8" s="77">
        <f>INDEX($E$12:$E$16,MATCH(I8,$B$12:$B$16,0))/(INDEX($D$12:$D$16,MATCH(I8,$B$12:$B$16,0))*INDEX($C$12:$C$16,MATCH(I8,$B$12:$B$16,0)))</f>
        <v>0.90534979423868311</v>
      </c>
    </row>
    <row r="9" spans="1:12" x14ac:dyDescent="0.3">
      <c r="A9" s="16"/>
      <c r="B9" s="49"/>
      <c r="C9" s="68" t="s">
        <v>48</v>
      </c>
      <c r="D9" s="68"/>
      <c r="E9" s="45"/>
      <c r="F9" s="36"/>
      <c r="G9" s="37"/>
      <c r="I9" s="23" t="s">
        <v>55</v>
      </c>
      <c r="J9" s="79">
        <f>C14</f>
        <v>0.95</v>
      </c>
      <c r="K9" s="81">
        <f t="shared" ref="K9:K12" si="0">INDEX($E$12:$E$16,MATCH(I9,$B$12:$B$16,0))/INDEX($D$12:$D$16,MATCH(I9,$B$12:$B$16,0))</f>
        <v>0.94</v>
      </c>
      <c r="L9" s="77">
        <f t="shared" ref="L9:L12" si="1">INDEX($E$12:$E$16,MATCH(I9,$B$12:$B$16,0))/(INDEX($D$12:$D$16,MATCH(I9,$B$12:$B$16,0))*INDEX($C$12:$C$16,MATCH(I9,$B$12:$B$16,0)))</f>
        <v>0.98947368421052628</v>
      </c>
    </row>
    <row r="10" spans="1:12" x14ac:dyDescent="0.3">
      <c r="A10" s="16"/>
      <c r="B10" s="52"/>
      <c r="C10" s="69" t="s">
        <v>49</v>
      </c>
      <c r="D10" s="69" t="s">
        <v>51</v>
      </c>
      <c r="E10" s="65"/>
      <c r="F10" s="36"/>
      <c r="G10" s="37"/>
      <c r="I10" s="23" t="s">
        <v>53</v>
      </c>
      <c r="J10" s="79">
        <f>C12</f>
        <v>0.97</v>
      </c>
      <c r="K10" s="81">
        <f t="shared" si="0"/>
        <v>0.97499999999999998</v>
      </c>
      <c r="L10" s="77">
        <f t="shared" si="1"/>
        <v>1.0051546391752577</v>
      </c>
    </row>
    <row r="11" spans="1:12" x14ac:dyDescent="0.3">
      <c r="A11" s="16"/>
      <c r="B11" s="46" t="s">
        <v>47</v>
      </c>
      <c r="C11" s="70" t="s">
        <v>50</v>
      </c>
      <c r="D11" s="70" t="s">
        <v>52</v>
      </c>
      <c r="E11" s="48" t="s">
        <v>19</v>
      </c>
      <c r="F11" s="36"/>
      <c r="G11" s="37"/>
      <c r="I11" s="23" t="s">
        <v>56</v>
      </c>
      <c r="J11" s="79">
        <f>C15</f>
        <v>1.33</v>
      </c>
      <c r="K11" s="81">
        <f t="shared" si="0"/>
        <v>1.3666666666666667</v>
      </c>
      <c r="L11" s="77">
        <f t="shared" si="1"/>
        <v>1.0275689223057645</v>
      </c>
    </row>
    <row r="12" spans="1:12" x14ac:dyDescent="0.3">
      <c r="A12" s="16"/>
      <c r="B12" s="52" t="s">
        <v>53</v>
      </c>
      <c r="C12" s="73">
        <v>0.97</v>
      </c>
      <c r="D12" s="71">
        <v>40000</v>
      </c>
      <c r="E12" s="66">
        <v>39000</v>
      </c>
      <c r="F12" s="36"/>
      <c r="G12" s="37"/>
      <c r="I12" s="25" t="s">
        <v>54</v>
      </c>
      <c r="J12" s="80">
        <f>C13</f>
        <v>1.4</v>
      </c>
      <c r="K12" s="82">
        <f t="shared" si="0"/>
        <v>1.45</v>
      </c>
      <c r="L12" s="78">
        <f t="shared" si="1"/>
        <v>1.0357142857142858</v>
      </c>
    </row>
    <row r="13" spans="1:12" x14ac:dyDescent="0.3">
      <c r="A13" s="16"/>
      <c r="B13" s="52" t="s">
        <v>54</v>
      </c>
      <c r="C13" s="73">
        <v>1.4</v>
      </c>
      <c r="D13" s="71">
        <v>10000</v>
      </c>
      <c r="E13" s="66">
        <v>14500</v>
      </c>
      <c r="F13" s="36"/>
      <c r="G13" s="37"/>
    </row>
    <row r="14" spans="1:12" x14ac:dyDescent="0.3">
      <c r="A14" s="16"/>
      <c r="B14" s="52" t="s">
        <v>55</v>
      </c>
      <c r="C14" s="73">
        <v>0.95</v>
      </c>
      <c r="D14" s="71">
        <v>25000</v>
      </c>
      <c r="E14" s="66">
        <v>23500</v>
      </c>
      <c r="F14" s="36"/>
      <c r="G14" s="37"/>
      <c r="I14" s="1" t="s">
        <v>68</v>
      </c>
    </row>
    <row r="15" spans="1:12" x14ac:dyDescent="0.3">
      <c r="A15" s="16"/>
      <c r="B15" s="52" t="s">
        <v>56</v>
      </c>
      <c r="C15" s="73">
        <v>1.33</v>
      </c>
      <c r="D15" s="71">
        <v>15000</v>
      </c>
      <c r="E15" s="66">
        <v>20500</v>
      </c>
      <c r="F15" s="36"/>
      <c r="G15" s="37"/>
      <c r="I15" s="1" t="s">
        <v>69</v>
      </c>
    </row>
    <row r="16" spans="1:12" x14ac:dyDescent="0.3">
      <c r="A16" s="16"/>
      <c r="B16" s="54" t="s">
        <v>57</v>
      </c>
      <c r="C16" s="74">
        <v>0.81</v>
      </c>
      <c r="D16" s="72">
        <v>45000</v>
      </c>
      <c r="E16" s="67">
        <v>33000</v>
      </c>
      <c r="F16" s="36"/>
      <c r="G16" s="37"/>
      <c r="I16" s="1" t="s">
        <v>70</v>
      </c>
    </row>
    <row r="17" spans="1:7" x14ac:dyDescent="0.3">
      <c r="A17" s="16"/>
      <c r="B17" s="36"/>
      <c r="C17" s="36"/>
      <c r="D17" s="36"/>
      <c r="E17" s="36"/>
      <c r="F17" s="36"/>
      <c r="G17" s="37"/>
    </row>
    <row r="18" spans="1:7" x14ac:dyDescent="0.3">
      <c r="A18" s="63" t="s">
        <v>10</v>
      </c>
      <c r="B18" s="36" t="s">
        <v>58</v>
      </c>
      <c r="C18" s="36"/>
      <c r="D18" s="36"/>
      <c r="E18" s="36"/>
      <c r="F18" s="36"/>
      <c r="G18" s="37"/>
    </row>
    <row r="19" spans="1:7" x14ac:dyDescent="0.3">
      <c r="A19" s="16"/>
      <c r="B19" s="36" t="s">
        <v>59</v>
      </c>
      <c r="C19" s="36"/>
      <c r="D19" s="36"/>
      <c r="E19" s="36"/>
      <c r="F19" s="36"/>
      <c r="G19" s="37"/>
    </row>
    <row r="20" spans="1:7" x14ac:dyDescent="0.3">
      <c r="A20" s="16"/>
      <c r="B20" s="36" t="s">
        <v>60</v>
      </c>
      <c r="C20" s="36"/>
      <c r="D20" s="36"/>
      <c r="E20" s="36"/>
      <c r="F20" s="36"/>
      <c r="G20" s="37"/>
    </row>
    <row r="21" spans="1:7" x14ac:dyDescent="0.3">
      <c r="A21" s="16"/>
      <c r="B21" s="36"/>
      <c r="C21" s="36"/>
      <c r="D21" s="36"/>
      <c r="E21" s="36"/>
      <c r="F21" s="36"/>
      <c r="G21" s="37"/>
    </row>
    <row r="22" spans="1:7" x14ac:dyDescent="0.3">
      <c r="A22" s="16"/>
      <c r="B22" s="36" t="s">
        <v>61</v>
      </c>
      <c r="C22" s="36"/>
      <c r="D22" s="36"/>
      <c r="E22" s="36"/>
      <c r="F22" s="36"/>
      <c r="G22" s="37"/>
    </row>
    <row r="23" spans="1:7" ht="15" thickBot="1" x14ac:dyDescent="0.35">
      <c r="A23" s="17"/>
      <c r="B23" s="41" t="s">
        <v>62</v>
      </c>
      <c r="C23" s="41"/>
      <c r="D23" s="41"/>
      <c r="E23" s="41"/>
      <c r="F23" s="41"/>
      <c r="G23" s="42"/>
    </row>
  </sheetData>
  <mergeCells count="1">
    <mergeCell ref="F1:G1"/>
  </mergeCells>
  <hyperlinks>
    <hyperlink ref="F1" location="TOC!A1" display="Return to TOC" xr:uid="{E438C2B2-BD14-4F6F-B190-23B2011CAF5F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8C1AA-A4D7-45BC-8422-0CE12691AA2C}">
  <dimension ref="A1:M18"/>
  <sheetViews>
    <sheetView workbookViewId="0"/>
  </sheetViews>
  <sheetFormatPr defaultRowHeight="14.4" x14ac:dyDescent="0.3"/>
  <cols>
    <col min="1" max="1" width="14" bestFit="1" customWidth="1"/>
    <col min="3" max="3" width="9.6640625" bestFit="1" customWidth="1"/>
    <col min="7" max="7" width="4.109375" customWidth="1"/>
    <col min="8" max="8" width="3.6640625" customWidth="1"/>
    <col min="9" max="9" width="10.5546875" customWidth="1"/>
    <col min="10" max="10" width="10.5546875" bestFit="1" customWidth="1"/>
  </cols>
  <sheetData>
    <row r="1" spans="1:13" x14ac:dyDescent="0.3">
      <c r="A1" s="6" t="s">
        <v>4</v>
      </c>
      <c r="B1" s="7" t="s">
        <v>831</v>
      </c>
      <c r="C1" s="7"/>
      <c r="D1" s="8"/>
      <c r="E1" s="8"/>
      <c r="F1" s="490" t="s">
        <v>5</v>
      </c>
      <c r="G1" s="491"/>
      <c r="I1" s="10" t="s">
        <v>6</v>
      </c>
    </row>
    <row r="2" spans="1:13" x14ac:dyDescent="0.3">
      <c r="A2" s="11" t="s">
        <v>7</v>
      </c>
      <c r="B2" s="33" t="s">
        <v>795</v>
      </c>
      <c r="C2" s="33"/>
      <c r="D2" s="33"/>
      <c r="E2" s="33"/>
      <c r="F2" s="33"/>
      <c r="G2" s="12"/>
      <c r="H2" t="s">
        <v>28</v>
      </c>
      <c r="I2" s="253" t="s">
        <v>77</v>
      </c>
      <c r="J2" s="20" t="s">
        <v>801</v>
      </c>
    </row>
    <row r="3" spans="1:13" x14ac:dyDescent="0.3">
      <c r="A3" s="11" t="s">
        <v>8</v>
      </c>
      <c r="B3" s="33" t="s">
        <v>800</v>
      </c>
      <c r="C3" s="33"/>
      <c r="D3" s="33"/>
      <c r="E3" s="33"/>
      <c r="F3" s="33"/>
      <c r="G3" s="12"/>
      <c r="H3" s="185"/>
      <c r="I3" s="201">
        <v>1</v>
      </c>
      <c r="J3" s="351">
        <f>C8/80%</f>
        <v>0.5</v>
      </c>
    </row>
    <row r="4" spans="1:13" x14ac:dyDescent="0.3">
      <c r="A4" s="13"/>
      <c r="B4" s="34"/>
      <c r="C4" s="34"/>
      <c r="D4" s="34"/>
      <c r="E4" s="34"/>
      <c r="F4" s="34"/>
      <c r="G4" s="14"/>
      <c r="H4" s="185"/>
      <c r="I4" s="201">
        <v>2</v>
      </c>
      <c r="J4" s="351">
        <f t="shared" ref="J4:J7" si="0">C9/80%</f>
        <v>0.5</v>
      </c>
    </row>
    <row r="5" spans="1:13" x14ac:dyDescent="0.3">
      <c r="A5" s="15" t="s">
        <v>9</v>
      </c>
      <c r="B5" s="36" t="s">
        <v>796</v>
      </c>
      <c r="C5" s="36"/>
      <c r="D5" s="36"/>
      <c r="E5" s="36"/>
      <c r="F5" s="36"/>
      <c r="G5" s="37"/>
      <c r="H5" s="185"/>
      <c r="I5" s="201">
        <v>3</v>
      </c>
      <c r="J5" s="351">
        <f t="shared" si="0"/>
        <v>1</v>
      </c>
    </row>
    <row r="6" spans="1:13" x14ac:dyDescent="0.3">
      <c r="A6" s="16"/>
      <c r="B6" s="36"/>
      <c r="C6" s="36"/>
      <c r="D6" s="36"/>
      <c r="E6" s="36"/>
      <c r="F6" s="36"/>
      <c r="G6" s="37"/>
      <c r="I6" s="201">
        <v>4</v>
      </c>
      <c r="J6" s="351">
        <f t="shared" si="0"/>
        <v>1.25</v>
      </c>
    </row>
    <row r="7" spans="1:13" x14ac:dyDescent="0.3">
      <c r="A7" s="16"/>
      <c r="B7" s="168" t="s">
        <v>77</v>
      </c>
      <c r="C7" s="115" t="s">
        <v>343</v>
      </c>
      <c r="D7" s="36"/>
      <c r="E7" s="36"/>
      <c r="F7" s="36"/>
      <c r="G7" s="37"/>
      <c r="I7" s="202">
        <v>5</v>
      </c>
      <c r="J7" s="352">
        <f t="shared" si="0"/>
        <v>1.7499999999999998</v>
      </c>
    </row>
    <row r="8" spans="1:13" x14ac:dyDescent="0.3">
      <c r="A8" s="16"/>
      <c r="B8" s="69">
        <v>1</v>
      </c>
      <c r="C8" s="130">
        <v>0.4</v>
      </c>
      <c r="D8" s="36"/>
      <c r="E8" s="36"/>
      <c r="F8" s="36"/>
      <c r="G8" s="37"/>
    </row>
    <row r="9" spans="1:13" x14ac:dyDescent="0.3">
      <c r="A9" s="16"/>
      <c r="B9" s="69">
        <v>2</v>
      </c>
      <c r="C9" s="130">
        <v>0.4</v>
      </c>
      <c r="D9" s="36"/>
      <c r="E9" s="36"/>
      <c r="F9" s="36"/>
      <c r="G9" s="37"/>
      <c r="I9" t="s">
        <v>802</v>
      </c>
    </row>
    <row r="10" spans="1:13" x14ac:dyDescent="0.3">
      <c r="A10" s="16"/>
      <c r="B10" s="69">
        <v>3</v>
      </c>
      <c r="C10" s="130">
        <v>0.8</v>
      </c>
      <c r="D10" s="36"/>
      <c r="E10" s="36"/>
      <c r="F10" s="36"/>
      <c r="G10" s="37"/>
    </row>
    <row r="11" spans="1:13" ht="15.6" x14ac:dyDescent="0.35">
      <c r="A11" s="16"/>
      <c r="B11" s="69">
        <v>4</v>
      </c>
      <c r="C11" s="130">
        <v>1</v>
      </c>
      <c r="D11" s="36"/>
      <c r="E11" s="36"/>
      <c r="F11" s="36"/>
      <c r="G11" s="37"/>
      <c r="I11" s="350" t="s">
        <v>801</v>
      </c>
      <c r="J11" s="27" t="s">
        <v>803</v>
      </c>
      <c r="K11" s="19" t="s">
        <v>804</v>
      </c>
      <c r="L11" s="27" t="s">
        <v>805</v>
      </c>
      <c r="M11" s="347" t="s">
        <v>806</v>
      </c>
    </row>
    <row r="12" spans="1:13" x14ac:dyDescent="0.3">
      <c r="A12" s="16"/>
      <c r="B12" s="70">
        <v>5</v>
      </c>
      <c r="C12" s="133">
        <v>1.4</v>
      </c>
      <c r="D12" s="36"/>
      <c r="E12" s="36"/>
      <c r="F12" s="36"/>
      <c r="G12" s="37"/>
      <c r="I12" s="345">
        <v>0</v>
      </c>
      <c r="J12" s="97">
        <f>COUNTIF($J$3:$J$7,I12)</f>
        <v>0</v>
      </c>
      <c r="K12" s="5">
        <f>COUNT($I$3:$I$7)-SUM(J12:$J$12)</f>
        <v>5</v>
      </c>
      <c r="L12" s="343">
        <f>K12/COUNT($I$3:$I$7)</f>
        <v>1</v>
      </c>
      <c r="M12" s="348">
        <f t="shared" ref="M12:M16" si="1">M13+(I13-I12)*L12</f>
        <v>1</v>
      </c>
    </row>
    <row r="13" spans="1:13" x14ac:dyDescent="0.3">
      <c r="A13" s="16"/>
      <c r="B13" s="36"/>
      <c r="C13" s="36"/>
      <c r="D13" s="36"/>
      <c r="E13" s="36"/>
      <c r="F13" s="36"/>
      <c r="G13" s="37"/>
      <c r="I13" s="345">
        <v>0.5</v>
      </c>
      <c r="J13" s="97">
        <f t="shared" ref="J13:J18" si="2">COUNTIF($J$3:$J$7,I13)</f>
        <v>2</v>
      </c>
      <c r="K13" s="5">
        <f>COUNT($I$3:$I$7)-SUM(J$12:$J13)</f>
        <v>3</v>
      </c>
      <c r="L13" s="343">
        <f t="shared" ref="L13:L18" si="3">K13/COUNT($I$3:$I$7)</f>
        <v>0.6</v>
      </c>
      <c r="M13" s="348">
        <f t="shared" si="1"/>
        <v>0.5</v>
      </c>
    </row>
    <row r="14" spans="1:13" x14ac:dyDescent="0.3">
      <c r="A14" s="16"/>
      <c r="B14" s="36" t="s">
        <v>797</v>
      </c>
      <c r="C14" s="36"/>
      <c r="D14" s="36"/>
      <c r="E14" s="36"/>
      <c r="F14" s="36"/>
      <c r="G14" s="37"/>
      <c r="I14" s="345">
        <v>1</v>
      </c>
      <c r="J14" s="97">
        <f t="shared" si="2"/>
        <v>1</v>
      </c>
      <c r="K14" s="5">
        <f>COUNT($I$3:$I$7)-SUM(J$12:$J14)</f>
        <v>2</v>
      </c>
      <c r="L14" s="343">
        <f t="shared" si="3"/>
        <v>0.4</v>
      </c>
      <c r="M14" s="348">
        <f t="shared" si="1"/>
        <v>0.2</v>
      </c>
    </row>
    <row r="15" spans="1:13" x14ac:dyDescent="0.3">
      <c r="A15" s="16"/>
      <c r="B15" s="36" t="s">
        <v>798</v>
      </c>
      <c r="C15" s="36"/>
      <c r="D15" s="36"/>
      <c r="E15" s="36"/>
      <c r="F15" s="36"/>
      <c r="G15" s="37"/>
      <c r="I15" s="345">
        <v>1.25</v>
      </c>
      <c r="J15" s="97">
        <f t="shared" si="2"/>
        <v>1</v>
      </c>
      <c r="K15" s="5">
        <f>COUNT($I$3:$I$7)-SUM(J$12:$J15)</f>
        <v>1</v>
      </c>
      <c r="L15" s="343">
        <f t="shared" si="3"/>
        <v>0.2</v>
      </c>
      <c r="M15" s="348">
        <f t="shared" si="1"/>
        <v>0.1</v>
      </c>
    </row>
    <row r="16" spans="1:13" x14ac:dyDescent="0.3">
      <c r="A16" s="16"/>
      <c r="B16" s="36"/>
      <c r="C16" s="36"/>
      <c r="D16" s="36"/>
      <c r="E16" s="36"/>
      <c r="F16" s="36"/>
      <c r="G16" s="37"/>
      <c r="I16" s="345">
        <v>1.5</v>
      </c>
      <c r="J16" s="97">
        <f t="shared" si="2"/>
        <v>0</v>
      </c>
      <c r="K16" s="5">
        <f>COUNT($I$3:$I$7)-SUM(J$12:$J16)</f>
        <v>1</v>
      </c>
      <c r="L16" s="343">
        <f t="shared" si="3"/>
        <v>0.2</v>
      </c>
      <c r="M16" s="348">
        <f t="shared" si="1"/>
        <v>0.05</v>
      </c>
    </row>
    <row r="17" spans="1:13" x14ac:dyDescent="0.3">
      <c r="A17" s="63" t="s">
        <v>10</v>
      </c>
      <c r="B17" s="36" t="s">
        <v>807</v>
      </c>
      <c r="C17" s="36"/>
      <c r="D17" s="36"/>
      <c r="E17" s="36"/>
      <c r="F17" s="36"/>
      <c r="G17" s="37"/>
      <c r="I17" s="345">
        <v>1.75</v>
      </c>
      <c r="J17" s="97">
        <f t="shared" si="2"/>
        <v>1</v>
      </c>
      <c r="K17" s="5">
        <f>COUNT($I$3:$I$7)-SUM(J$12:$J17)</f>
        <v>0</v>
      </c>
      <c r="L17" s="343">
        <f t="shared" si="3"/>
        <v>0</v>
      </c>
      <c r="M17" s="348">
        <f>M18+(I18-I17)*L17</f>
        <v>0</v>
      </c>
    </row>
    <row r="18" spans="1:13" ht="15" thickBot="1" x14ac:dyDescent="0.35">
      <c r="A18" s="17"/>
      <c r="B18" s="41" t="s">
        <v>799</v>
      </c>
      <c r="C18" s="41"/>
      <c r="D18" s="41"/>
      <c r="E18" s="41"/>
      <c r="F18" s="41"/>
      <c r="G18" s="42"/>
      <c r="I18" s="346">
        <v>2</v>
      </c>
      <c r="J18" s="90">
        <f t="shared" si="2"/>
        <v>0</v>
      </c>
      <c r="K18" s="87">
        <f>COUNT($I$3:$I$7)-SUM(J$12:$J18)</f>
        <v>0</v>
      </c>
      <c r="L18" s="344">
        <f t="shared" si="3"/>
        <v>0</v>
      </c>
      <c r="M18" s="349">
        <v>0</v>
      </c>
    </row>
  </sheetData>
  <mergeCells count="1">
    <mergeCell ref="F1:G1"/>
  </mergeCells>
  <hyperlinks>
    <hyperlink ref="F1" location="TOC!A1" display="Return to TOC" xr:uid="{EE37B104-9213-471F-A909-71643A35BF57}"/>
  </hyperlink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5567D-C08C-4D5A-B924-83C3122F6105}">
  <dimension ref="A1:L27"/>
  <sheetViews>
    <sheetView workbookViewId="0"/>
  </sheetViews>
  <sheetFormatPr defaultRowHeight="14.4" x14ac:dyDescent="0.3"/>
  <cols>
    <col min="1" max="1" width="14" bestFit="1" customWidth="1"/>
    <col min="3" max="3" width="10" bestFit="1" customWidth="1"/>
    <col min="8" max="8" width="3.6640625" customWidth="1"/>
  </cols>
  <sheetData>
    <row r="1" spans="1:12" x14ac:dyDescent="0.3">
      <c r="A1" s="6" t="s">
        <v>4</v>
      </c>
      <c r="B1" s="7" t="s">
        <v>831</v>
      </c>
      <c r="C1" s="7"/>
      <c r="D1" s="8"/>
      <c r="E1" s="8"/>
      <c r="F1" s="490" t="s">
        <v>5</v>
      </c>
      <c r="G1" s="491"/>
      <c r="I1" s="10" t="s">
        <v>6</v>
      </c>
    </row>
    <row r="2" spans="1:12" x14ac:dyDescent="0.3">
      <c r="A2" s="11" t="s">
        <v>7</v>
      </c>
      <c r="B2" s="33" t="s">
        <v>808</v>
      </c>
      <c r="C2" s="33"/>
      <c r="D2" s="33"/>
      <c r="E2" s="33"/>
      <c r="F2" s="33"/>
      <c r="G2" s="12"/>
      <c r="H2" t="s">
        <v>28</v>
      </c>
      <c r="I2" t="s">
        <v>737</v>
      </c>
      <c r="K2">
        <f>SUM(C10:C15,C17:C19)/10</f>
        <v>0.57000000000000006</v>
      </c>
      <c r="L2" s="353" t="s">
        <v>818</v>
      </c>
    </row>
    <row r="3" spans="1:12" x14ac:dyDescent="0.3">
      <c r="A3" s="11" t="s">
        <v>8</v>
      </c>
      <c r="B3" s="33" t="s">
        <v>809</v>
      </c>
      <c r="C3" s="33"/>
      <c r="D3" s="33"/>
      <c r="E3" s="33"/>
      <c r="F3" s="33"/>
      <c r="G3" s="12"/>
      <c r="H3" s="185"/>
      <c r="I3" t="s">
        <v>819</v>
      </c>
      <c r="L3" s="354">
        <f>K2+0.1*75%</f>
        <v>0.64500000000000002</v>
      </c>
    </row>
    <row r="4" spans="1:12" x14ac:dyDescent="0.3">
      <c r="A4" s="13"/>
      <c r="B4" s="34"/>
      <c r="C4" s="34"/>
      <c r="D4" s="34"/>
      <c r="E4" s="34"/>
      <c r="F4" s="34"/>
      <c r="G4" s="14"/>
      <c r="H4" s="185"/>
      <c r="I4" t="s">
        <v>820</v>
      </c>
      <c r="L4" s="354">
        <f>K2+0.1*90%</f>
        <v>0.66</v>
      </c>
    </row>
    <row r="5" spans="1:12" x14ac:dyDescent="0.3">
      <c r="A5" s="15" t="s">
        <v>9</v>
      </c>
      <c r="B5" s="36" t="s">
        <v>810</v>
      </c>
      <c r="C5" s="36"/>
      <c r="D5" s="36"/>
      <c r="E5" s="36"/>
      <c r="F5" s="36"/>
      <c r="G5" s="37"/>
      <c r="H5" s="185"/>
    </row>
    <row r="6" spans="1:12" x14ac:dyDescent="0.3">
      <c r="A6" s="16"/>
      <c r="B6" s="33" t="s">
        <v>811</v>
      </c>
      <c r="C6" s="36"/>
      <c r="D6" s="36"/>
      <c r="E6" s="36"/>
      <c r="F6" s="36"/>
      <c r="G6" s="37"/>
      <c r="I6" t="s">
        <v>821</v>
      </c>
    </row>
    <row r="7" spans="1:12" x14ac:dyDescent="0.3">
      <c r="A7" s="16"/>
      <c r="B7" s="36"/>
      <c r="C7" s="36"/>
      <c r="D7" s="36"/>
      <c r="E7" s="36"/>
      <c r="F7" s="36"/>
      <c r="G7" s="37"/>
      <c r="I7" t="s">
        <v>822</v>
      </c>
    </row>
    <row r="8" spans="1:12" x14ac:dyDescent="0.3">
      <c r="A8" s="16"/>
      <c r="B8" s="68"/>
      <c r="C8" s="45" t="s">
        <v>789</v>
      </c>
      <c r="D8" s="36"/>
      <c r="E8" s="36"/>
      <c r="F8" s="36"/>
      <c r="G8" s="37"/>
      <c r="I8" s="355">
        <f>1.5*L3</f>
        <v>0.96750000000000003</v>
      </c>
      <c r="J8" s="5" t="s">
        <v>823</v>
      </c>
      <c r="K8" s="354">
        <f>1.5*L4</f>
        <v>0.99</v>
      </c>
    </row>
    <row r="9" spans="1:12" x14ac:dyDescent="0.3">
      <c r="A9" s="16"/>
      <c r="B9" s="70" t="s">
        <v>341</v>
      </c>
      <c r="C9" s="48" t="s">
        <v>343</v>
      </c>
      <c r="D9" s="36"/>
      <c r="E9" s="36"/>
      <c r="F9" s="36"/>
      <c r="G9" s="37"/>
    </row>
    <row r="10" spans="1:12" x14ac:dyDescent="0.3">
      <c r="A10" s="16"/>
      <c r="B10" s="69">
        <v>1</v>
      </c>
      <c r="C10" s="130">
        <v>0.1</v>
      </c>
      <c r="D10" s="36"/>
      <c r="E10" s="36"/>
      <c r="F10" s="36"/>
      <c r="G10" s="37"/>
      <c r="I10" t="s">
        <v>824</v>
      </c>
    </row>
    <row r="11" spans="1:12" x14ac:dyDescent="0.3">
      <c r="A11" s="16"/>
      <c r="B11" s="69">
        <v>2</v>
      </c>
      <c r="C11" s="130">
        <v>0.3</v>
      </c>
      <c r="D11" s="36"/>
      <c r="E11" s="36"/>
      <c r="F11" s="36"/>
      <c r="G11" s="37"/>
      <c r="I11" t="s">
        <v>826</v>
      </c>
    </row>
    <row r="12" spans="1:12" x14ac:dyDescent="0.3">
      <c r="A12" s="16"/>
      <c r="B12" s="69">
        <v>3</v>
      </c>
      <c r="C12" s="130">
        <v>0.35</v>
      </c>
      <c r="D12" s="36"/>
      <c r="E12" s="36"/>
      <c r="F12" s="36"/>
      <c r="G12" s="37"/>
    </row>
    <row r="13" spans="1:12" x14ac:dyDescent="0.3">
      <c r="A13" s="16"/>
      <c r="B13" s="69">
        <v>4</v>
      </c>
      <c r="C13" s="130">
        <v>0.4</v>
      </c>
      <c r="D13" s="36"/>
      <c r="E13" s="36"/>
      <c r="F13" s="36"/>
      <c r="G13" s="37"/>
      <c r="I13" t="s">
        <v>825</v>
      </c>
    </row>
    <row r="14" spans="1:12" x14ac:dyDescent="0.3">
      <c r="A14" s="16"/>
      <c r="B14" s="69">
        <v>5</v>
      </c>
      <c r="C14" s="130">
        <v>0.6</v>
      </c>
      <c r="D14" s="36"/>
      <c r="E14" s="36"/>
      <c r="F14" s="36"/>
      <c r="G14" s="37"/>
      <c r="I14" t="s">
        <v>827</v>
      </c>
    </row>
    <row r="15" spans="1:12" x14ac:dyDescent="0.3">
      <c r="A15" s="16"/>
      <c r="B15" s="69">
        <v>6</v>
      </c>
      <c r="C15" s="130">
        <v>0.75</v>
      </c>
      <c r="D15" s="36"/>
      <c r="E15" s="36"/>
      <c r="F15" s="36"/>
      <c r="G15" s="37"/>
    </row>
    <row r="16" spans="1:12" x14ac:dyDescent="0.3">
      <c r="A16" s="16"/>
      <c r="B16" s="69">
        <v>7</v>
      </c>
      <c r="C16" s="65" t="s">
        <v>812</v>
      </c>
      <c r="D16" s="36"/>
      <c r="E16" s="36"/>
      <c r="F16" s="36"/>
      <c r="G16" s="37"/>
      <c r="I16" t="s">
        <v>828</v>
      </c>
    </row>
    <row r="17" spans="1:11" x14ac:dyDescent="0.3">
      <c r="A17" s="16"/>
      <c r="B17" s="69">
        <v>8</v>
      </c>
      <c r="C17" s="130">
        <v>0.9</v>
      </c>
      <c r="D17" s="36"/>
      <c r="E17" s="36"/>
      <c r="F17" s="36"/>
      <c r="G17" s="37"/>
      <c r="I17" t="s">
        <v>829</v>
      </c>
      <c r="K17">
        <f>(1.1+1.2)/(0.5+1.5+1.5)</f>
        <v>0.65714285714285714</v>
      </c>
    </row>
    <row r="18" spans="1:11" x14ac:dyDescent="0.3">
      <c r="A18" s="16"/>
      <c r="B18" s="69">
        <v>9</v>
      </c>
      <c r="C18" s="130">
        <v>1.1000000000000001</v>
      </c>
      <c r="D18" s="36"/>
      <c r="E18" s="36"/>
      <c r="F18" s="36"/>
      <c r="G18" s="37"/>
      <c r="I18" t="s">
        <v>830</v>
      </c>
      <c r="K18" s="316">
        <f>(K17-K2)/0.1</f>
        <v>0.87142857142857078</v>
      </c>
    </row>
    <row r="19" spans="1:11" x14ac:dyDescent="0.3">
      <c r="A19" s="16"/>
      <c r="B19" s="70">
        <v>10</v>
      </c>
      <c r="C19" s="133">
        <v>1.2</v>
      </c>
      <c r="D19" s="36"/>
      <c r="E19" s="36"/>
      <c r="F19" s="36"/>
      <c r="G19" s="37"/>
    </row>
    <row r="20" spans="1:11" x14ac:dyDescent="0.3">
      <c r="A20" s="16"/>
      <c r="B20" s="36"/>
      <c r="C20" s="36"/>
      <c r="D20" s="36"/>
      <c r="E20" s="36"/>
      <c r="F20" s="36"/>
      <c r="G20" s="37"/>
    </row>
    <row r="21" spans="1:11" x14ac:dyDescent="0.3">
      <c r="A21" s="16"/>
      <c r="B21" s="36" t="s">
        <v>813</v>
      </c>
      <c r="C21" s="36"/>
      <c r="D21" s="36"/>
      <c r="E21" s="36"/>
      <c r="F21" s="36"/>
      <c r="G21" s="37"/>
    </row>
    <row r="22" spans="1:11" x14ac:dyDescent="0.3">
      <c r="A22" s="16"/>
      <c r="B22" s="36"/>
      <c r="C22" s="36"/>
      <c r="D22" s="36"/>
      <c r="E22" s="36"/>
      <c r="F22" s="36"/>
      <c r="G22" s="37"/>
    </row>
    <row r="23" spans="1:11" x14ac:dyDescent="0.3">
      <c r="A23" s="16"/>
      <c r="B23" s="36" t="s">
        <v>814</v>
      </c>
      <c r="C23" s="36"/>
      <c r="D23" s="36"/>
      <c r="E23" s="36"/>
      <c r="F23" s="36"/>
      <c r="G23" s="37"/>
    </row>
    <row r="24" spans="1:11" x14ac:dyDescent="0.3">
      <c r="A24" s="16"/>
      <c r="B24" s="36" t="s">
        <v>815</v>
      </c>
      <c r="C24" s="36"/>
      <c r="D24" s="36"/>
      <c r="E24" s="36"/>
      <c r="F24" s="36"/>
      <c r="G24" s="37"/>
    </row>
    <row r="25" spans="1:11" x14ac:dyDescent="0.3">
      <c r="A25" s="16"/>
      <c r="B25" s="36" t="s">
        <v>816</v>
      </c>
      <c r="C25" s="36"/>
      <c r="D25" s="36"/>
      <c r="E25" s="36"/>
      <c r="F25" s="36"/>
      <c r="G25" s="37"/>
    </row>
    <row r="26" spans="1:11" x14ac:dyDescent="0.3">
      <c r="A26" s="16"/>
      <c r="B26" s="36"/>
      <c r="C26" s="36"/>
      <c r="D26" s="36"/>
      <c r="E26" s="36"/>
      <c r="F26" s="36"/>
      <c r="G26" s="37"/>
    </row>
    <row r="27" spans="1:11" ht="15" thickBot="1" x14ac:dyDescent="0.35">
      <c r="A27" s="122" t="s">
        <v>10</v>
      </c>
      <c r="B27" s="41" t="s">
        <v>817</v>
      </c>
      <c r="C27" s="41"/>
      <c r="D27" s="41"/>
      <c r="E27" s="41"/>
      <c r="F27" s="41"/>
      <c r="G27" s="42"/>
    </row>
  </sheetData>
  <mergeCells count="1">
    <mergeCell ref="F1:G1"/>
  </mergeCells>
  <hyperlinks>
    <hyperlink ref="F1" location="TOC!A1" display="Return to TOC" xr:uid="{1A8CACD5-4C20-485D-A3A9-F1435382AB71}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851D8-A772-48F0-80D7-C5BCE7A278BC}">
  <dimension ref="A1:O39"/>
  <sheetViews>
    <sheetView workbookViewId="0"/>
  </sheetViews>
  <sheetFormatPr defaultRowHeight="14.4" x14ac:dyDescent="0.3"/>
  <cols>
    <col min="1" max="1" width="14" bestFit="1" customWidth="1"/>
    <col min="2" max="2" width="11" customWidth="1"/>
    <col min="3" max="3" width="10" customWidth="1"/>
    <col min="8" max="8" width="3.6640625" customWidth="1"/>
    <col min="10" max="10" width="11.88671875" bestFit="1" customWidth="1"/>
  </cols>
  <sheetData>
    <row r="1" spans="1:11" x14ac:dyDescent="0.3">
      <c r="A1" s="6" t="s">
        <v>4</v>
      </c>
      <c r="B1" s="7" t="s">
        <v>831</v>
      </c>
      <c r="C1" s="7"/>
      <c r="D1" s="8"/>
      <c r="E1" s="8"/>
      <c r="F1" s="490" t="s">
        <v>5</v>
      </c>
      <c r="G1" s="491"/>
      <c r="I1" s="10" t="s">
        <v>6</v>
      </c>
    </row>
    <row r="2" spans="1:11" x14ac:dyDescent="0.3">
      <c r="A2" s="11" t="s">
        <v>7</v>
      </c>
      <c r="B2" s="33" t="s">
        <v>832</v>
      </c>
      <c r="C2" s="33"/>
      <c r="D2" s="33"/>
      <c r="E2" s="33"/>
      <c r="F2" s="33"/>
      <c r="G2" s="12"/>
      <c r="H2" t="s">
        <v>28</v>
      </c>
      <c r="I2" t="s">
        <v>851</v>
      </c>
    </row>
    <row r="3" spans="1:11" x14ac:dyDescent="0.3">
      <c r="A3" s="11" t="s">
        <v>8</v>
      </c>
      <c r="B3" s="33" t="s">
        <v>850</v>
      </c>
      <c r="C3" s="33"/>
      <c r="D3" s="33"/>
      <c r="E3" s="33"/>
      <c r="F3" s="33"/>
      <c r="G3" s="12"/>
      <c r="H3" s="185"/>
      <c r="I3" t="s">
        <v>852</v>
      </c>
    </row>
    <row r="4" spans="1:11" x14ac:dyDescent="0.3">
      <c r="A4" s="13"/>
      <c r="B4" s="34"/>
      <c r="C4" s="34"/>
      <c r="D4" s="34"/>
      <c r="E4" s="34"/>
      <c r="F4" s="34"/>
      <c r="G4" s="14"/>
      <c r="H4" s="185"/>
      <c r="I4" t="s">
        <v>603</v>
      </c>
      <c r="J4" s="361">
        <f>(26820 -B10+(B13-1)*B11)/B13</f>
        <v>15999.999999999995</v>
      </c>
    </row>
    <row r="5" spans="1:11" x14ac:dyDescent="0.3">
      <c r="A5" s="15" t="s">
        <v>9</v>
      </c>
      <c r="B5" s="36" t="s">
        <v>833</v>
      </c>
      <c r="C5" s="36"/>
      <c r="D5" s="36"/>
      <c r="E5" s="36"/>
      <c r="F5" s="36"/>
      <c r="G5" s="37"/>
      <c r="H5" s="185"/>
    </row>
    <row r="6" spans="1:11" x14ac:dyDescent="0.3">
      <c r="A6" s="16"/>
      <c r="B6" s="33" t="s">
        <v>834</v>
      </c>
      <c r="C6" s="36"/>
      <c r="D6" s="36"/>
      <c r="E6" s="36"/>
      <c r="F6" s="36"/>
      <c r="G6" s="37"/>
      <c r="I6" t="s">
        <v>853</v>
      </c>
    </row>
    <row r="7" spans="1:11" x14ac:dyDescent="0.3">
      <c r="A7" s="16"/>
      <c r="B7" s="33" t="s">
        <v>835</v>
      </c>
      <c r="C7" s="36"/>
      <c r="D7" s="36"/>
      <c r="E7" s="36"/>
      <c r="F7" s="36"/>
      <c r="G7" s="37"/>
      <c r="I7" t="s">
        <v>854</v>
      </c>
    </row>
    <row r="8" spans="1:11" x14ac:dyDescent="0.3">
      <c r="A8" s="16"/>
      <c r="B8" s="36"/>
      <c r="C8" s="36"/>
      <c r="D8" s="36"/>
      <c r="E8" s="36"/>
      <c r="F8" s="36"/>
      <c r="G8" s="37"/>
      <c r="I8" t="s">
        <v>855</v>
      </c>
      <c r="K8" s="354">
        <f>B11/B9</f>
        <v>0.7</v>
      </c>
    </row>
    <row r="9" spans="1:11" x14ac:dyDescent="0.3">
      <c r="A9" s="16"/>
      <c r="B9" s="116">
        <v>100000</v>
      </c>
      <c r="C9" s="43" t="s">
        <v>547</v>
      </c>
      <c r="D9" s="117"/>
      <c r="E9" s="118"/>
      <c r="F9" s="36"/>
      <c r="G9" s="37"/>
    </row>
    <row r="10" spans="1:11" x14ac:dyDescent="0.3">
      <c r="A10" s="16"/>
      <c r="B10" s="71">
        <v>20000</v>
      </c>
      <c r="C10" s="267" t="s">
        <v>836</v>
      </c>
      <c r="D10" s="36"/>
      <c r="E10" s="119"/>
      <c r="F10" s="36"/>
      <c r="G10" s="37"/>
      <c r="I10" s="18" t="s">
        <v>856</v>
      </c>
      <c r="J10" s="27" t="s">
        <v>801</v>
      </c>
      <c r="K10" s="20" t="s">
        <v>96</v>
      </c>
    </row>
    <row r="11" spans="1:11" x14ac:dyDescent="0.3">
      <c r="A11" s="16"/>
      <c r="B11" s="71">
        <v>70000</v>
      </c>
      <c r="C11" s="267" t="s">
        <v>837</v>
      </c>
      <c r="D11" s="36"/>
      <c r="E11" s="119"/>
      <c r="F11" s="36"/>
      <c r="G11" s="37"/>
      <c r="I11" s="23">
        <v>1</v>
      </c>
      <c r="J11" s="29">
        <f>C23/$K$8</f>
        <v>1</v>
      </c>
      <c r="K11" s="83">
        <f>_xlfn.RANK.AVG(J11,$J$11:$J$15,1)</f>
        <v>3</v>
      </c>
    </row>
    <row r="12" spans="1:11" x14ac:dyDescent="0.3">
      <c r="A12" s="16"/>
      <c r="B12" s="282">
        <v>1</v>
      </c>
      <c r="C12" s="267" t="s">
        <v>439</v>
      </c>
      <c r="D12" s="36"/>
      <c r="E12" s="119"/>
      <c r="F12" s="36"/>
      <c r="G12" s="37"/>
      <c r="I12" s="23">
        <v>2</v>
      </c>
      <c r="J12" s="29">
        <f t="shared" ref="J12:J15" si="0">C24/$K$8</f>
        <v>1.5000000000000002</v>
      </c>
      <c r="K12" s="83">
        <f t="shared" ref="K12:K15" si="1">_xlfn.RANK.AVG(J12,$J$11:$J$15,1)</f>
        <v>5</v>
      </c>
    </row>
    <row r="13" spans="1:11" x14ac:dyDescent="0.3">
      <c r="A13" s="16"/>
      <c r="B13" s="282">
        <v>1.17</v>
      </c>
      <c r="C13" s="267" t="s">
        <v>440</v>
      </c>
      <c r="D13" s="36"/>
      <c r="E13" s="119"/>
      <c r="F13" s="36"/>
      <c r="G13" s="37"/>
      <c r="I13" s="23">
        <v>3</v>
      </c>
      <c r="J13" s="29">
        <f t="shared" si="0"/>
        <v>0.75000000000000011</v>
      </c>
      <c r="K13" s="83">
        <f t="shared" si="1"/>
        <v>2</v>
      </c>
    </row>
    <row r="14" spans="1:11" x14ac:dyDescent="0.3">
      <c r="A14" s="16"/>
      <c r="B14" s="282">
        <v>1</v>
      </c>
      <c r="C14" s="267" t="s">
        <v>838</v>
      </c>
      <c r="D14" s="36"/>
      <c r="E14" s="119"/>
      <c r="F14" s="36"/>
      <c r="G14" s="37"/>
      <c r="I14" s="23">
        <v>4</v>
      </c>
      <c r="J14" s="29">
        <f t="shared" si="0"/>
        <v>1.25</v>
      </c>
      <c r="K14" s="83">
        <f t="shared" si="1"/>
        <v>4</v>
      </c>
    </row>
    <row r="15" spans="1:11" x14ac:dyDescent="0.3">
      <c r="A15" s="16"/>
      <c r="B15" s="357">
        <v>0.75</v>
      </c>
      <c r="C15" s="268" t="s">
        <v>839</v>
      </c>
      <c r="D15" s="120"/>
      <c r="E15" s="121"/>
      <c r="F15" s="36"/>
      <c r="G15" s="37"/>
      <c r="I15" s="25">
        <v>5</v>
      </c>
      <c r="J15" s="30">
        <f t="shared" si="0"/>
        <v>0.5</v>
      </c>
      <c r="K15" s="88">
        <f t="shared" si="1"/>
        <v>1</v>
      </c>
    </row>
    <row r="16" spans="1:11" x14ac:dyDescent="0.3">
      <c r="A16" s="16"/>
      <c r="B16" s="36"/>
      <c r="C16" s="36"/>
      <c r="D16" s="36"/>
      <c r="E16" s="36"/>
      <c r="F16" s="36"/>
      <c r="G16" s="37"/>
    </row>
    <row r="17" spans="1:15" x14ac:dyDescent="0.3">
      <c r="A17" s="16"/>
      <c r="B17" s="36" t="s">
        <v>840</v>
      </c>
      <c r="C17" s="36"/>
      <c r="D17" s="36"/>
      <c r="E17" s="36"/>
      <c r="F17" s="36"/>
      <c r="G17" s="37"/>
      <c r="I17" s="18" t="s">
        <v>96</v>
      </c>
      <c r="J17" s="27" t="s">
        <v>801</v>
      </c>
      <c r="K17" s="19" t="s">
        <v>859</v>
      </c>
      <c r="L17" s="19" t="s">
        <v>857</v>
      </c>
      <c r="M17" s="20" t="s">
        <v>858</v>
      </c>
      <c r="N17" s="363" t="s">
        <v>862</v>
      </c>
      <c r="O17" s="362" t="s">
        <v>864</v>
      </c>
    </row>
    <row r="18" spans="1:15" x14ac:dyDescent="0.3">
      <c r="A18" s="16"/>
      <c r="B18" s="36" t="s">
        <v>841</v>
      </c>
      <c r="C18" s="36"/>
      <c r="D18" s="36"/>
      <c r="E18" s="36"/>
      <c r="F18" s="36"/>
      <c r="G18" s="37"/>
      <c r="I18" s="23"/>
      <c r="J18" s="29">
        <v>0</v>
      </c>
      <c r="K18" s="5">
        <f>COUNTIFS($J$11:$J$15,J18)</f>
        <v>0</v>
      </c>
      <c r="L18" s="5">
        <f>COUNT($I$11:$I$15)-SUM(K18:$K$18)</f>
        <v>5</v>
      </c>
      <c r="M18" s="155">
        <f>L18/COUNT($I$11:$I$15)</f>
        <v>1</v>
      </c>
      <c r="N18" s="97">
        <f t="shared" ref="N18:N21" si="2">N19+(J19-J18)*M18</f>
        <v>1</v>
      </c>
      <c r="O18" s="83">
        <f>N18+J18-1</f>
        <v>0</v>
      </c>
    </row>
    <row r="19" spans="1:15" x14ac:dyDescent="0.3">
      <c r="A19" s="16"/>
      <c r="B19" s="36" t="s">
        <v>842</v>
      </c>
      <c r="C19" s="36"/>
      <c r="D19" s="36"/>
      <c r="E19" s="36"/>
      <c r="F19" s="36"/>
      <c r="G19" s="37"/>
      <c r="I19" s="23">
        <v>1</v>
      </c>
      <c r="J19" s="29">
        <f>INDEX($J$11:$J$15,MATCH(I19,$K$11:$K$15,0))</f>
        <v>0.5</v>
      </c>
      <c r="K19" s="5">
        <f t="shared" ref="K19:K23" si="3">COUNTIFS($J$11:$J$15,J19)</f>
        <v>1</v>
      </c>
      <c r="L19" s="5">
        <f>COUNT($I$11:$I$15)-SUM(K$18:$K19)</f>
        <v>4</v>
      </c>
      <c r="M19" s="155">
        <f t="shared" ref="M19:M23" si="4">L19/COUNT($I$11:$I$15)</f>
        <v>0.8</v>
      </c>
      <c r="N19" s="97">
        <f t="shared" si="2"/>
        <v>0.50000000000000011</v>
      </c>
      <c r="O19" s="83">
        <f t="shared" ref="O19:O23" si="5">N19+J19-1</f>
        <v>0</v>
      </c>
    </row>
    <row r="20" spans="1:15" x14ac:dyDescent="0.3">
      <c r="A20" s="16"/>
      <c r="B20" s="36" t="s">
        <v>843</v>
      </c>
      <c r="C20" s="36"/>
      <c r="D20" s="36"/>
      <c r="E20" s="36"/>
      <c r="F20" s="36"/>
      <c r="G20" s="37"/>
      <c r="I20" s="23">
        <v>2</v>
      </c>
      <c r="J20" s="29">
        <f t="shared" ref="J20:J23" si="6">INDEX($J$11:$J$15,MATCH(I20,$K$11:$K$15,0))</f>
        <v>0.75000000000000011</v>
      </c>
      <c r="K20" s="5">
        <f t="shared" si="3"/>
        <v>1</v>
      </c>
      <c r="L20" s="5">
        <f>COUNT($I$11:$I$15)-SUM(K$18:$K20)</f>
        <v>3</v>
      </c>
      <c r="M20" s="155">
        <f t="shared" si="4"/>
        <v>0.6</v>
      </c>
      <c r="N20" s="97">
        <f t="shared" si="2"/>
        <v>0.3</v>
      </c>
      <c r="O20" s="83">
        <f t="shared" si="5"/>
        <v>5.0000000000000044E-2</v>
      </c>
    </row>
    <row r="21" spans="1:15" x14ac:dyDescent="0.3">
      <c r="A21" s="16"/>
      <c r="B21" s="36"/>
      <c r="C21" s="36"/>
      <c r="D21" s="36"/>
      <c r="E21" s="36"/>
      <c r="F21" s="36"/>
      <c r="G21" s="37"/>
      <c r="I21" s="23">
        <v>3</v>
      </c>
      <c r="J21" s="29">
        <f t="shared" si="6"/>
        <v>1</v>
      </c>
      <c r="K21" s="5">
        <f t="shared" si="3"/>
        <v>1</v>
      </c>
      <c r="L21" s="5">
        <f>COUNT($I$11:$I$15)-SUM(K$18:$K21)</f>
        <v>2</v>
      </c>
      <c r="M21" s="155">
        <f t="shared" si="4"/>
        <v>0.4</v>
      </c>
      <c r="N21" s="97">
        <f t="shared" si="2"/>
        <v>0.15000000000000005</v>
      </c>
      <c r="O21" s="83">
        <f t="shared" si="5"/>
        <v>0.15000000000000013</v>
      </c>
    </row>
    <row r="22" spans="1:15" x14ac:dyDescent="0.3">
      <c r="A22" s="16"/>
      <c r="B22" s="168" t="s">
        <v>844</v>
      </c>
      <c r="C22" s="115" t="s">
        <v>343</v>
      </c>
      <c r="D22" s="36"/>
      <c r="E22" s="36"/>
      <c r="F22" s="36"/>
      <c r="G22" s="37"/>
      <c r="I22" s="23">
        <v>4</v>
      </c>
      <c r="J22" s="29">
        <f t="shared" si="6"/>
        <v>1.25</v>
      </c>
      <c r="K22" s="5">
        <f t="shared" si="3"/>
        <v>1</v>
      </c>
      <c r="L22" s="5">
        <f>COUNT($I$11:$I$15)-SUM(K$18:$K22)</f>
        <v>1</v>
      </c>
      <c r="M22" s="155">
        <f t="shared" si="4"/>
        <v>0.2</v>
      </c>
      <c r="N22" s="97">
        <f>N23+(J23-J22)*M22</f>
        <v>5.0000000000000044E-2</v>
      </c>
      <c r="O22" s="83">
        <f t="shared" si="5"/>
        <v>0.30000000000000004</v>
      </c>
    </row>
    <row r="23" spans="1:15" x14ac:dyDescent="0.3">
      <c r="A23" s="16"/>
      <c r="B23" s="69">
        <v>1</v>
      </c>
      <c r="C23" s="358">
        <v>0.7</v>
      </c>
      <c r="D23" s="36"/>
      <c r="E23" s="36"/>
      <c r="F23" s="36"/>
      <c r="G23" s="37"/>
      <c r="I23" s="25">
        <v>5</v>
      </c>
      <c r="J23" s="30">
        <f t="shared" si="6"/>
        <v>1.5000000000000002</v>
      </c>
      <c r="K23" s="87">
        <f t="shared" si="3"/>
        <v>1</v>
      </c>
      <c r="L23" s="87">
        <f>COUNT($I$11:$I$15)-SUM(K$18:$K23)</f>
        <v>0</v>
      </c>
      <c r="M23" s="156">
        <f t="shared" si="4"/>
        <v>0</v>
      </c>
      <c r="N23" s="90">
        <v>0</v>
      </c>
      <c r="O23" s="88">
        <f t="shared" si="5"/>
        <v>0.50000000000000022</v>
      </c>
    </row>
    <row r="24" spans="1:15" x14ac:dyDescent="0.3">
      <c r="A24" s="16"/>
      <c r="B24" s="69">
        <v>2</v>
      </c>
      <c r="C24" s="358">
        <v>1.05</v>
      </c>
      <c r="D24" s="36"/>
      <c r="E24" s="36"/>
      <c r="F24" s="36"/>
      <c r="G24" s="37"/>
    </row>
    <row r="25" spans="1:15" x14ac:dyDescent="0.3">
      <c r="A25" s="16"/>
      <c r="B25" s="69">
        <v>3</v>
      </c>
      <c r="C25" s="358">
        <v>0.52500000000000002</v>
      </c>
      <c r="D25" s="36"/>
      <c r="E25" s="36"/>
      <c r="F25" s="36"/>
      <c r="G25" s="37"/>
      <c r="I25" s="101" t="s">
        <v>860</v>
      </c>
    </row>
    <row r="26" spans="1:15" x14ac:dyDescent="0.3">
      <c r="A26" s="16"/>
      <c r="B26" s="69">
        <v>4</v>
      </c>
      <c r="C26" s="358">
        <v>0.875</v>
      </c>
      <c r="D26" s="36"/>
      <c r="E26" s="36"/>
      <c r="F26" s="36"/>
      <c r="G26" s="37"/>
      <c r="I26" s="101" t="s">
        <v>861</v>
      </c>
    </row>
    <row r="27" spans="1:15" x14ac:dyDescent="0.3">
      <c r="A27" s="16"/>
      <c r="B27" s="70">
        <v>5</v>
      </c>
      <c r="C27" s="359">
        <v>0.35</v>
      </c>
      <c r="D27" s="36"/>
      <c r="E27" s="36"/>
      <c r="F27" s="36"/>
      <c r="G27" s="37"/>
    </row>
    <row r="28" spans="1:15" x14ac:dyDescent="0.3">
      <c r="A28" s="16"/>
      <c r="B28" s="36"/>
      <c r="C28" s="36"/>
      <c r="D28" s="36"/>
      <c r="E28" s="36"/>
      <c r="F28" s="36"/>
      <c r="G28" s="37"/>
      <c r="I28" t="s">
        <v>863</v>
      </c>
      <c r="K28" s="5">
        <f>N21</f>
        <v>0.15000000000000005</v>
      </c>
    </row>
    <row r="29" spans="1:15" x14ac:dyDescent="0.3">
      <c r="A29" s="63" t="s">
        <v>10</v>
      </c>
      <c r="B29" s="36" t="s">
        <v>845</v>
      </c>
      <c r="C29" s="36"/>
      <c r="D29" s="36"/>
      <c r="E29" s="36"/>
      <c r="F29" s="36"/>
      <c r="G29" s="37"/>
      <c r="I29" t="s">
        <v>865</v>
      </c>
      <c r="K29" s="5">
        <f>O20</f>
        <v>5.0000000000000044E-2</v>
      </c>
    </row>
    <row r="30" spans="1:15" x14ac:dyDescent="0.3">
      <c r="A30" s="16"/>
      <c r="B30" s="36" t="s">
        <v>846</v>
      </c>
      <c r="C30" s="36"/>
      <c r="D30" s="36"/>
      <c r="E30" s="36"/>
      <c r="F30" s="36"/>
      <c r="G30" s="37"/>
    </row>
    <row r="31" spans="1:15" x14ac:dyDescent="0.3">
      <c r="A31" s="16"/>
      <c r="B31" s="36" t="s">
        <v>847</v>
      </c>
      <c r="C31" s="36"/>
      <c r="D31" s="36"/>
      <c r="E31" s="36"/>
      <c r="F31" s="36"/>
      <c r="G31" s="37"/>
      <c r="I31" t="s">
        <v>866</v>
      </c>
      <c r="O31" s="5">
        <f>K28-K29</f>
        <v>0.1</v>
      </c>
    </row>
    <row r="32" spans="1:15" x14ac:dyDescent="0.3">
      <c r="A32" s="16"/>
      <c r="B32" s="36"/>
      <c r="C32" s="36"/>
      <c r="D32" s="36"/>
      <c r="E32" s="36"/>
      <c r="F32" s="36"/>
      <c r="G32" s="37"/>
      <c r="I32" t="s">
        <v>867</v>
      </c>
      <c r="O32" s="361">
        <f>O31*B11</f>
        <v>7000</v>
      </c>
    </row>
    <row r="33" spans="1:9" x14ac:dyDescent="0.3">
      <c r="A33" s="16"/>
      <c r="B33" s="36" t="s">
        <v>848</v>
      </c>
      <c r="C33" s="36"/>
      <c r="D33" s="36"/>
      <c r="E33" s="36"/>
      <c r="F33" s="36"/>
      <c r="G33" s="37"/>
    </row>
    <row r="34" spans="1:9" ht="15" thickBot="1" x14ac:dyDescent="0.35">
      <c r="A34" s="17"/>
      <c r="B34" s="41" t="s">
        <v>849</v>
      </c>
      <c r="C34" s="41"/>
      <c r="D34" s="41"/>
      <c r="E34" s="41"/>
      <c r="F34" s="41"/>
      <c r="G34" s="42"/>
      <c r="I34" t="s">
        <v>869</v>
      </c>
    </row>
    <row r="35" spans="1:9" x14ac:dyDescent="0.3">
      <c r="I35" t="s">
        <v>868</v>
      </c>
    </row>
    <row r="37" spans="1:9" x14ac:dyDescent="0.3">
      <c r="H37" t="s">
        <v>38</v>
      </c>
      <c r="I37" t="s">
        <v>870</v>
      </c>
    </row>
    <row r="38" spans="1:9" x14ac:dyDescent="0.3">
      <c r="I38" t="s">
        <v>871</v>
      </c>
    </row>
    <row r="39" spans="1:9" x14ac:dyDescent="0.3">
      <c r="I39" t="s">
        <v>872</v>
      </c>
    </row>
  </sheetData>
  <mergeCells count="1">
    <mergeCell ref="F1:G1"/>
  </mergeCells>
  <hyperlinks>
    <hyperlink ref="F1" location="TOC!A1" display="Return to TOC" xr:uid="{3F6DDA8C-8683-4239-ABE4-C8E5E9A18D7A}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A4328-2DB9-4B87-AFE8-EB80E3797D5E}">
  <dimension ref="A1:O48"/>
  <sheetViews>
    <sheetView workbookViewId="0"/>
  </sheetViews>
  <sheetFormatPr defaultColWidth="9.109375" defaultRowHeight="14.4" x14ac:dyDescent="0.3"/>
  <cols>
    <col min="1" max="1" width="14" style="185" bestFit="1" customWidth="1"/>
    <col min="2" max="3" width="9.109375" style="185"/>
    <col min="4" max="4" width="10.6640625" style="185" bestFit="1" customWidth="1"/>
    <col min="5" max="5" width="10.6640625" style="185" customWidth="1"/>
    <col min="6" max="7" width="9.109375" style="185"/>
    <col min="8" max="8" width="6.44140625" style="185" customWidth="1"/>
    <col min="9" max="9" width="3.6640625" style="185" customWidth="1"/>
    <col min="10" max="10" width="11.109375" style="185" customWidth="1"/>
    <col min="11" max="11" width="10.5546875" style="185" bestFit="1" customWidth="1"/>
    <col min="12" max="12" width="9.44140625" style="185" bestFit="1" customWidth="1"/>
    <col min="13" max="13" width="10" style="185" bestFit="1" customWidth="1"/>
    <col min="14" max="14" width="10.6640625" style="185" bestFit="1" customWidth="1"/>
    <col min="15" max="15" width="11.109375" style="185" bestFit="1" customWidth="1"/>
    <col min="16" max="16384" width="9.109375" style="185"/>
  </cols>
  <sheetData>
    <row r="1" spans="1:12" x14ac:dyDescent="0.3">
      <c r="A1" s="6" t="s">
        <v>4</v>
      </c>
      <c r="B1" s="7" t="s">
        <v>831</v>
      </c>
      <c r="C1" s="7"/>
      <c r="D1" s="8"/>
      <c r="E1" s="8"/>
      <c r="F1" s="8"/>
      <c r="G1" s="490" t="s">
        <v>5</v>
      </c>
      <c r="H1" s="491"/>
      <c r="J1" s="10" t="s">
        <v>6</v>
      </c>
    </row>
    <row r="2" spans="1:12" x14ac:dyDescent="0.3">
      <c r="A2" s="11" t="s">
        <v>7</v>
      </c>
      <c r="B2" s="33" t="s">
        <v>873</v>
      </c>
      <c r="C2" s="33"/>
      <c r="D2" s="33"/>
      <c r="E2" s="33"/>
      <c r="F2" s="33"/>
      <c r="G2" s="33"/>
      <c r="H2" s="12"/>
      <c r="I2" s="185" t="s">
        <v>28</v>
      </c>
      <c r="J2" s="185" t="s">
        <v>886</v>
      </c>
    </row>
    <row r="3" spans="1:12" x14ac:dyDescent="0.3">
      <c r="A3" s="11" t="s">
        <v>8</v>
      </c>
      <c r="B3" s="33" t="s">
        <v>800</v>
      </c>
      <c r="C3" s="33"/>
      <c r="D3" s="33"/>
      <c r="E3" s="33"/>
      <c r="F3" s="33"/>
      <c r="G3" s="33"/>
      <c r="H3" s="12"/>
      <c r="J3" s="185" t="s">
        <v>887</v>
      </c>
    </row>
    <row r="4" spans="1:12" x14ac:dyDescent="0.3">
      <c r="A4" s="13"/>
      <c r="B4" s="34"/>
      <c r="C4" s="34"/>
      <c r="D4" s="34"/>
      <c r="E4" s="34"/>
      <c r="F4" s="34"/>
      <c r="G4" s="34"/>
      <c r="H4" s="14"/>
    </row>
    <row r="5" spans="1:12" x14ac:dyDescent="0.3">
      <c r="A5" s="15" t="s">
        <v>9</v>
      </c>
      <c r="B5" s="33" t="s">
        <v>875</v>
      </c>
      <c r="C5" s="33"/>
      <c r="D5" s="33"/>
      <c r="E5" s="33"/>
      <c r="F5" s="33"/>
      <c r="G5" s="33"/>
      <c r="H5" s="12"/>
      <c r="J5" s="185" t="s">
        <v>888</v>
      </c>
      <c r="L5" s="331">
        <f>AVERAGE(D9:D13)</f>
        <v>85000</v>
      </c>
    </row>
    <row r="6" spans="1:12" x14ac:dyDescent="0.3">
      <c r="A6" s="375"/>
      <c r="B6" s="33" t="s">
        <v>876</v>
      </c>
      <c r="C6" s="33"/>
      <c r="D6" s="33"/>
      <c r="E6" s="33"/>
      <c r="F6" s="33"/>
      <c r="G6" s="33"/>
      <c r="H6" s="12"/>
    </row>
    <row r="7" spans="1:12" x14ac:dyDescent="0.3">
      <c r="A7" s="375"/>
      <c r="B7" s="33"/>
      <c r="C7" s="33"/>
      <c r="D7" s="33"/>
      <c r="E7" s="33"/>
      <c r="F7" s="33"/>
      <c r="G7" s="33"/>
      <c r="H7" s="12"/>
      <c r="J7" s="253" t="s">
        <v>77</v>
      </c>
      <c r="K7" s="252" t="s">
        <v>801</v>
      </c>
    </row>
    <row r="8" spans="1:12" x14ac:dyDescent="0.3">
      <c r="A8" s="375"/>
      <c r="B8" s="33"/>
      <c r="C8" s="376" t="s">
        <v>77</v>
      </c>
      <c r="D8" s="376" t="s">
        <v>874</v>
      </c>
      <c r="E8" s="377"/>
      <c r="F8" s="33"/>
      <c r="G8" s="33"/>
      <c r="H8" s="12"/>
      <c r="J8" s="200">
        <v>1</v>
      </c>
      <c r="K8" s="388">
        <f>D9/$L$5</f>
        <v>1</v>
      </c>
    </row>
    <row r="9" spans="1:12" x14ac:dyDescent="0.3">
      <c r="A9" s="375"/>
      <c r="B9" s="33"/>
      <c r="C9" s="114">
        <v>1</v>
      </c>
      <c r="D9" s="378">
        <v>85000</v>
      </c>
      <c r="E9" s="379"/>
      <c r="F9" s="33"/>
      <c r="G9" s="33"/>
      <c r="H9" s="12"/>
      <c r="J9" s="201">
        <v>2</v>
      </c>
      <c r="K9" s="389">
        <f t="shared" ref="K9:K12" si="0">D10/$L$5</f>
        <v>1.5</v>
      </c>
    </row>
    <row r="10" spans="1:12" x14ac:dyDescent="0.3">
      <c r="A10" s="375"/>
      <c r="B10" s="33"/>
      <c r="C10" s="114">
        <v>2</v>
      </c>
      <c r="D10" s="378">
        <v>127500</v>
      </c>
      <c r="E10" s="379"/>
      <c r="F10" s="33"/>
      <c r="G10" s="380"/>
      <c r="H10" s="12"/>
      <c r="J10" s="201">
        <v>3</v>
      </c>
      <c r="K10" s="389">
        <f t="shared" si="0"/>
        <v>0.5</v>
      </c>
    </row>
    <row r="11" spans="1:12" x14ac:dyDescent="0.3">
      <c r="A11" s="375"/>
      <c r="B11" s="33"/>
      <c r="C11" s="114">
        <v>3</v>
      </c>
      <c r="D11" s="378">
        <v>42500</v>
      </c>
      <c r="E11" s="379"/>
      <c r="F11" s="33"/>
      <c r="G11" s="380"/>
      <c r="H11" s="12"/>
      <c r="J11" s="201">
        <v>4</v>
      </c>
      <c r="K11" s="389">
        <f t="shared" si="0"/>
        <v>0.75</v>
      </c>
    </row>
    <row r="12" spans="1:12" x14ac:dyDescent="0.3">
      <c r="A12" s="375"/>
      <c r="B12" s="33"/>
      <c r="C12" s="114">
        <v>4</v>
      </c>
      <c r="D12" s="378">
        <v>63750</v>
      </c>
      <c r="E12" s="379"/>
      <c r="F12" s="33"/>
      <c r="G12" s="33"/>
      <c r="H12" s="12"/>
      <c r="J12" s="202">
        <v>5</v>
      </c>
      <c r="K12" s="390">
        <f t="shared" si="0"/>
        <v>1.25</v>
      </c>
    </row>
    <row r="13" spans="1:12" x14ac:dyDescent="0.3">
      <c r="A13" s="375"/>
      <c r="B13" s="33"/>
      <c r="C13" s="114">
        <v>5</v>
      </c>
      <c r="D13" s="378">
        <v>106250</v>
      </c>
      <c r="E13" s="379"/>
      <c r="F13" s="33"/>
      <c r="G13" s="33"/>
      <c r="H13" s="12"/>
    </row>
    <row r="14" spans="1:12" x14ac:dyDescent="0.3">
      <c r="A14" s="375"/>
      <c r="B14" s="33"/>
      <c r="C14" s="33"/>
      <c r="D14" s="33"/>
      <c r="E14" s="33"/>
      <c r="F14" s="33"/>
      <c r="G14" s="380"/>
      <c r="H14" s="12"/>
      <c r="J14" s="185" t="s">
        <v>889</v>
      </c>
    </row>
    <row r="15" spans="1:12" x14ac:dyDescent="0.3">
      <c r="A15" s="11" t="s">
        <v>10</v>
      </c>
      <c r="B15" s="33" t="s">
        <v>883</v>
      </c>
      <c r="C15" s="33"/>
      <c r="D15" s="33"/>
      <c r="E15" s="33"/>
      <c r="F15" s="33"/>
      <c r="G15" s="380"/>
      <c r="H15" s="12"/>
      <c r="J15" s="185" t="s">
        <v>890</v>
      </c>
    </row>
    <row r="16" spans="1:12" x14ac:dyDescent="0.3">
      <c r="A16" s="375"/>
      <c r="B16" s="33" t="s">
        <v>877</v>
      </c>
      <c r="C16" s="33"/>
      <c r="D16" s="33"/>
      <c r="E16" s="33"/>
      <c r="F16" s="33"/>
      <c r="G16" s="33"/>
      <c r="H16" s="12"/>
    </row>
    <row r="17" spans="1:15" x14ac:dyDescent="0.3">
      <c r="A17" s="375"/>
      <c r="B17" s="33"/>
      <c r="C17" s="33"/>
      <c r="D17" s="33"/>
      <c r="E17" s="33"/>
      <c r="F17" s="33"/>
      <c r="G17" s="380"/>
      <c r="H17" s="12"/>
      <c r="J17" s="187" t="s">
        <v>801</v>
      </c>
      <c r="K17" s="198" t="s">
        <v>803</v>
      </c>
      <c r="L17" s="203" t="s">
        <v>891</v>
      </c>
      <c r="M17" s="199" t="s">
        <v>892</v>
      </c>
      <c r="N17" s="187" t="s">
        <v>893</v>
      </c>
      <c r="O17" s="187" t="s">
        <v>894</v>
      </c>
    </row>
    <row r="18" spans="1:15" x14ac:dyDescent="0.3">
      <c r="A18" s="375"/>
      <c r="B18" s="33" t="s">
        <v>884</v>
      </c>
      <c r="C18" s="33"/>
      <c r="D18" s="33"/>
      <c r="E18" s="33"/>
      <c r="F18" s="33"/>
      <c r="G18" s="380"/>
      <c r="H18" s="12"/>
      <c r="J18" s="391">
        <v>0</v>
      </c>
      <c r="K18" s="190">
        <f>COUNTIF($K$8:$K$12,J18)</f>
        <v>0</v>
      </c>
      <c r="L18" s="191">
        <f>COUNTIF($K$8:$K$12,"&gt;"&amp;J18)</f>
        <v>5</v>
      </c>
      <c r="M18" s="369">
        <f>L18/COUNT($J$8:$J$12)</f>
        <v>1</v>
      </c>
      <c r="N18" s="372">
        <f t="shared" ref="N18:N22" si="1">N19+M18*(J19-J18)</f>
        <v>1</v>
      </c>
      <c r="O18" s="366">
        <f>N18+J18-1</f>
        <v>0</v>
      </c>
    </row>
    <row r="19" spans="1:15" x14ac:dyDescent="0.3">
      <c r="A19" s="375"/>
      <c r="B19" s="33" t="s">
        <v>878</v>
      </c>
      <c r="C19" s="33"/>
      <c r="D19" s="33"/>
      <c r="E19" s="33"/>
      <c r="F19" s="33"/>
      <c r="G19" s="380"/>
      <c r="H19" s="12"/>
      <c r="J19" s="392">
        <v>0.25</v>
      </c>
      <c r="K19" s="193">
        <f t="shared" ref="K19:K24" si="2">COUNTIF($K$8:$K$12,J19)</f>
        <v>0</v>
      </c>
      <c r="L19" s="9">
        <f t="shared" ref="L19:L24" si="3">COUNTIF($K$8:$K$12,"&gt;"&amp;J19)</f>
        <v>5</v>
      </c>
      <c r="M19" s="370">
        <f t="shared" ref="M19:M24" si="4">L19/COUNT($J$8:$J$12)</f>
        <v>1</v>
      </c>
      <c r="N19" s="373">
        <f t="shared" si="1"/>
        <v>0.75</v>
      </c>
      <c r="O19" s="367">
        <f t="shared" ref="O19:O24" si="5">N19+J19-1</f>
        <v>0</v>
      </c>
    </row>
    <row r="20" spans="1:15" x14ac:dyDescent="0.3">
      <c r="A20" s="375"/>
      <c r="B20" s="33"/>
      <c r="C20" s="33"/>
      <c r="D20" s="33"/>
      <c r="E20" s="33"/>
      <c r="F20" s="33"/>
      <c r="G20" s="380"/>
      <c r="H20" s="12"/>
      <c r="J20" s="392">
        <v>0.5</v>
      </c>
      <c r="K20" s="193">
        <f t="shared" si="2"/>
        <v>1</v>
      </c>
      <c r="L20" s="9">
        <f t="shared" si="3"/>
        <v>4</v>
      </c>
      <c r="M20" s="370">
        <f t="shared" si="4"/>
        <v>0.8</v>
      </c>
      <c r="N20" s="373">
        <f t="shared" si="1"/>
        <v>0.5</v>
      </c>
      <c r="O20" s="367">
        <f t="shared" si="5"/>
        <v>0</v>
      </c>
    </row>
    <row r="21" spans="1:15" x14ac:dyDescent="0.3">
      <c r="A21" s="375"/>
      <c r="B21" s="33" t="s">
        <v>879</v>
      </c>
      <c r="C21" s="33"/>
      <c r="D21" s="33"/>
      <c r="E21" s="33"/>
      <c r="F21" s="33"/>
      <c r="G21" s="33"/>
      <c r="H21" s="12"/>
      <c r="J21" s="392">
        <v>0.75</v>
      </c>
      <c r="K21" s="193">
        <f t="shared" si="2"/>
        <v>1</v>
      </c>
      <c r="L21" s="9">
        <f t="shared" si="3"/>
        <v>3</v>
      </c>
      <c r="M21" s="370">
        <f t="shared" si="4"/>
        <v>0.6</v>
      </c>
      <c r="N21" s="373">
        <f t="shared" si="1"/>
        <v>0.30000000000000004</v>
      </c>
      <c r="O21" s="367">
        <f t="shared" si="5"/>
        <v>5.0000000000000044E-2</v>
      </c>
    </row>
    <row r="22" spans="1:15" x14ac:dyDescent="0.3">
      <c r="A22" s="375"/>
      <c r="B22" s="33" t="s">
        <v>880</v>
      </c>
      <c r="C22" s="33"/>
      <c r="D22" s="33"/>
      <c r="E22" s="33"/>
      <c r="F22" s="33"/>
      <c r="G22" s="381"/>
      <c r="H22" s="12"/>
      <c r="J22" s="392">
        <v>1</v>
      </c>
      <c r="K22" s="193">
        <f t="shared" si="2"/>
        <v>1</v>
      </c>
      <c r="L22" s="9">
        <f t="shared" si="3"/>
        <v>2</v>
      </c>
      <c r="M22" s="370">
        <f t="shared" si="4"/>
        <v>0.4</v>
      </c>
      <c r="N22" s="373">
        <f t="shared" si="1"/>
        <v>0.15000000000000002</v>
      </c>
      <c r="O22" s="367">
        <f t="shared" si="5"/>
        <v>0.14999999999999991</v>
      </c>
    </row>
    <row r="23" spans="1:15" x14ac:dyDescent="0.3">
      <c r="A23" s="375"/>
      <c r="B23" s="33" t="s">
        <v>881</v>
      </c>
      <c r="C23" s="33"/>
      <c r="D23" s="33"/>
      <c r="E23" s="33"/>
      <c r="F23" s="33"/>
      <c r="G23" s="382"/>
      <c r="H23" s="12"/>
      <c r="J23" s="392">
        <v>1.25</v>
      </c>
      <c r="K23" s="193">
        <f t="shared" si="2"/>
        <v>1</v>
      </c>
      <c r="L23" s="9">
        <f t="shared" si="3"/>
        <v>1</v>
      </c>
      <c r="M23" s="370">
        <f t="shared" si="4"/>
        <v>0.2</v>
      </c>
      <c r="N23" s="373">
        <f>N24+M23*(J24-J23)</f>
        <v>0.05</v>
      </c>
      <c r="O23" s="367">
        <f t="shared" si="5"/>
        <v>0.30000000000000004</v>
      </c>
    </row>
    <row r="24" spans="1:15" x14ac:dyDescent="0.3">
      <c r="A24" s="375"/>
      <c r="B24" s="33"/>
      <c r="C24" s="33"/>
      <c r="D24" s="33"/>
      <c r="E24" s="33"/>
      <c r="F24" s="33"/>
      <c r="G24" s="382"/>
      <c r="H24" s="12"/>
      <c r="J24" s="393">
        <v>1.5</v>
      </c>
      <c r="K24" s="195">
        <f t="shared" si="2"/>
        <v>1</v>
      </c>
      <c r="L24" s="196">
        <f t="shared" si="3"/>
        <v>0</v>
      </c>
      <c r="M24" s="371">
        <f t="shared" si="4"/>
        <v>0</v>
      </c>
      <c r="N24" s="374">
        <v>0</v>
      </c>
      <c r="O24" s="368">
        <f t="shared" si="5"/>
        <v>0.5</v>
      </c>
    </row>
    <row r="25" spans="1:15" x14ac:dyDescent="0.3">
      <c r="A25" s="375"/>
      <c r="B25" s="33"/>
      <c r="C25" s="376" t="s">
        <v>77</v>
      </c>
      <c r="D25" s="376" t="s">
        <v>874</v>
      </c>
      <c r="E25" s="377"/>
      <c r="F25" s="33"/>
      <c r="G25" s="33"/>
      <c r="H25" s="12"/>
    </row>
    <row r="26" spans="1:15" x14ac:dyDescent="0.3">
      <c r="A26" s="375"/>
      <c r="B26" s="33"/>
      <c r="C26" s="114">
        <v>1</v>
      </c>
      <c r="D26" s="378">
        <v>12000</v>
      </c>
      <c r="E26" s="379"/>
      <c r="F26" s="33"/>
      <c r="G26" s="33"/>
      <c r="H26" s="12"/>
      <c r="J26" s="185" t="s">
        <v>895</v>
      </c>
    </row>
    <row r="27" spans="1:15" x14ac:dyDescent="0.3">
      <c r="A27" s="375"/>
      <c r="B27" s="33"/>
      <c r="C27" s="114">
        <v>2</v>
      </c>
      <c r="D27" s="378">
        <v>42500</v>
      </c>
      <c r="E27" s="379"/>
      <c r="F27" s="33"/>
      <c r="G27" s="33"/>
      <c r="H27" s="12"/>
      <c r="J27" s="333" t="s">
        <v>896</v>
      </c>
    </row>
    <row r="28" spans="1:15" ht="15.6" x14ac:dyDescent="0.35">
      <c r="A28" s="375"/>
      <c r="B28" s="33"/>
      <c r="C28" s="114">
        <v>3</v>
      </c>
      <c r="D28" s="378">
        <v>63750</v>
      </c>
      <c r="E28" s="379"/>
      <c r="F28" s="33"/>
      <c r="G28" s="33"/>
      <c r="H28" s="12"/>
      <c r="J28" s="333" t="s">
        <v>897</v>
      </c>
    </row>
    <row r="29" spans="1:15" x14ac:dyDescent="0.3">
      <c r="A29" s="375"/>
      <c r="B29" s="33"/>
      <c r="C29" s="114">
        <v>4</v>
      </c>
      <c r="D29" s="378">
        <v>106250</v>
      </c>
      <c r="E29" s="379"/>
      <c r="F29" s="33"/>
      <c r="G29" s="33"/>
      <c r="H29" s="12"/>
      <c r="J29" s="333" t="s">
        <v>898</v>
      </c>
    </row>
    <row r="30" spans="1:15" x14ac:dyDescent="0.3">
      <c r="A30" s="375"/>
      <c r="B30" s="33"/>
      <c r="C30" s="114">
        <v>5</v>
      </c>
      <c r="D30" s="378">
        <v>275000</v>
      </c>
      <c r="E30" s="379"/>
      <c r="F30" s="33"/>
      <c r="G30" s="33"/>
      <c r="H30" s="12"/>
    </row>
    <row r="31" spans="1:15" x14ac:dyDescent="0.3">
      <c r="A31" s="375"/>
      <c r="B31" s="33"/>
      <c r="C31" s="33"/>
      <c r="D31" s="33"/>
      <c r="E31" s="33"/>
      <c r="F31" s="33"/>
      <c r="G31" s="33"/>
      <c r="H31" s="12"/>
      <c r="I31" s="185" t="s">
        <v>909</v>
      </c>
      <c r="J31" s="185" t="s">
        <v>899</v>
      </c>
    </row>
    <row r="32" spans="1:15" x14ac:dyDescent="0.3">
      <c r="A32" s="375"/>
      <c r="B32" s="33" t="s">
        <v>885</v>
      </c>
      <c r="C32" s="33"/>
      <c r="D32" s="33"/>
      <c r="E32" s="33"/>
      <c r="F32" s="33"/>
      <c r="G32" s="33"/>
      <c r="H32" s="12"/>
      <c r="J32" s="185" t="s">
        <v>900</v>
      </c>
    </row>
    <row r="33" spans="1:12" ht="15" thickBot="1" x14ac:dyDescent="0.35">
      <c r="A33" s="383"/>
      <c r="B33" s="106" t="s">
        <v>882</v>
      </c>
      <c r="C33" s="106"/>
      <c r="D33" s="106"/>
      <c r="E33" s="106"/>
      <c r="F33" s="106"/>
      <c r="G33" s="106"/>
      <c r="H33" s="384"/>
      <c r="J33" s="185" t="s">
        <v>901</v>
      </c>
    </row>
    <row r="35" spans="1:12" x14ac:dyDescent="0.3">
      <c r="I35" s="185" t="s">
        <v>240</v>
      </c>
      <c r="J35" s="185" t="s">
        <v>902</v>
      </c>
      <c r="L35" s="331">
        <f>AVERAGE(D26:D30)</f>
        <v>99900</v>
      </c>
    </row>
    <row r="36" spans="1:12" x14ac:dyDescent="0.3">
      <c r="J36" s="253" t="s">
        <v>77</v>
      </c>
      <c r="K36" s="252" t="s">
        <v>801</v>
      </c>
    </row>
    <row r="37" spans="1:12" x14ac:dyDescent="0.3">
      <c r="J37" s="200">
        <v>1</v>
      </c>
      <c r="K37" s="385">
        <f>D26/$L$35</f>
        <v>0.12012012012012012</v>
      </c>
    </row>
    <row r="38" spans="1:12" x14ac:dyDescent="0.3">
      <c r="J38" s="201">
        <v>2</v>
      </c>
      <c r="K38" s="386">
        <f t="shared" ref="K38:K41" si="6">D27/$L$35</f>
        <v>0.42542542542542544</v>
      </c>
    </row>
    <row r="39" spans="1:12" x14ac:dyDescent="0.3">
      <c r="J39" s="201">
        <v>3</v>
      </c>
      <c r="K39" s="386">
        <f t="shared" si="6"/>
        <v>0.63813813813813813</v>
      </c>
    </row>
    <row r="40" spans="1:12" x14ac:dyDescent="0.3">
      <c r="J40" s="201">
        <v>4</v>
      </c>
      <c r="K40" s="386">
        <f t="shared" si="6"/>
        <v>1.0635635635635636</v>
      </c>
    </row>
    <row r="41" spans="1:12" x14ac:dyDescent="0.3">
      <c r="J41" s="202">
        <v>5</v>
      </c>
      <c r="K41" s="387">
        <f t="shared" si="6"/>
        <v>2.7527527527527527</v>
      </c>
    </row>
    <row r="43" spans="1:12" x14ac:dyDescent="0.3">
      <c r="J43" s="185" t="s">
        <v>903</v>
      </c>
    </row>
    <row r="44" spans="1:12" x14ac:dyDescent="0.3">
      <c r="J44" s="185" t="s">
        <v>904</v>
      </c>
    </row>
    <row r="45" spans="1:12" x14ac:dyDescent="0.3">
      <c r="J45" s="185" t="s">
        <v>905</v>
      </c>
    </row>
    <row r="46" spans="1:12" x14ac:dyDescent="0.3">
      <c r="J46" s="185" t="s">
        <v>906</v>
      </c>
    </row>
    <row r="47" spans="1:12" x14ac:dyDescent="0.3">
      <c r="J47" s="185" t="s">
        <v>907</v>
      </c>
    </row>
    <row r="48" spans="1:12" x14ac:dyDescent="0.3">
      <c r="J48" s="185" t="s">
        <v>908</v>
      </c>
    </row>
  </sheetData>
  <mergeCells count="1">
    <mergeCell ref="G1:H1"/>
  </mergeCells>
  <hyperlinks>
    <hyperlink ref="G1" location="TOC!A1" display="Return to TOC" xr:uid="{46956C76-9FCF-4694-A3FE-6434919241B1}"/>
  </hyperlinks>
  <pageMargins left="0.7" right="0.7" top="0.75" bottom="0.75" header="0.3" footer="0.3"/>
  <ignoredErrors>
    <ignoredError sqref="K18:O24 K8:K12" unlockedFormula="1"/>
  </ignoredError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B0D11-5062-4916-85B4-DB6A34229550}">
  <dimension ref="A1:V42"/>
  <sheetViews>
    <sheetView workbookViewId="0"/>
  </sheetViews>
  <sheetFormatPr defaultRowHeight="14.4" x14ac:dyDescent="0.3"/>
  <cols>
    <col min="1" max="1" width="14" bestFit="1" customWidth="1"/>
    <col min="3" max="3" width="16.109375" bestFit="1" customWidth="1"/>
    <col min="4" max="4" width="10.33203125" customWidth="1"/>
    <col min="5" max="5" width="16.109375" bestFit="1" customWidth="1"/>
    <col min="9" max="9" width="5" customWidth="1"/>
    <col min="10" max="10" width="3.6640625" customWidth="1"/>
    <col min="11" max="11" width="17.5546875" customWidth="1"/>
    <col min="12" max="12" width="10.5546875" bestFit="1" customWidth="1"/>
    <col min="14" max="14" width="9.44140625" bestFit="1" customWidth="1"/>
    <col min="15" max="15" width="10" bestFit="1" customWidth="1"/>
  </cols>
  <sheetData>
    <row r="1" spans="1:22" x14ac:dyDescent="0.3">
      <c r="A1" s="6" t="s">
        <v>4</v>
      </c>
      <c r="B1" s="7" t="s">
        <v>831</v>
      </c>
      <c r="C1" s="7"/>
      <c r="D1" s="8"/>
      <c r="E1" s="8"/>
      <c r="F1" s="8"/>
      <c r="G1" s="8"/>
      <c r="H1" s="490" t="s">
        <v>5</v>
      </c>
      <c r="I1" s="491"/>
      <c r="J1" s="185"/>
      <c r="K1" s="10" t="s">
        <v>6</v>
      </c>
    </row>
    <row r="2" spans="1:22" ht="15.6" x14ac:dyDescent="0.35">
      <c r="A2" s="11" t="s">
        <v>7</v>
      </c>
      <c r="B2" s="33" t="s">
        <v>945</v>
      </c>
      <c r="C2" s="33"/>
      <c r="D2" s="33"/>
      <c r="E2" s="33"/>
      <c r="F2" s="33"/>
      <c r="G2" s="33"/>
      <c r="H2" s="33"/>
      <c r="I2" s="12"/>
      <c r="J2" s="185" t="s">
        <v>28</v>
      </c>
      <c r="K2" s="185" t="s">
        <v>923</v>
      </c>
      <c r="L2" s="185"/>
      <c r="M2" s="185"/>
      <c r="N2" s="185"/>
      <c r="O2" s="185"/>
      <c r="P2" s="185"/>
      <c r="Q2" s="185"/>
      <c r="R2" s="185"/>
      <c r="S2" s="185"/>
      <c r="T2" s="185"/>
      <c r="U2" s="185"/>
      <c r="V2" s="185"/>
    </row>
    <row r="3" spans="1:22" ht="15.6" x14ac:dyDescent="0.35">
      <c r="A3" s="11" t="s">
        <v>8</v>
      </c>
      <c r="B3" s="33" t="s">
        <v>543</v>
      </c>
      <c r="C3" s="33"/>
      <c r="D3" s="33"/>
      <c r="E3" s="33"/>
      <c r="F3" s="33"/>
      <c r="G3" s="33"/>
      <c r="H3" s="33"/>
      <c r="I3" s="12"/>
      <c r="J3" s="185"/>
      <c r="K3" s="185" t="s">
        <v>924</v>
      </c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</row>
    <row r="4" spans="1:22" x14ac:dyDescent="0.3">
      <c r="A4" s="13"/>
      <c r="B4" s="34"/>
      <c r="C4" s="34"/>
      <c r="D4" s="34"/>
      <c r="E4" s="34"/>
      <c r="F4" s="34"/>
      <c r="G4" s="34"/>
      <c r="H4" s="34"/>
      <c r="I4" s="14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1:22" x14ac:dyDescent="0.3">
      <c r="A5" s="15" t="s">
        <v>9</v>
      </c>
      <c r="B5" s="36" t="s">
        <v>910</v>
      </c>
      <c r="C5" s="36"/>
      <c r="D5" s="36"/>
      <c r="E5" s="36"/>
      <c r="F5" s="36"/>
      <c r="G5" s="36"/>
      <c r="H5" s="33"/>
      <c r="I5" s="12"/>
      <c r="J5" s="185"/>
      <c r="K5" s="185" t="s">
        <v>925</v>
      </c>
      <c r="L5" s="185"/>
      <c r="M5" s="185"/>
      <c r="N5" s="185"/>
      <c r="O5" s="185"/>
      <c r="P5" s="185"/>
      <c r="Q5" s="185"/>
      <c r="R5" s="185"/>
      <c r="S5" s="185"/>
      <c r="T5" s="185"/>
      <c r="U5" s="185"/>
      <c r="V5" s="185"/>
    </row>
    <row r="6" spans="1:22" x14ac:dyDescent="0.3">
      <c r="A6" s="16"/>
      <c r="B6" s="116">
        <v>50000</v>
      </c>
      <c r="C6" s="43" t="s">
        <v>918</v>
      </c>
      <c r="D6" s="118"/>
      <c r="E6" s="267"/>
      <c r="F6" s="36"/>
      <c r="G6" s="36"/>
      <c r="H6" s="36"/>
      <c r="I6" s="37"/>
      <c r="K6" s="185" t="s">
        <v>926</v>
      </c>
      <c r="L6" s="185"/>
      <c r="M6" s="185"/>
      <c r="N6" s="185"/>
      <c r="O6" s="185"/>
      <c r="P6" s="185"/>
      <c r="Q6" s="185"/>
      <c r="R6" s="185"/>
      <c r="S6" s="185"/>
      <c r="T6" s="185"/>
      <c r="U6" s="185"/>
      <c r="V6" s="185"/>
    </row>
    <row r="7" spans="1:22" x14ac:dyDescent="0.3">
      <c r="A7" s="16"/>
      <c r="B7" s="71">
        <v>300000</v>
      </c>
      <c r="C7" s="267" t="s">
        <v>919</v>
      </c>
      <c r="D7" s="119"/>
      <c r="E7" s="267"/>
      <c r="F7" s="36"/>
      <c r="G7" s="36"/>
      <c r="H7" s="36"/>
      <c r="I7" s="37"/>
      <c r="K7" s="185"/>
      <c r="L7" s="185"/>
      <c r="M7" s="185"/>
      <c r="N7" s="185"/>
      <c r="O7" s="185"/>
      <c r="P7" s="185"/>
      <c r="Q7" s="185"/>
      <c r="R7" s="185"/>
      <c r="S7" s="185"/>
      <c r="T7" s="185"/>
      <c r="U7" s="185"/>
      <c r="V7" s="185"/>
    </row>
    <row r="8" spans="1:22" x14ac:dyDescent="0.3">
      <c r="A8" s="16"/>
      <c r="B8" s="69">
        <v>1.05</v>
      </c>
      <c r="C8" s="267" t="s">
        <v>440</v>
      </c>
      <c r="D8" s="119"/>
      <c r="E8" s="267"/>
      <c r="F8" s="36"/>
      <c r="G8" s="36"/>
      <c r="H8" s="36"/>
      <c r="I8" s="37"/>
      <c r="K8" s="185" t="s">
        <v>927</v>
      </c>
      <c r="L8" s="331">
        <f>SUM(C15:C19,E15:E19)/D19</f>
        <v>200000</v>
      </c>
      <c r="M8" s="185"/>
      <c r="N8" s="185"/>
      <c r="O8" s="185"/>
      <c r="P8" s="185"/>
      <c r="Q8" s="185"/>
      <c r="R8" s="185"/>
      <c r="S8" s="185"/>
      <c r="T8" s="185"/>
      <c r="U8" s="185"/>
      <c r="V8" s="185"/>
    </row>
    <row r="9" spans="1:22" x14ac:dyDescent="0.3">
      <c r="A9" s="16"/>
      <c r="B9" s="72">
        <v>10000</v>
      </c>
      <c r="C9" s="268" t="s">
        <v>920</v>
      </c>
      <c r="D9" s="121"/>
      <c r="E9" s="267"/>
      <c r="F9" s="36"/>
      <c r="G9" s="36"/>
      <c r="H9" s="36"/>
      <c r="I9" s="37"/>
      <c r="K9" s="185"/>
      <c r="L9" s="185"/>
      <c r="M9" s="185"/>
      <c r="N9" s="185"/>
      <c r="O9" s="185"/>
      <c r="P9" s="185"/>
      <c r="Q9" s="185"/>
      <c r="R9" s="185"/>
      <c r="S9" s="185"/>
      <c r="T9" s="185"/>
      <c r="U9" s="185"/>
      <c r="V9" s="185"/>
    </row>
    <row r="10" spans="1:22" x14ac:dyDescent="0.3">
      <c r="A10" s="16"/>
      <c r="B10" s="36"/>
      <c r="C10" s="36"/>
      <c r="D10" s="36"/>
      <c r="E10" s="36"/>
      <c r="F10" s="36"/>
      <c r="G10" s="36"/>
      <c r="H10" s="36"/>
      <c r="I10" s="37"/>
      <c r="K10" s="185" t="s">
        <v>928</v>
      </c>
      <c r="L10" s="185"/>
      <c r="M10" s="185"/>
      <c r="N10" s="365">
        <f>B6/L8</f>
        <v>0.25</v>
      </c>
      <c r="P10" s="185"/>
      <c r="Q10" s="185"/>
      <c r="R10" s="185"/>
      <c r="S10" s="185"/>
      <c r="T10" s="185"/>
      <c r="U10" s="185"/>
      <c r="V10" s="185"/>
    </row>
    <row r="11" spans="1:22" x14ac:dyDescent="0.3">
      <c r="A11" s="16"/>
      <c r="B11" s="36" t="s">
        <v>911</v>
      </c>
      <c r="C11" s="36"/>
      <c r="D11" s="36"/>
      <c r="E11" s="36"/>
      <c r="F11" s="36"/>
      <c r="G11" s="36"/>
      <c r="H11" s="36"/>
      <c r="I11" s="37"/>
      <c r="K11" s="185" t="s">
        <v>929</v>
      </c>
      <c r="L11" s="185"/>
      <c r="M11" s="185"/>
      <c r="N11" s="365">
        <f>B7/L8</f>
        <v>1.5</v>
      </c>
      <c r="P11" s="185"/>
      <c r="Q11" s="185"/>
      <c r="R11" s="185"/>
      <c r="S11" s="185"/>
      <c r="T11" s="185"/>
      <c r="U11" s="185"/>
      <c r="V11" s="185"/>
    </row>
    <row r="12" spans="1:22" x14ac:dyDescent="0.3">
      <c r="A12" s="16"/>
      <c r="B12" s="36" t="s">
        <v>912</v>
      </c>
      <c r="C12" s="36"/>
      <c r="D12" s="36"/>
      <c r="E12" s="36"/>
      <c r="F12" s="36"/>
      <c r="G12" s="36"/>
      <c r="H12" s="36"/>
      <c r="I12" s="37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</row>
    <row r="13" spans="1:22" ht="15" customHeight="1" x14ac:dyDescent="0.3">
      <c r="A13" s="16"/>
      <c r="B13" s="43"/>
      <c r="C13" s="180" t="s">
        <v>917</v>
      </c>
      <c r="D13" s="98"/>
      <c r="E13" s="175" t="s">
        <v>917</v>
      </c>
      <c r="F13" s="225"/>
      <c r="G13" s="36"/>
      <c r="H13" s="36"/>
      <c r="I13" s="37"/>
      <c r="K13" s="185" t="s">
        <v>930</v>
      </c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</row>
    <row r="14" spans="1:22" x14ac:dyDescent="0.3">
      <c r="A14" s="16"/>
      <c r="B14" s="176" t="s">
        <v>77</v>
      </c>
      <c r="C14" s="181" t="s">
        <v>80</v>
      </c>
      <c r="D14" s="183" t="s">
        <v>77</v>
      </c>
      <c r="E14" s="178" t="s">
        <v>80</v>
      </c>
      <c r="F14" s="225"/>
      <c r="G14" s="36"/>
      <c r="H14" s="36"/>
      <c r="I14" s="37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</row>
    <row r="15" spans="1:22" x14ac:dyDescent="0.3">
      <c r="A15" s="16"/>
      <c r="B15" s="52">
        <v>1</v>
      </c>
      <c r="C15" s="71">
        <v>25000</v>
      </c>
      <c r="D15" s="69">
        <v>6</v>
      </c>
      <c r="E15" s="66">
        <v>175000</v>
      </c>
      <c r="F15" s="294"/>
      <c r="G15" s="36"/>
      <c r="H15" s="36"/>
      <c r="I15" s="37"/>
      <c r="K15" s="185" t="s">
        <v>931</v>
      </c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</row>
    <row r="16" spans="1:22" x14ac:dyDescent="0.3">
      <c r="A16" s="16"/>
      <c r="B16" s="52">
        <v>2</v>
      </c>
      <c r="C16" s="71">
        <v>50000</v>
      </c>
      <c r="D16" s="69">
        <v>7</v>
      </c>
      <c r="E16" s="66">
        <v>200000</v>
      </c>
      <c r="F16" s="294"/>
      <c r="G16" s="36"/>
      <c r="H16" s="36"/>
      <c r="I16" s="37"/>
      <c r="K16" s="185" t="s">
        <v>932</v>
      </c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</row>
    <row r="17" spans="1:22" x14ac:dyDescent="0.3">
      <c r="A17" s="16"/>
      <c r="B17" s="52">
        <v>3</v>
      </c>
      <c r="C17" s="71">
        <v>100000</v>
      </c>
      <c r="D17" s="69">
        <v>8</v>
      </c>
      <c r="E17" s="66">
        <v>300000</v>
      </c>
      <c r="F17" s="294"/>
      <c r="G17" s="36"/>
      <c r="H17" s="36"/>
      <c r="I17" s="37"/>
      <c r="K17" s="185"/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</row>
    <row r="18" spans="1:22" x14ac:dyDescent="0.3">
      <c r="A18" s="16"/>
      <c r="B18" s="52">
        <v>4</v>
      </c>
      <c r="C18" s="71">
        <v>100000</v>
      </c>
      <c r="D18" s="69">
        <v>9</v>
      </c>
      <c r="E18" s="66">
        <v>350000</v>
      </c>
      <c r="F18" s="294"/>
      <c r="G18" s="36"/>
      <c r="H18" s="36"/>
      <c r="I18" s="37"/>
      <c r="K18" s="187" t="s">
        <v>20</v>
      </c>
      <c r="L18" s="187" t="s">
        <v>801</v>
      </c>
      <c r="M18" s="203" t="s">
        <v>933</v>
      </c>
      <c r="N18" s="203" t="s">
        <v>891</v>
      </c>
      <c r="O18" s="203" t="s">
        <v>892</v>
      </c>
      <c r="P18" s="395" t="s">
        <v>862</v>
      </c>
      <c r="Q18" s="185"/>
      <c r="R18" s="185"/>
      <c r="S18" s="185"/>
      <c r="T18" s="185"/>
      <c r="U18" s="185"/>
      <c r="V18" s="185"/>
    </row>
    <row r="19" spans="1:22" x14ac:dyDescent="0.3">
      <c r="A19" s="16"/>
      <c r="B19" s="54">
        <v>5</v>
      </c>
      <c r="C19" s="72">
        <v>150000</v>
      </c>
      <c r="D19" s="70">
        <v>10</v>
      </c>
      <c r="E19" s="67">
        <v>550000</v>
      </c>
      <c r="F19" s="294"/>
      <c r="G19" s="36"/>
      <c r="H19" s="36"/>
      <c r="I19" s="37"/>
      <c r="K19" s="201">
        <v>0</v>
      </c>
      <c r="L19" s="512">
        <f>K19/$L$8</f>
        <v>0</v>
      </c>
      <c r="M19" s="508">
        <f>COUNTIF($C$15:$C$19,L19*$L$8)+COUNTIF($E$15:$E$19,L19*$L$8)</f>
        <v>0</v>
      </c>
      <c r="N19" s="508">
        <f>COUNTIF($C$15:$C$19,"&gt;"&amp;L19*$L$8)+COUNTIF($E$15:$E$19,"&gt;"&amp;L19*$L$8)</f>
        <v>10</v>
      </c>
      <c r="O19" s="509">
        <f>N19/$D$19</f>
        <v>1</v>
      </c>
      <c r="P19" s="201">
        <f t="shared" ref="P19:P26" si="0">P20+O19*(L20-L19)</f>
        <v>1</v>
      </c>
      <c r="Q19" s="185"/>
      <c r="R19" s="185"/>
      <c r="S19" s="185"/>
      <c r="T19" s="185"/>
      <c r="U19" s="185"/>
      <c r="V19" s="185"/>
    </row>
    <row r="20" spans="1:22" x14ac:dyDescent="0.3">
      <c r="A20" s="16"/>
      <c r="B20" s="36"/>
      <c r="C20" s="36"/>
      <c r="D20" s="36"/>
      <c r="E20" s="36"/>
      <c r="F20" s="36"/>
      <c r="G20" s="36"/>
      <c r="H20" s="36"/>
      <c r="I20" s="37"/>
      <c r="K20" s="261">
        <f>C15</f>
        <v>25000</v>
      </c>
      <c r="L20" s="512">
        <f t="shared" ref="L20:L28" si="1">K20/$L$8</f>
        <v>0.125</v>
      </c>
      <c r="M20" s="508">
        <f t="shared" ref="M20:M28" si="2">COUNTIF($C$15:$C$19,L20*$L$8)+COUNTIF($E$15:$E$19,L20*$L$8)</f>
        <v>1</v>
      </c>
      <c r="N20" s="508">
        <f t="shared" ref="N20:N28" si="3">COUNTIF($C$15:$C$19,"&gt;"&amp;L20*$L$8)+COUNTIF($E$15:$E$19,"&gt;"&amp;L20*$L$8)</f>
        <v>9</v>
      </c>
      <c r="O20" s="509">
        <f t="shared" ref="O20:O28" si="4">N20/$D$19</f>
        <v>0.9</v>
      </c>
      <c r="P20" s="201">
        <f t="shared" si="0"/>
        <v>0.875</v>
      </c>
      <c r="Q20" s="185"/>
      <c r="R20" s="185"/>
      <c r="S20" s="185"/>
      <c r="T20" s="185"/>
      <c r="U20" s="185"/>
      <c r="V20" s="185"/>
    </row>
    <row r="21" spans="1:22" x14ac:dyDescent="0.3">
      <c r="A21" s="63" t="s">
        <v>10</v>
      </c>
      <c r="B21" s="36" t="s">
        <v>921</v>
      </c>
      <c r="C21" s="36"/>
      <c r="D21" s="36"/>
      <c r="E21" s="36"/>
      <c r="F21" s="36"/>
      <c r="G21" s="36"/>
      <c r="H21" s="36"/>
      <c r="I21" s="37"/>
      <c r="K21" s="261">
        <f t="shared" ref="K21:K22" si="5">C16</f>
        <v>50000</v>
      </c>
      <c r="L21" s="512">
        <f t="shared" si="1"/>
        <v>0.25</v>
      </c>
      <c r="M21" s="508">
        <f t="shared" si="2"/>
        <v>1</v>
      </c>
      <c r="N21" s="508">
        <f t="shared" si="3"/>
        <v>8</v>
      </c>
      <c r="O21" s="509">
        <f t="shared" si="4"/>
        <v>0.8</v>
      </c>
      <c r="P21" s="201">
        <f t="shared" si="0"/>
        <v>0.76249999999999996</v>
      </c>
      <c r="Q21" s="185"/>
      <c r="R21" s="185"/>
      <c r="S21" s="185"/>
      <c r="T21" s="185"/>
      <c r="U21" s="185"/>
      <c r="V21" s="185"/>
    </row>
    <row r="22" spans="1:22" x14ac:dyDescent="0.3">
      <c r="A22" s="16"/>
      <c r="B22" s="36"/>
      <c r="C22" s="36"/>
      <c r="D22" s="36"/>
      <c r="E22" s="36"/>
      <c r="F22" s="36"/>
      <c r="G22" s="36"/>
      <c r="H22" s="36"/>
      <c r="I22" s="37"/>
      <c r="K22" s="261">
        <f t="shared" si="5"/>
        <v>100000</v>
      </c>
      <c r="L22" s="512">
        <f t="shared" si="1"/>
        <v>0.5</v>
      </c>
      <c r="M22" s="508">
        <f t="shared" si="2"/>
        <v>2</v>
      </c>
      <c r="N22" s="508">
        <f t="shared" si="3"/>
        <v>6</v>
      </c>
      <c r="O22" s="509">
        <f t="shared" si="4"/>
        <v>0.6</v>
      </c>
      <c r="P22" s="201">
        <f t="shared" si="0"/>
        <v>0.5625</v>
      </c>
      <c r="Q22" s="185"/>
      <c r="R22" s="185"/>
      <c r="S22" s="185"/>
      <c r="T22" s="185"/>
      <c r="U22" s="185"/>
      <c r="V22" s="185"/>
    </row>
    <row r="23" spans="1:22" x14ac:dyDescent="0.3">
      <c r="A23" s="16"/>
      <c r="B23" s="36" t="s">
        <v>913</v>
      </c>
      <c r="C23" s="36"/>
      <c r="D23" s="36"/>
      <c r="E23" s="36"/>
      <c r="F23" s="36"/>
      <c r="G23" s="36"/>
      <c r="H23" s="36"/>
      <c r="I23" s="37"/>
      <c r="K23" s="261">
        <f>C19</f>
        <v>150000</v>
      </c>
      <c r="L23" s="512">
        <f t="shared" si="1"/>
        <v>0.75</v>
      </c>
      <c r="M23" s="508">
        <f t="shared" si="2"/>
        <v>1</v>
      </c>
      <c r="N23" s="508">
        <f t="shared" si="3"/>
        <v>5</v>
      </c>
      <c r="O23" s="509">
        <f t="shared" si="4"/>
        <v>0.5</v>
      </c>
      <c r="P23" s="201">
        <f t="shared" si="0"/>
        <v>0.41250000000000003</v>
      </c>
      <c r="Q23" s="185"/>
      <c r="R23" s="185"/>
      <c r="S23" s="185"/>
      <c r="T23" s="185"/>
      <c r="U23" s="185"/>
      <c r="V23" s="185"/>
    </row>
    <row r="24" spans="1:22" x14ac:dyDescent="0.3">
      <c r="A24" s="16"/>
      <c r="B24" s="36" t="s">
        <v>914</v>
      </c>
      <c r="C24" s="36"/>
      <c r="D24" s="36"/>
      <c r="E24" s="36"/>
      <c r="F24" s="36"/>
      <c r="G24" s="36"/>
      <c r="H24" s="36"/>
      <c r="I24" s="37"/>
      <c r="K24" s="261">
        <f>E15</f>
        <v>175000</v>
      </c>
      <c r="L24" s="512">
        <f t="shared" si="1"/>
        <v>0.875</v>
      </c>
      <c r="M24" s="508">
        <f t="shared" si="2"/>
        <v>1</v>
      </c>
      <c r="N24" s="508">
        <f t="shared" si="3"/>
        <v>4</v>
      </c>
      <c r="O24" s="509">
        <f t="shared" si="4"/>
        <v>0.4</v>
      </c>
      <c r="P24" s="201">
        <f t="shared" si="0"/>
        <v>0.35000000000000003</v>
      </c>
      <c r="Q24" s="185"/>
      <c r="R24" s="185"/>
      <c r="S24" s="185"/>
      <c r="T24" s="185"/>
      <c r="U24" s="185"/>
      <c r="V24" s="185"/>
    </row>
    <row r="25" spans="1:22" x14ac:dyDescent="0.3">
      <c r="A25" s="16"/>
      <c r="B25" s="180" t="s">
        <v>77</v>
      </c>
      <c r="C25" s="175" t="s">
        <v>917</v>
      </c>
      <c r="D25" s="36"/>
      <c r="E25" s="36"/>
      <c r="F25" s="36"/>
      <c r="G25" s="36"/>
      <c r="H25" s="36"/>
      <c r="I25" s="37"/>
      <c r="K25" s="261">
        <f t="shared" ref="K25:K28" si="6">E16</f>
        <v>200000</v>
      </c>
      <c r="L25" s="512">
        <f t="shared" si="1"/>
        <v>1</v>
      </c>
      <c r="M25" s="508">
        <f t="shared" si="2"/>
        <v>1</v>
      </c>
      <c r="N25" s="508">
        <f t="shared" si="3"/>
        <v>3</v>
      </c>
      <c r="O25" s="509">
        <f t="shared" si="4"/>
        <v>0.3</v>
      </c>
      <c r="P25" s="201">
        <f t="shared" si="0"/>
        <v>0.30000000000000004</v>
      </c>
      <c r="Q25" s="185"/>
      <c r="R25" s="185"/>
      <c r="S25" s="185"/>
      <c r="T25" s="185"/>
      <c r="U25" s="185"/>
      <c r="V25" s="185"/>
    </row>
    <row r="26" spans="1:22" x14ac:dyDescent="0.3">
      <c r="A26" s="16"/>
      <c r="B26" s="181"/>
      <c r="C26" s="178" t="s">
        <v>80</v>
      </c>
      <c r="D26" s="36"/>
      <c r="E26" s="36"/>
      <c r="F26" s="36"/>
      <c r="G26" s="36"/>
      <c r="H26" s="36"/>
      <c r="I26" s="37"/>
      <c r="K26" s="261">
        <f t="shared" si="6"/>
        <v>300000</v>
      </c>
      <c r="L26" s="512">
        <f t="shared" si="1"/>
        <v>1.5</v>
      </c>
      <c r="M26" s="508">
        <f t="shared" si="2"/>
        <v>1</v>
      </c>
      <c r="N26" s="508">
        <f t="shared" si="3"/>
        <v>2</v>
      </c>
      <c r="O26" s="509">
        <f t="shared" si="4"/>
        <v>0.2</v>
      </c>
      <c r="P26" s="201">
        <f t="shared" si="0"/>
        <v>0.15000000000000002</v>
      </c>
      <c r="Q26" s="185"/>
      <c r="R26" s="185"/>
      <c r="S26" s="185"/>
      <c r="T26" s="185"/>
      <c r="U26" s="185"/>
      <c r="V26" s="185"/>
    </row>
    <row r="27" spans="1:22" x14ac:dyDescent="0.3">
      <c r="A27" s="16"/>
      <c r="B27" s="68">
        <v>1</v>
      </c>
      <c r="C27" s="284">
        <v>275000</v>
      </c>
      <c r="D27" s="36"/>
      <c r="E27" s="36"/>
      <c r="F27" s="36"/>
      <c r="G27" s="36"/>
      <c r="H27" s="36"/>
      <c r="I27" s="37"/>
      <c r="K27" s="261">
        <f t="shared" si="6"/>
        <v>350000</v>
      </c>
      <c r="L27" s="512">
        <f t="shared" si="1"/>
        <v>1.75</v>
      </c>
      <c r="M27" s="508">
        <f t="shared" si="2"/>
        <v>1</v>
      </c>
      <c r="N27" s="508">
        <f t="shared" si="3"/>
        <v>1</v>
      </c>
      <c r="O27" s="509">
        <f t="shared" si="4"/>
        <v>0.1</v>
      </c>
      <c r="P27" s="201">
        <f>P28+O27*(L28-L27)</f>
        <v>0.1</v>
      </c>
      <c r="Q27" s="185"/>
      <c r="R27" s="185"/>
      <c r="S27" s="185"/>
      <c r="T27" s="185"/>
      <c r="U27" s="185"/>
      <c r="V27" s="185"/>
    </row>
    <row r="28" spans="1:22" x14ac:dyDescent="0.3">
      <c r="A28" s="16"/>
      <c r="B28" s="69">
        <v>2</v>
      </c>
      <c r="C28" s="66">
        <v>300000</v>
      </c>
      <c r="D28" s="36"/>
      <c r="E28" s="36"/>
      <c r="F28" s="36"/>
      <c r="G28" s="36"/>
      <c r="H28" s="36"/>
      <c r="I28" s="37"/>
      <c r="K28" s="262">
        <f t="shared" si="6"/>
        <v>550000</v>
      </c>
      <c r="L28" s="513">
        <f t="shared" si="1"/>
        <v>2.75</v>
      </c>
      <c r="M28" s="510">
        <f t="shared" si="2"/>
        <v>1</v>
      </c>
      <c r="N28" s="510">
        <f t="shared" si="3"/>
        <v>0</v>
      </c>
      <c r="O28" s="511">
        <f t="shared" si="4"/>
        <v>0</v>
      </c>
      <c r="P28" s="202">
        <v>0</v>
      </c>
      <c r="Q28" s="185"/>
      <c r="R28" s="185"/>
      <c r="S28" s="185"/>
      <c r="T28" s="185"/>
      <c r="U28" s="185"/>
      <c r="V28" s="185"/>
    </row>
    <row r="29" spans="1:22" x14ac:dyDescent="0.3">
      <c r="A29" s="16"/>
      <c r="B29" s="69">
        <v>3</v>
      </c>
      <c r="C29" s="66">
        <v>500000</v>
      </c>
      <c r="D29" s="36"/>
      <c r="E29" s="36"/>
      <c r="F29" s="36"/>
      <c r="G29" s="36"/>
      <c r="H29" s="36"/>
      <c r="I29" s="37"/>
      <c r="K29" s="237" t="s">
        <v>934</v>
      </c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</row>
    <row r="30" spans="1:22" x14ac:dyDescent="0.3">
      <c r="A30" s="16"/>
      <c r="B30" s="69">
        <v>4</v>
      </c>
      <c r="C30" s="66">
        <v>700000</v>
      </c>
      <c r="D30" s="36"/>
      <c r="E30" s="36"/>
      <c r="F30" s="36"/>
      <c r="G30" s="36"/>
      <c r="H30" s="36"/>
      <c r="I30" s="37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</row>
    <row r="31" spans="1:22" x14ac:dyDescent="0.3">
      <c r="A31" s="16"/>
      <c r="B31" s="70">
        <v>5</v>
      </c>
      <c r="C31" s="67">
        <v>800000</v>
      </c>
      <c r="D31" s="36"/>
      <c r="E31" s="36"/>
      <c r="F31" s="36"/>
      <c r="G31" s="36"/>
      <c r="H31" s="36"/>
      <c r="I31" s="37"/>
      <c r="K31" s="333" t="s">
        <v>935</v>
      </c>
      <c r="L31" s="188">
        <f>P26</f>
        <v>0.15000000000000002</v>
      </c>
      <c r="M31" s="185"/>
      <c r="N31" s="185"/>
      <c r="O31" s="185"/>
      <c r="P31" s="185"/>
      <c r="Q31" s="185"/>
      <c r="R31" s="185"/>
      <c r="S31" s="185"/>
      <c r="T31" s="185"/>
      <c r="U31" s="185"/>
      <c r="V31" s="185"/>
    </row>
    <row r="32" spans="1:22" x14ac:dyDescent="0.3">
      <c r="A32" s="16"/>
      <c r="B32" s="36"/>
      <c r="C32" s="36"/>
      <c r="D32" s="36"/>
      <c r="E32" s="36"/>
      <c r="F32" s="36"/>
      <c r="G32" s="36"/>
      <c r="H32" s="36"/>
      <c r="I32" s="37"/>
      <c r="K32" s="333" t="s">
        <v>936</v>
      </c>
      <c r="L32" s="396">
        <f>P21+N10-1</f>
        <v>1.2499999999999956E-2</v>
      </c>
      <c r="M32" s="185"/>
      <c r="N32" s="185"/>
      <c r="O32" s="185"/>
      <c r="P32" s="185"/>
      <c r="Q32" s="185"/>
      <c r="R32" s="185"/>
      <c r="S32" s="185"/>
      <c r="T32" s="185"/>
      <c r="U32" s="185"/>
      <c r="V32" s="185"/>
    </row>
    <row r="33" spans="1:22" x14ac:dyDescent="0.3">
      <c r="A33" s="16"/>
      <c r="B33" s="36" t="s">
        <v>915</v>
      </c>
      <c r="C33" s="36"/>
      <c r="D33" s="36"/>
      <c r="E33" s="36"/>
      <c r="F33" s="36"/>
      <c r="G33" s="36"/>
      <c r="H33" s="36"/>
      <c r="I33" s="37"/>
      <c r="K33" s="185" t="s">
        <v>937</v>
      </c>
      <c r="L33" s="296">
        <f>L8*(L31-L32)</f>
        <v>27500.000000000015</v>
      </c>
      <c r="M33" s="185"/>
      <c r="N33" s="185"/>
      <c r="O33" s="185"/>
      <c r="P33" s="185"/>
      <c r="Q33" s="185"/>
      <c r="R33" s="185"/>
      <c r="S33" s="185"/>
      <c r="T33" s="185"/>
      <c r="U33" s="185"/>
      <c r="V33" s="185"/>
    </row>
    <row r="34" spans="1:22" x14ac:dyDescent="0.3">
      <c r="A34" s="16"/>
      <c r="B34" s="36" t="s">
        <v>916</v>
      </c>
      <c r="C34" s="36"/>
      <c r="D34" s="36"/>
      <c r="E34" s="36"/>
      <c r="F34" s="36"/>
      <c r="G34" s="36"/>
      <c r="H34" s="36"/>
      <c r="I34" s="37"/>
      <c r="K34" s="185" t="s">
        <v>938</v>
      </c>
      <c r="L34" s="296">
        <f>10000-(1.05-1)*L8+1.05*L33</f>
        <v>28875.000000000007</v>
      </c>
      <c r="M34" s="185"/>
      <c r="N34" s="185"/>
      <c r="O34" s="185"/>
      <c r="P34" s="185"/>
      <c r="Q34" s="185"/>
      <c r="R34" s="185"/>
      <c r="S34" s="185"/>
      <c r="T34" s="185"/>
      <c r="U34" s="185"/>
      <c r="V34" s="185"/>
    </row>
    <row r="35" spans="1:22" ht="15" thickBot="1" x14ac:dyDescent="0.35">
      <c r="A35" s="17"/>
      <c r="B35" s="41" t="s">
        <v>922</v>
      </c>
      <c r="C35" s="41"/>
      <c r="D35" s="41"/>
      <c r="E35" s="41"/>
      <c r="F35" s="41"/>
      <c r="G35" s="41"/>
      <c r="H35" s="41"/>
      <c r="I35" s="42"/>
      <c r="K35" s="185"/>
      <c r="L35" s="185"/>
      <c r="M35" s="185"/>
      <c r="N35" s="185"/>
      <c r="O35" s="185"/>
      <c r="P35" s="185"/>
      <c r="Q35" s="185"/>
      <c r="R35" s="185"/>
      <c r="S35" s="185"/>
      <c r="T35" s="185"/>
      <c r="U35" s="185"/>
      <c r="V35" s="185"/>
    </row>
    <row r="36" spans="1:22" x14ac:dyDescent="0.3">
      <c r="K36" s="185" t="s">
        <v>939</v>
      </c>
      <c r="L36" s="185"/>
      <c r="M36" s="185"/>
      <c r="N36" s="334">
        <f>L34+1.05*300000</f>
        <v>343875</v>
      </c>
      <c r="P36" s="185"/>
      <c r="Q36" s="185"/>
      <c r="R36" s="185"/>
      <c r="S36" s="185"/>
      <c r="T36" s="185"/>
      <c r="U36" s="185"/>
      <c r="V36" s="185"/>
    </row>
    <row r="37" spans="1:22" x14ac:dyDescent="0.3"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</row>
    <row r="38" spans="1:22" x14ac:dyDescent="0.3">
      <c r="J38" t="s">
        <v>38</v>
      </c>
      <c r="K38" s="185" t="s">
        <v>940</v>
      </c>
      <c r="L38" s="185"/>
      <c r="M38" s="185"/>
      <c r="N38" s="185"/>
      <c r="O38" s="397">
        <f>AVERAGE(C27:C31)</f>
        <v>515000</v>
      </c>
      <c r="Q38" s="185"/>
      <c r="R38" s="185"/>
      <c r="S38" s="185"/>
      <c r="T38" s="185"/>
      <c r="U38" s="185"/>
      <c r="V38" s="185"/>
    </row>
    <row r="39" spans="1:22" x14ac:dyDescent="0.3">
      <c r="K39" s="185" t="s">
        <v>941</v>
      </c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</row>
    <row r="40" spans="1:22" x14ac:dyDescent="0.3">
      <c r="K40" s="185" t="s">
        <v>942</v>
      </c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</row>
    <row r="41" spans="1:22" x14ac:dyDescent="0.3">
      <c r="K41" s="185" t="s">
        <v>943</v>
      </c>
      <c r="L41" s="185"/>
      <c r="M41" s="185"/>
      <c r="N41" s="185"/>
      <c r="O41" s="185"/>
      <c r="P41" s="185"/>
      <c r="Q41" s="185"/>
      <c r="R41" s="185"/>
      <c r="S41" s="185"/>
      <c r="T41" s="185"/>
      <c r="U41" s="185"/>
      <c r="V41" s="185"/>
    </row>
    <row r="42" spans="1:22" x14ac:dyDescent="0.3">
      <c r="K42" s="185" t="s">
        <v>944</v>
      </c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</row>
  </sheetData>
  <mergeCells count="1">
    <mergeCell ref="H1:I1"/>
  </mergeCells>
  <hyperlinks>
    <hyperlink ref="H1" location="TOC!A1" display="Return to TOC" xr:uid="{276AE55A-C3E0-438D-A9B0-737842574FD2}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19941-8929-4D03-8D70-7C7F9B4E0300}">
  <dimension ref="A1:P25"/>
  <sheetViews>
    <sheetView workbookViewId="0"/>
  </sheetViews>
  <sheetFormatPr defaultRowHeight="14.4" x14ac:dyDescent="0.3"/>
  <cols>
    <col min="1" max="1" width="13.33203125" bestFit="1" customWidth="1"/>
    <col min="8" max="8" width="3.5546875" customWidth="1"/>
    <col min="9" max="9" width="3.77734375" customWidth="1"/>
  </cols>
  <sheetData>
    <row r="1" spans="1:16" x14ac:dyDescent="0.3">
      <c r="A1" s="6" t="s">
        <v>4</v>
      </c>
      <c r="B1" s="7" t="s">
        <v>831</v>
      </c>
      <c r="C1" s="7"/>
      <c r="D1" s="8"/>
      <c r="E1" s="8"/>
      <c r="F1" s="8"/>
      <c r="G1" s="490" t="s">
        <v>5</v>
      </c>
      <c r="H1" s="491"/>
      <c r="I1" s="185"/>
      <c r="J1" s="10" t="s">
        <v>6</v>
      </c>
    </row>
    <row r="2" spans="1:16" x14ac:dyDescent="0.3">
      <c r="A2" s="11" t="s">
        <v>7</v>
      </c>
      <c r="B2" s="33" t="s">
        <v>1401</v>
      </c>
      <c r="C2" s="33"/>
      <c r="D2" s="33"/>
      <c r="E2" s="33"/>
      <c r="F2" s="33"/>
      <c r="G2" s="33"/>
      <c r="H2" s="12"/>
      <c r="I2" s="185" t="s">
        <v>28</v>
      </c>
      <c r="J2" s="469">
        <f>SUMPRODUCT(B14:B24,C14:C24)/SUM(C14:C24)</f>
        <v>0.8</v>
      </c>
      <c r="K2" t="s">
        <v>1012</v>
      </c>
    </row>
    <row r="3" spans="1:16" x14ac:dyDescent="0.3">
      <c r="A3" s="11" t="s">
        <v>8</v>
      </c>
      <c r="B3" s="33" t="s">
        <v>800</v>
      </c>
      <c r="C3" s="33"/>
      <c r="D3" s="33"/>
      <c r="E3" s="33"/>
      <c r="F3" s="33"/>
      <c r="G3" s="33"/>
      <c r="H3" s="12"/>
      <c r="I3" s="185"/>
      <c r="J3" s="185"/>
    </row>
    <row r="4" spans="1:16" x14ac:dyDescent="0.3">
      <c r="A4" s="13"/>
      <c r="B4" s="34"/>
      <c r="C4" s="34"/>
      <c r="D4" s="34"/>
      <c r="E4" s="34"/>
      <c r="F4" s="34"/>
      <c r="G4" s="34"/>
      <c r="H4" s="14"/>
      <c r="I4" s="185"/>
      <c r="J4" s="185" t="s">
        <v>1419</v>
      </c>
    </row>
    <row r="5" spans="1:16" x14ac:dyDescent="0.3">
      <c r="A5" s="15" t="s">
        <v>9</v>
      </c>
      <c r="B5" s="33" t="s">
        <v>1414</v>
      </c>
      <c r="C5" s="33"/>
      <c r="D5" s="33"/>
      <c r="E5" s="33"/>
      <c r="F5" s="33"/>
      <c r="G5" s="33"/>
      <c r="H5" s="12"/>
      <c r="I5" s="185"/>
      <c r="J5" s="185"/>
    </row>
    <row r="6" spans="1:16" x14ac:dyDescent="0.3">
      <c r="A6" s="16"/>
      <c r="B6" s="33" t="s">
        <v>1415</v>
      </c>
      <c r="C6" s="36"/>
      <c r="D6" s="36"/>
      <c r="E6" s="36"/>
      <c r="F6" s="36"/>
      <c r="G6" s="36"/>
      <c r="H6" s="37"/>
      <c r="J6" s="474" t="s">
        <v>80</v>
      </c>
      <c r="K6" s="75" t="s">
        <v>1053</v>
      </c>
      <c r="L6" s="75"/>
      <c r="M6" s="75"/>
      <c r="N6" s="75"/>
      <c r="O6" s="474"/>
      <c r="P6" s="478"/>
    </row>
    <row r="7" spans="1:16" x14ac:dyDescent="0.3">
      <c r="A7" s="16"/>
      <c r="B7" s="33" t="s">
        <v>1416</v>
      </c>
      <c r="C7" s="36"/>
      <c r="D7" s="36"/>
      <c r="E7" s="36"/>
      <c r="F7" s="36"/>
      <c r="G7" s="36"/>
      <c r="H7" s="37"/>
      <c r="J7" s="475" t="s">
        <v>1052</v>
      </c>
      <c r="K7" s="87" t="s">
        <v>1052</v>
      </c>
      <c r="L7" s="87" t="s">
        <v>803</v>
      </c>
      <c r="M7" s="87" t="s">
        <v>804</v>
      </c>
      <c r="N7" s="87" t="s">
        <v>805</v>
      </c>
      <c r="O7" s="479" t="s">
        <v>862</v>
      </c>
      <c r="P7" s="480" t="s">
        <v>864</v>
      </c>
    </row>
    <row r="8" spans="1:16" x14ac:dyDescent="0.3">
      <c r="A8" s="16"/>
      <c r="B8" s="36"/>
      <c r="C8" s="36"/>
      <c r="D8" s="36"/>
      <c r="E8" s="36"/>
      <c r="F8" s="36"/>
      <c r="G8" s="36"/>
      <c r="H8" s="37"/>
      <c r="J8" s="476">
        <v>0</v>
      </c>
      <c r="K8" s="470">
        <f>J8/$J$2</f>
        <v>0</v>
      </c>
      <c r="L8" s="5">
        <f>SUMIFS($C$14:$C$24,$B$14:$B$24,J8)</f>
        <v>0</v>
      </c>
      <c r="M8" s="5">
        <f>SUM($C$14:$C$24)-SUM(L8:$L$8)</f>
        <v>58</v>
      </c>
      <c r="N8" s="471">
        <f>M8/SUM($C$14:$C$24)</f>
        <v>1</v>
      </c>
      <c r="O8" s="481">
        <f t="shared" ref="O8:O21" si="0">O9+(K9-K8)*N8</f>
        <v>0.99999999999999989</v>
      </c>
      <c r="P8" s="482">
        <f t="shared" ref="P8:P22" si="1">O8+K8-1</f>
        <v>0</v>
      </c>
    </row>
    <row r="9" spans="1:16" x14ac:dyDescent="0.3">
      <c r="A9" s="16"/>
      <c r="B9" s="33" t="s">
        <v>1417</v>
      </c>
      <c r="C9" s="36"/>
      <c r="D9" s="36"/>
      <c r="E9" s="36"/>
      <c r="F9" s="36"/>
      <c r="G9" s="36"/>
      <c r="H9" s="37"/>
      <c r="J9" s="476">
        <v>0.1</v>
      </c>
      <c r="K9" s="470">
        <f t="shared" ref="K9:K23" si="2">J9/$J$2</f>
        <v>0.125</v>
      </c>
      <c r="L9" s="5">
        <f t="shared" ref="L9:L23" si="3">SUMIFS($C$14:$C$24,$B$14:$B$24,J9)</f>
        <v>0</v>
      </c>
      <c r="M9" s="5">
        <f>SUM($C$14:$C$24)-SUM(L$8:$L9)</f>
        <v>58</v>
      </c>
      <c r="N9" s="471">
        <f t="shared" ref="N9:N23" si="4">M9/SUM($C$14:$C$24)</f>
        <v>1</v>
      </c>
      <c r="O9" s="481">
        <f t="shared" si="0"/>
        <v>0.87499999999999989</v>
      </c>
      <c r="P9" s="482">
        <f t="shared" si="1"/>
        <v>0</v>
      </c>
    </row>
    <row r="10" spans="1:16" x14ac:dyDescent="0.3">
      <c r="A10" s="16"/>
      <c r="B10" s="33" t="s">
        <v>1418</v>
      </c>
      <c r="C10" s="36"/>
      <c r="D10" s="36"/>
      <c r="E10" s="36"/>
      <c r="F10" s="36"/>
      <c r="G10" s="36"/>
      <c r="H10" s="37"/>
      <c r="J10" s="476">
        <v>0.2</v>
      </c>
      <c r="K10" s="470">
        <f t="shared" si="2"/>
        <v>0.25</v>
      </c>
      <c r="L10" s="5">
        <f t="shared" si="3"/>
        <v>1</v>
      </c>
      <c r="M10" s="5">
        <f>SUM($C$14:$C$24)-SUM(L$8:$L10)</f>
        <v>57</v>
      </c>
      <c r="N10" s="471">
        <f t="shared" si="4"/>
        <v>0.98275862068965514</v>
      </c>
      <c r="O10" s="481">
        <f t="shared" si="0"/>
        <v>0.74999999999999989</v>
      </c>
      <c r="P10" s="482">
        <f t="shared" si="1"/>
        <v>0</v>
      </c>
    </row>
    <row r="11" spans="1:16" x14ac:dyDescent="0.3">
      <c r="A11" s="16"/>
      <c r="B11" s="36"/>
      <c r="C11" s="36"/>
      <c r="D11" s="36"/>
      <c r="E11" s="36"/>
      <c r="F11" s="36"/>
      <c r="G11" s="36"/>
      <c r="H11" s="37"/>
      <c r="J11" s="476">
        <v>0.3</v>
      </c>
      <c r="K11" s="470">
        <f t="shared" si="2"/>
        <v>0.37499999999999994</v>
      </c>
      <c r="L11" s="5">
        <f t="shared" si="3"/>
        <v>0</v>
      </c>
      <c r="M11" s="5">
        <f>SUM($C$14:$C$24)-SUM(L$8:$L11)</f>
        <v>57</v>
      </c>
      <c r="N11" s="471">
        <f t="shared" si="4"/>
        <v>0.98275862068965514</v>
      </c>
      <c r="O11" s="481">
        <f t="shared" si="0"/>
        <v>0.62715517241379304</v>
      </c>
      <c r="P11" s="482">
        <f t="shared" si="1"/>
        <v>2.1551724137929273E-3</v>
      </c>
    </row>
    <row r="12" spans="1:16" x14ac:dyDescent="0.3">
      <c r="A12" s="16"/>
      <c r="B12" s="468" t="s">
        <v>446</v>
      </c>
      <c r="C12" s="45"/>
      <c r="D12" s="36"/>
      <c r="E12" s="36"/>
      <c r="F12" s="36"/>
      <c r="G12" s="36"/>
      <c r="H12" s="37"/>
      <c r="J12" s="476">
        <v>0.4</v>
      </c>
      <c r="K12" s="470">
        <f t="shared" si="2"/>
        <v>0.5</v>
      </c>
      <c r="L12" s="5">
        <f t="shared" si="3"/>
        <v>6</v>
      </c>
      <c r="M12" s="5">
        <f>SUM($C$14:$C$24)-SUM(L$8:$L12)</f>
        <v>51</v>
      </c>
      <c r="N12" s="471">
        <f t="shared" si="4"/>
        <v>0.87931034482758619</v>
      </c>
      <c r="O12" s="481">
        <f t="shared" si="0"/>
        <v>0.50431034482758608</v>
      </c>
      <c r="P12" s="482">
        <f t="shared" si="1"/>
        <v>4.3103448275860767E-3</v>
      </c>
    </row>
    <row r="13" spans="1:16" x14ac:dyDescent="0.3">
      <c r="A13" s="16"/>
      <c r="B13" s="152" t="s">
        <v>343</v>
      </c>
      <c r="C13" s="48" t="s">
        <v>803</v>
      </c>
      <c r="D13" s="36"/>
      <c r="E13" s="36"/>
      <c r="F13" s="36"/>
      <c r="G13" s="36"/>
      <c r="H13" s="37"/>
      <c r="J13" s="476">
        <v>0.5</v>
      </c>
      <c r="K13" s="470">
        <f t="shared" si="2"/>
        <v>0.625</v>
      </c>
      <c r="L13" s="5">
        <f t="shared" si="3"/>
        <v>7</v>
      </c>
      <c r="M13" s="5">
        <f>SUM($C$14:$C$24)-SUM(L$8:$L13)</f>
        <v>44</v>
      </c>
      <c r="N13" s="471">
        <f t="shared" si="4"/>
        <v>0.75862068965517238</v>
      </c>
      <c r="O13" s="481">
        <f t="shared" si="0"/>
        <v>0.39439655172413784</v>
      </c>
      <c r="P13" s="482">
        <f t="shared" si="1"/>
        <v>1.93965517241379E-2</v>
      </c>
    </row>
    <row r="14" spans="1:16" x14ac:dyDescent="0.3">
      <c r="A14" s="16"/>
      <c r="B14" s="235">
        <v>0.2</v>
      </c>
      <c r="C14" s="65">
        <v>1</v>
      </c>
      <c r="D14" s="36"/>
      <c r="E14" s="36"/>
      <c r="F14" s="36"/>
      <c r="G14" s="36"/>
      <c r="H14" s="37"/>
      <c r="J14" s="476">
        <v>0.6</v>
      </c>
      <c r="K14" s="470">
        <f t="shared" si="2"/>
        <v>0.74999999999999989</v>
      </c>
      <c r="L14" s="5">
        <f t="shared" si="3"/>
        <v>11</v>
      </c>
      <c r="M14" s="5">
        <f>SUM($C$14:$C$24)-SUM(L$8:$L14)</f>
        <v>33</v>
      </c>
      <c r="N14" s="471">
        <f t="shared" si="4"/>
        <v>0.56896551724137934</v>
      </c>
      <c r="O14" s="481">
        <f t="shared" si="0"/>
        <v>0.29956896551724138</v>
      </c>
      <c r="P14" s="482">
        <f t="shared" si="1"/>
        <v>4.9568965517241326E-2</v>
      </c>
    </row>
    <row r="15" spans="1:16" x14ac:dyDescent="0.3">
      <c r="A15" s="16"/>
      <c r="B15" s="235">
        <v>0.4</v>
      </c>
      <c r="C15" s="65">
        <v>6</v>
      </c>
      <c r="D15" s="36"/>
      <c r="E15" s="36"/>
      <c r="F15" s="36"/>
      <c r="G15" s="36"/>
      <c r="H15" s="37"/>
      <c r="J15" s="476">
        <v>0.7</v>
      </c>
      <c r="K15" s="470">
        <f t="shared" si="2"/>
        <v>0.87499999999999989</v>
      </c>
      <c r="L15" s="5">
        <f t="shared" si="3"/>
        <v>9</v>
      </c>
      <c r="M15" s="5">
        <f>SUM($C$14:$C$24)-SUM(L$8:$L15)</f>
        <v>24</v>
      </c>
      <c r="N15" s="471">
        <f t="shared" si="4"/>
        <v>0.41379310344827586</v>
      </c>
      <c r="O15" s="481">
        <f t="shared" si="0"/>
        <v>0.22844827586206898</v>
      </c>
      <c r="P15" s="482">
        <f t="shared" si="1"/>
        <v>0.10344827586206895</v>
      </c>
    </row>
    <row r="16" spans="1:16" x14ac:dyDescent="0.3">
      <c r="A16" s="16"/>
      <c r="B16" s="235">
        <v>0.5</v>
      </c>
      <c r="C16" s="65">
        <v>7</v>
      </c>
      <c r="D16" s="36"/>
      <c r="E16" s="36"/>
      <c r="F16" s="36"/>
      <c r="G16" s="36"/>
      <c r="H16" s="37"/>
      <c r="J16" s="476">
        <v>0.8</v>
      </c>
      <c r="K16" s="470">
        <f t="shared" si="2"/>
        <v>1</v>
      </c>
      <c r="L16" s="5">
        <f t="shared" si="3"/>
        <v>3</v>
      </c>
      <c r="M16" s="5">
        <f>SUM($C$14:$C$24)-SUM(L$8:$L16)</f>
        <v>21</v>
      </c>
      <c r="N16" s="471">
        <f t="shared" si="4"/>
        <v>0.36206896551724138</v>
      </c>
      <c r="O16" s="481">
        <f t="shared" si="0"/>
        <v>0.17672413793103445</v>
      </c>
      <c r="P16" s="482">
        <f t="shared" si="1"/>
        <v>0.17672413793103448</v>
      </c>
    </row>
    <row r="17" spans="1:16" x14ac:dyDescent="0.3">
      <c r="A17" s="16"/>
      <c r="B17" s="235">
        <v>0.6</v>
      </c>
      <c r="C17" s="65">
        <v>11</v>
      </c>
      <c r="D17" s="36"/>
      <c r="E17" s="36"/>
      <c r="F17" s="36"/>
      <c r="G17" s="36"/>
      <c r="H17" s="37"/>
      <c r="J17" s="476">
        <v>0.9</v>
      </c>
      <c r="K17" s="470">
        <f t="shared" si="2"/>
        <v>1.125</v>
      </c>
      <c r="L17" s="5">
        <f t="shared" si="3"/>
        <v>0</v>
      </c>
      <c r="M17" s="5">
        <f>SUM($C$14:$C$24)-SUM(L$8:$L17)</f>
        <v>21</v>
      </c>
      <c r="N17" s="471">
        <f t="shared" si="4"/>
        <v>0.36206896551724138</v>
      </c>
      <c r="O17" s="481">
        <f t="shared" si="0"/>
        <v>0.13146551724137928</v>
      </c>
      <c r="P17" s="482">
        <f t="shared" si="1"/>
        <v>0.25646551724137923</v>
      </c>
    </row>
    <row r="18" spans="1:16" x14ac:dyDescent="0.3">
      <c r="A18" s="16"/>
      <c r="B18" s="235">
        <v>0.7</v>
      </c>
      <c r="C18" s="65">
        <v>9</v>
      </c>
      <c r="D18" s="36"/>
      <c r="E18" s="36"/>
      <c r="F18" s="36"/>
      <c r="G18" s="36"/>
      <c r="H18" s="37"/>
      <c r="J18" s="476">
        <v>1</v>
      </c>
      <c r="K18" s="470">
        <f t="shared" si="2"/>
        <v>1.25</v>
      </c>
      <c r="L18" s="5">
        <f t="shared" si="3"/>
        <v>5</v>
      </c>
      <c r="M18" s="5">
        <f>SUM($C$14:$C$24)-SUM(L$8:$L18)</f>
        <v>16</v>
      </c>
      <c r="N18" s="471">
        <f t="shared" si="4"/>
        <v>0.27586206896551724</v>
      </c>
      <c r="O18" s="481">
        <f t="shared" si="0"/>
        <v>8.6206896551724116E-2</v>
      </c>
      <c r="P18" s="482">
        <f t="shared" si="1"/>
        <v>0.3362068965517242</v>
      </c>
    </row>
    <row r="19" spans="1:16" x14ac:dyDescent="0.3">
      <c r="A19" s="16"/>
      <c r="B19" s="235">
        <v>0.8</v>
      </c>
      <c r="C19" s="65">
        <v>3</v>
      </c>
      <c r="D19" s="36"/>
      <c r="E19" s="36"/>
      <c r="F19" s="36"/>
      <c r="G19" s="36"/>
      <c r="H19" s="37"/>
      <c r="J19" s="476">
        <v>1.1000000000000001</v>
      </c>
      <c r="K19" s="470">
        <f t="shared" si="2"/>
        <v>1.375</v>
      </c>
      <c r="L19" s="5">
        <f t="shared" si="3"/>
        <v>8</v>
      </c>
      <c r="M19" s="5">
        <f>SUM($C$14:$C$24)-SUM(L$8:$L19)</f>
        <v>8</v>
      </c>
      <c r="N19" s="471">
        <f t="shared" si="4"/>
        <v>0.13793103448275862</v>
      </c>
      <c r="O19" s="481">
        <f t="shared" si="0"/>
        <v>5.1724137931034461E-2</v>
      </c>
      <c r="P19" s="482">
        <f t="shared" si="1"/>
        <v>0.42672413793103448</v>
      </c>
    </row>
    <row r="20" spans="1:16" x14ac:dyDescent="0.3">
      <c r="A20" s="16"/>
      <c r="B20" s="235">
        <v>1</v>
      </c>
      <c r="C20" s="65">
        <v>5</v>
      </c>
      <c r="D20" s="36"/>
      <c r="E20" s="36"/>
      <c r="F20" s="36"/>
      <c r="G20" s="36"/>
      <c r="H20" s="37"/>
      <c r="J20" s="476">
        <v>1.2</v>
      </c>
      <c r="K20" s="470">
        <f t="shared" si="2"/>
        <v>1.4999999999999998</v>
      </c>
      <c r="L20" s="5">
        <f t="shared" si="3"/>
        <v>1</v>
      </c>
      <c r="M20" s="5">
        <f>SUM($C$14:$C$24)-SUM(L$8:$L20)</f>
        <v>7</v>
      </c>
      <c r="N20" s="471">
        <f t="shared" si="4"/>
        <v>0.1206896551724138</v>
      </c>
      <c r="O20" s="481">
        <f t="shared" si="0"/>
        <v>3.4482758620689669E-2</v>
      </c>
      <c r="P20" s="482">
        <f t="shared" si="1"/>
        <v>0.5344827586206895</v>
      </c>
    </row>
    <row r="21" spans="1:16" x14ac:dyDescent="0.3">
      <c r="A21" s="16"/>
      <c r="B21" s="235">
        <v>1.1000000000000001</v>
      </c>
      <c r="C21" s="65">
        <v>8</v>
      </c>
      <c r="D21" s="36"/>
      <c r="E21" s="36"/>
      <c r="F21" s="36"/>
      <c r="G21" s="36"/>
      <c r="H21" s="37"/>
      <c r="J21" s="476">
        <v>1.3</v>
      </c>
      <c r="K21" s="470">
        <f t="shared" si="2"/>
        <v>1.625</v>
      </c>
      <c r="L21" s="5">
        <f t="shared" si="3"/>
        <v>0</v>
      </c>
      <c r="M21" s="5">
        <f>SUM($C$14:$C$24)-SUM(L$8:$L21)</f>
        <v>7</v>
      </c>
      <c r="N21" s="471">
        <f t="shared" si="4"/>
        <v>0.1206896551724138</v>
      </c>
      <c r="O21" s="481">
        <f t="shared" si="0"/>
        <v>1.9396551724137914E-2</v>
      </c>
      <c r="P21" s="482">
        <f t="shared" si="1"/>
        <v>0.6443965517241379</v>
      </c>
    </row>
    <row r="22" spans="1:16" x14ac:dyDescent="0.3">
      <c r="A22" s="16"/>
      <c r="B22" s="235">
        <v>1.2</v>
      </c>
      <c r="C22" s="65">
        <v>1</v>
      </c>
      <c r="D22" s="36"/>
      <c r="E22" s="36"/>
      <c r="F22" s="36"/>
      <c r="G22" s="36"/>
      <c r="H22" s="37"/>
      <c r="J22" s="476">
        <v>1.4</v>
      </c>
      <c r="K22" s="470">
        <f t="shared" si="2"/>
        <v>1.7499999999999998</v>
      </c>
      <c r="L22" s="5">
        <f t="shared" si="3"/>
        <v>5</v>
      </c>
      <c r="M22" s="5">
        <f>SUM($C$14:$C$24)-SUM(L$8:$L22)</f>
        <v>2</v>
      </c>
      <c r="N22" s="471">
        <f t="shared" si="4"/>
        <v>3.4482758620689655E-2</v>
      </c>
      <c r="O22" s="481">
        <f>O23+(K23-K22)*N22</f>
        <v>4.3103448275862146E-3</v>
      </c>
      <c r="P22" s="482">
        <f t="shared" si="1"/>
        <v>0.75431034482758608</v>
      </c>
    </row>
    <row r="23" spans="1:16" x14ac:dyDescent="0.3">
      <c r="A23" s="16"/>
      <c r="B23" s="235">
        <v>1.4</v>
      </c>
      <c r="C23" s="65">
        <v>5</v>
      </c>
      <c r="D23" s="36"/>
      <c r="E23" s="36"/>
      <c r="F23" s="36"/>
      <c r="G23" s="36"/>
      <c r="H23" s="37"/>
      <c r="J23" s="477">
        <v>1.5</v>
      </c>
      <c r="K23" s="472">
        <f t="shared" si="2"/>
        <v>1.875</v>
      </c>
      <c r="L23" s="87">
        <f t="shared" si="3"/>
        <v>2</v>
      </c>
      <c r="M23" s="87">
        <f>SUM($C$14:$C$24)-SUM(L$8:$L23)</f>
        <v>0</v>
      </c>
      <c r="N23" s="473">
        <f t="shared" si="4"/>
        <v>0</v>
      </c>
      <c r="O23" s="483">
        <v>0</v>
      </c>
      <c r="P23" s="484">
        <f>O23+K23-1</f>
        <v>0.875</v>
      </c>
    </row>
    <row r="24" spans="1:16" x14ac:dyDescent="0.3">
      <c r="A24" s="16"/>
      <c r="B24" s="269">
        <v>1.5</v>
      </c>
      <c r="C24" s="48">
        <v>2</v>
      </c>
      <c r="D24" s="36"/>
      <c r="E24" s="36"/>
      <c r="F24" s="36"/>
      <c r="G24" s="36"/>
      <c r="H24" s="37"/>
    </row>
    <row r="25" spans="1:16" ht="15" thickBot="1" x14ac:dyDescent="0.35">
      <c r="A25" s="17"/>
      <c r="B25" s="467"/>
      <c r="C25" s="41"/>
      <c r="D25" s="41"/>
      <c r="E25" s="41"/>
      <c r="F25" s="41"/>
      <c r="G25" s="41"/>
      <c r="H25" s="42"/>
    </row>
  </sheetData>
  <mergeCells count="1">
    <mergeCell ref="G1:H1"/>
  </mergeCells>
  <hyperlinks>
    <hyperlink ref="G1" location="TOC!A1" display="Return to TOC" xr:uid="{21D51B4B-D178-43D6-828B-6F9501E2775F}"/>
  </hyperlink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10A0D-6B9C-4AFA-A44E-220BEB2C86F0}">
  <dimension ref="A1:P25"/>
  <sheetViews>
    <sheetView workbookViewId="0"/>
  </sheetViews>
  <sheetFormatPr defaultRowHeight="14.4" x14ac:dyDescent="0.3"/>
  <cols>
    <col min="1" max="1" width="13.33203125" bestFit="1" customWidth="1"/>
    <col min="5" max="5" width="9.33203125" bestFit="1" customWidth="1"/>
    <col min="8" max="8" width="4.44140625" customWidth="1"/>
    <col min="9" max="9" width="3.77734375" customWidth="1"/>
  </cols>
  <sheetData>
    <row r="1" spans="1:16" x14ac:dyDescent="0.3">
      <c r="A1" s="6" t="s">
        <v>4</v>
      </c>
      <c r="B1" s="7" t="s">
        <v>1420</v>
      </c>
      <c r="C1" s="7"/>
      <c r="D1" s="8"/>
      <c r="E1" s="8"/>
      <c r="F1" s="8"/>
      <c r="G1" s="490" t="s">
        <v>5</v>
      </c>
      <c r="H1" s="491"/>
      <c r="I1" s="185"/>
      <c r="J1" s="10" t="s">
        <v>6</v>
      </c>
    </row>
    <row r="2" spans="1:16" x14ac:dyDescent="0.3">
      <c r="A2" s="11" t="s">
        <v>7</v>
      </c>
      <c r="B2" s="33" t="s">
        <v>1401</v>
      </c>
      <c r="C2" s="33"/>
      <c r="D2" s="33"/>
      <c r="E2" s="33"/>
      <c r="F2" s="33"/>
      <c r="G2" s="33"/>
      <c r="H2" s="12"/>
      <c r="I2" s="185" t="s">
        <v>28</v>
      </c>
      <c r="J2" s="469">
        <f>SUMPRODUCT(B14:B24,C14:C24)/SUM(C14:C24)</f>
        <v>0.8</v>
      </c>
      <c r="K2" t="s">
        <v>1012</v>
      </c>
    </row>
    <row r="3" spans="1:16" x14ac:dyDescent="0.3">
      <c r="A3" s="11" t="s">
        <v>8</v>
      </c>
      <c r="B3" s="33" t="s">
        <v>1421</v>
      </c>
      <c r="C3" s="33"/>
      <c r="D3" s="33"/>
      <c r="E3" s="33"/>
      <c r="F3" s="33"/>
      <c r="G3" s="33"/>
      <c r="H3" s="12"/>
      <c r="I3" s="185"/>
      <c r="J3" s="185"/>
    </row>
    <row r="4" spans="1:16" x14ac:dyDescent="0.3">
      <c r="A4" s="13"/>
      <c r="B4" s="34"/>
      <c r="C4" s="34"/>
      <c r="D4" s="34"/>
      <c r="E4" s="34"/>
      <c r="F4" s="34"/>
      <c r="G4" s="34"/>
      <c r="H4" s="14"/>
      <c r="I4" s="185"/>
      <c r="J4" s="469">
        <f>SUMPRODUCT(E14:E24,F14:F24)/SUM(F14:F24)</f>
        <v>0.62586206896551722</v>
      </c>
      <c r="K4" t="s">
        <v>1013</v>
      </c>
    </row>
    <row r="5" spans="1:16" x14ac:dyDescent="0.3">
      <c r="A5" s="15" t="s">
        <v>9</v>
      </c>
      <c r="B5" s="33" t="s">
        <v>1422</v>
      </c>
      <c r="C5" s="33"/>
      <c r="D5" s="33"/>
      <c r="E5" s="33"/>
      <c r="F5" s="33"/>
      <c r="G5" s="33"/>
      <c r="H5" s="12"/>
      <c r="I5" s="185"/>
    </row>
    <row r="6" spans="1:16" x14ac:dyDescent="0.3">
      <c r="A6" s="16"/>
      <c r="B6" s="33" t="s">
        <v>1423</v>
      </c>
      <c r="C6" s="36"/>
      <c r="D6" s="36"/>
      <c r="E6" s="36"/>
      <c r="F6" s="36"/>
      <c r="G6" s="36"/>
      <c r="H6" s="37"/>
      <c r="J6" s="185" t="s">
        <v>1427</v>
      </c>
    </row>
    <row r="7" spans="1:16" x14ac:dyDescent="0.3">
      <c r="A7" s="16"/>
      <c r="B7" s="33" t="s">
        <v>1416</v>
      </c>
      <c r="C7" s="36"/>
      <c r="D7" s="36"/>
      <c r="E7" s="36"/>
      <c r="F7" s="36"/>
      <c r="G7" s="36"/>
      <c r="H7" s="37"/>
      <c r="J7" s="185"/>
    </row>
    <row r="8" spans="1:16" x14ac:dyDescent="0.3">
      <c r="A8" s="16"/>
      <c r="B8" s="36"/>
      <c r="C8" s="36"/>
      <c r="D8" s="36"/>
      <c r="E8" s="36"/>
      <c r="F8" s="36"/>
      <c r="G8" s="36"/>
      <c r="H8" s="37"/>
      <c r="J8" s="474" t="s">
        <v>80</v>
      </c>
      <c r="K8" s="75" t="s">
        <v>1053</v>
      </c>
      <c r="L8" s="75"/>
      <c r="M8" s="75"/>
      <c r="N8" s="75"/>
      <c r="O8" s="474"/>
      <c r="P8" s="478"/>
    </row>
    <row r="9" spans="1:16" ht="15.6" x14ac:dyDescent="0.35">
      <c r="A9" s="16"/>
      <c r="B9" s="33" t="s">
        <v>1417</v>
      </c>
      <c r="C9" s="36"/>
      <c r="D9" s="36"/>
      <c r="E9" s="36"/>
      <c r="F9" s="36"/>
      <c r="G9" s="36"/>
      <c r="H9" s="37"/>
      <c r="J9" s="475" t="s">
        <v>1052</v>
      </c>
      <c r="K9" s="87" t="s">
        <v>1052</v>
      </c>
      <c r="L9" s="87" t="s">
        <v>803</v>
      </c>
      <c r="M9" s="87" t="s">
        <v>804</v>
      </c>
      <c r="N9" s="87" t="s">
        <v>805</v>
      </c>
      <c r="O9" s="479" t="s">
        <v>1425</v>
      </c>
      <c r="P9" s="480" t="s">
        <v>1426</v>
      </c>
    </row>
    <row r="10" spans="1:16" x14ac:dyDescent="0.3">
      <c r="A10" s="16"/>
      <c r="B10" s="33" t="s">
        <v>1424</v>
      </c>
      <c r="C10" s="36"/>
      <c r="D10" s="36"/>
      <c r="E10" s="36"/>
      <c r="F10" s="36"/>
      <c r="G10" s="36"/>
      <c r="H10" s="37"/>
      <c r="J10" s="476">
        <v>0</v>
      </c>
      <c r="K10" s="470">
        <f>J10/$J$4</f>
        <v>0</v>
      </c>
      <c r="L10" s="5">
        <f>SUMIFS($F$14:$F$24,$E$14:$E$24,J10)</f>
        <v>0</v>
      </c>
      <c r="M10" s="5">
        <f>SUM($F$14:$F$24)-SUM(L10:$L$10)</f>
        <v>58</v>
      </c>
      <c r="N10" s="471">
        <f>M10/SUM($F$14:$F$24)</f>
        <v>1</v>
      </c>
      <c r="O10" s="481">
        <f t="shared" ref="O10:O23" si="0">O11+(K11-K10)*N10</f>
        <v>1</v>
      </c>
      <c r="P10" s="482">
        <f t="shared" ref="P10:P24" si="1">O10+K10-1</f>
        <v>0</v>
      </c>
    </row>
    <row r="11" spans="1:16" x14ac:dyDescent="0.3">
      <c r="A11" s="16"/>
      <c r="B11" s="36"/>
      <c r="C11" s="36"/>
      <c r="D11" s="36"/>
      <c r="E11" s="36"/>
      <c r="F11" s="36"/>
      <c r="G11" s="36"/>
      <c r="H11" s="37"/>
      <c r="J11" s="476">
        <v>0.1</v>
      </c>
      <c r="K11" s="470">
        <f t="shared" ref="K11:K25" si="2">J11/$J$4</f>
        <v>0.15977961432506887</v>
      </c>
      <c r="L11" s="5">
        <f t="shared" ref="L11:L25" si="3">SUMIFS($F$14:$F$24,$E$14:$E$24,J11)</f>
        <v>3</v>
      </c>
      <c r="M11" s="5">
        <f>SUM($F$14:$F$24)-SUM(L$10:$L11)</f>
        <v>55</v>
      </c>
      <c r="N11" s="471">
        <f t="shared" ref="N11:N25" si="4">M11/SUM($F$14:$F$24)</f>
        <v>0.94827586206896552</v>
      </c>
      <c r="O11" s="481">
        <f t="shared" si="0"/>
        <v>0.84022038567493118</v>
      </c>
      <c r="P11" s="482">
        <f t="shared" si="1"/>
        <v>0</v>
      </c>
    </row>
    <row r="12" spans="1:16" x14ac:dyDescent="0.3">
      <c r="A12" s="16"/>
      <c r="B12" s="468" t="s">
        <v>446</v>
      </c>
      <c r="C12" s="45"/>
      <c r="D12" s="36"/>
      <c r="E12" s="468" t="s">
        <v>1374</v>
      </c>
      <c r="F12" s="45"/>
      <c r="G12" s="36"/>
      <c r="H12" s="37"/>
      <c r="J12" s="476">
        <v>0.2</v>
      </c>
      <c r="K12" s="470">
        <f t="shared" si="2"/>
        <v>0.31955922865013775</v>
      </c>
      <c r="L12" s="5">
        <f t="shared" si="3"/>
        <v>9</v>
      </c>
      <c r="M12" s="5">
        <f>SUM($F$14:$F$24)-SUM(L$10:$L12)</f>
        <v>46</v>
      </c>
      <c r="N12" s="471">
        <f t="shared" si="4"/>
        <v>0.7931034482758621</v>
      </c>
      <c r="O12" s="481">
        <f t="shared" si="0"/>
        <v>0.68870523415977969</v>
      </c>
      <c r="P12" s="482">
        <f t="shared" si="1"/>
        <v>8.2644628099175499E-3</v>
      </c>
    </row>
    <row r="13" spans="1:16" x14ac:dyDescent="0.3">
      <c r="A13" s="16"/>
      <c r="B13" s="152" t="s">
        <v>343</v>
      </c>
      <c r="C13" s="48" t="s">
        <v>803</v>
      </c>
      <c r="D13" s="36"/>
      <c r="E13" s="152" t="s">
        <v>343</v>
      </c>
      <c r="F13" s="48" t="s">
        <v>803</v>
      </c>
      <c r="G13" s="36"/>
      <c r="H13" s="37"/>
      <c r="J13" s="476">
        <v>0.3</v>
      </c>
      <c r="K13" s="470">
        <f t="shared" si="2"/>
        <v>0.47933884297520662</v>
      </c>
      <c r="L13" s="5">
        <f t="shared" si="3"/>
        <v>9</v>
      </c>
      <c r="M13" s="5">
        <f>SUM($F$14:$F$24)-SUM(L$10:$L13)</f>
        <v>37</v>
      </c>
      <c r="N13" s="471">
        <f t="shared" si="4"/>
        <v>0.63793103448275867</v>
      </c>
      <c r="O13" s="481">
        <f t="shared" si="0"/>
        <v>0.56198347107438018</v>
      </c>
      <c r="P13" s="482">
        <f t="shared" si="1"/>
        <v>4.1322314049586861E-2</v>
      </c>
    </row>
    <row r="14" spans="1:16" x14ac:dyDescent="0.3">
      <c r="A14" s="16"/>
      <c r="B14" s="235">
        <v>0.2</v>
      </c>
      <c r="C14" s="65">
        <v>1</v>
      </c>
      <c r="D14" s="36"/>
      <c r="E14" s="235">
        <v>0.1</v>
      </c>
      <c r="F14" s="65">
        <v>3</v>
      </c>
      <c r="G14" s="36"/>
      <c r="H14" s="37"/>
      <c r="J14" s="476">
        <v>0.4</v>
      </c>
      <c r="K14" s="470">
        <f t="shared" si="2"/>
        <v>0.6391184573002755</v>
      </c>
      <c r="L14" s="5">
        <f t="shared" si="3"/>
        <v>4</v>
      </c>
      <c r="M14" s="5">
        <f>SUM($F$14:$F$24)-SUM(L$10:$L14)</f>
        <v>33</v>
      </c>
      <c r="N14" s="471">
        <f t="shared" si="4"/>
        <v>0.56896551724137934</v>
      </c>
      <c r="O14" s="481">
        <f t="shared" si="0"/>
        <v>0.46005509641873282</v>
      </c>
      <c r="P14" s="482">
        <f t="shared" si="1"/>
        <v>9.9173553719008378E-2</v>
      </c>
    </row>
    <row r="15" spans="1:16" x14ac:dyDescent="0.3">
      <c r="A15" s="16"/>
      <c r="B15" s="235">
        <v>0.4</v>
      </c>
      <c r="C15" s="65">
        <v>6</v>
      </c>
      <c r="D15" s="36"/>
      <c r="E15" s="235">
        <v>0.2</v>
      </c>
      <c r="F15" s="65">
        <v>9</v>
      </c>
      <c r="G15" s="36"/>
      <c r="H15" s="37"/>
      <c r="J15" s="476">
        <v>0.5</v>
      </c>
      <c r="K15" s="470">
        <f t="shared" si="2"/>
        <v>0.79889807162534443</v>
      </c>
      <c r="L15" s="5">
        <f t="shared" si="3"/>
        <v>0</v>
      </c>
      <c r="M15" s="5">
        <f>SUM($F$14:$F$24)-SUM(L$10:$L15)</f>
        <v>33</v>
      </c>
      <c r="N15" s="471">
        <f t="shared" si="4"/>
        <v>0.56896551724137934</v>
      </c>
      <c r="O15" s="481">
        <f t="shared" si="0"/>
        <v>0.36914600550964188</v>
      </c>
      <c r="P15" s="482">
        <f t="shared" si="1"/>
        <v>0.16804407713498626</v>
      </c>
    </row>
    <row r="16" spans="1:16" x14ac:dyDescent="0.3">
      <c r="A16" s="16"/>
      <c r="B16" s="235">
        <v>0.5</v>
      </c>
      <c r="C16" s="65">
        <v>7</v>
      </c>
      <c r="D16" s="36"/>
      <c r="E16" s="235">
        <v>0.3</v>
      </c>
      <c r="F16" s="65">
        <v>9</v>
      </c>
      <c r="G16" s="36"/>
      <c r="H16" s="37"/>
      <c r="J16" s="476">
        <v>0.6</v>
      </c>
      <c r="K16" s="470">
        <f t="shared" si="2"/>
        <v>0.95867768595041325</v>
      </c>
      <c r="L16" s="5">
        <f t="shared" si="3"/>
        <v>6</v>
      </c>
      <c r="M16" s="5">
        <f>SUM($F$14:$F$24)-SUM(L$10:$L16)</f>
        <v>27</v>
      </c>
      <c r="N16" s="471">
        <f t="shared" si="4"/>
        <v>0.46551724137931033</v>
      </c>
      <c r="O16" s="481">
        <f t="shared" si="0"/>
        <v>0.278236914600551</v>
      </c>
      <c r="P16" s="482">
        <f t="shared" si="1"/>
        <v>0.23691460055096414</v>
      </c>
    </row>
    <row r="17" spans="1:16" x14ac:dyDescent="0.3">
      <c r="A17" s="16"/>
      <c r="B17" s="235">
        <v>0.6</v>
      </c>
      <c r="C17" s="65">
        <v>11</v>
      </c>
      <c r="D17" s="36"/>
      <c r="E17" s="235">
        <v>0.4</v>
      </c>
      <c r="F17" s="65">
        <v>4</v>
      </c>
      <c r="G17" s="36"/>
      <c r="H17" s="37"/>
      <c r="J17" s="476">
        <v>0.7</v>
      </c>
      <c r="K17" s="470">
        <f t="shared" si="2"/>
        <v>1.1184573002754821</v>
      </c>
      <c r="L17" s="5">
        <f t="shared" si="3"/>
        <v>4</v>
      </c>
      <c r="M17" s="5">
        <f>SUM($F$14:$F$24)-SUM(L$10:$L17)</f>
        <v>23</v>
      </c>
      <c r="N17" s="471">
        <f t="shared" si="4"/>
        <v>0.39655172413793105</v>
      </c>
      <c r="O17" s="481">
        <f t="shared" si="0"/>
        <v>0.20385674931129483</v>
      </c>
      <c r="P17" s="482">
        <f t="shared" si="1"/>
        <v>0.3223140495867769</v>
      </c>
    </row>
    <row r="18" spans="1:16" x14ac:dyDescent="0.3">
      <c r="A18" s="16"/>
      <c r="B18" s="235">
        <v>0.7</v>
      </c>
      <c r="C18" s="65">
        <v>9</v>
      </c>
      <c r="D18" s="36"/>
      <c r="E18" s="235">
        <v>0.6</v>
      </c>
      <c r="F18" s="65">
        <v>6</v>
      </c>
      <c r="G18" s="36"/>
      <c r="H18" s="37"/>
      <c r="J18" s="476">
        <v>0.8</v>
      </c>
      <c r="K18" s="470">
        <f t="shared" si="2"/>
        <v>1.278236914600551</v>
      </c>
      <c r="L18" s="5">
        <f t="shared" si="3"/>
        <v>5</v>
      </c>
      <c r="M18" s="5">
        <f>SUM($F$14:$F$24)-SUM(L$10:$L18)</f>
        <v>18</v>
      </c>
      <c r="N18" s="471">
        <f t="shared" si="4"/>
        <v>0.31034482758620691</v>
      </c>
      <c r="O18" s="481">
        <f t="shared" si="0"/>
        <v>0.14049586776859507</v>
      </c>
      <c r="P18" s="482">
        <f t="shared" si="1"/>
        <v>0.41873278236914602</v>
      </c>
    </row>
    <row r="19" spans="1:16" x14ac:dyDescent="0.3">
      <c r="A19" s="16"/>
      <c r="B19" s="235">
        <v>0.8</v>
      </c>
      <c r="C19" s="65">
        <v>3</v>
      </c>
      <c r="D19" s="36"/>
      <c r="E19" s="235">
        <v>0.7</v>
      </c>
      <c r="F19" s="65">
        <v>4</v>
      </c>
      <c r="G19" s="36"/>
      <c r="H19" s="37"/>
      <c r="J19" s="476">
        <v>0.9</v>
      </c>
      <c r="K19" s="470">
        <f t="shared" si="2"/>
        <v>1.4380165289256199</v>
      </c>
      <c r="L19" s="5">
        <f t="shared" si="3"/>
        <v>3</v>
      </c>
      <c r="M19" s="5">
        <f>SUM($F$14:$F$24)-SUM(L$10:$L19)</f>
        <v>15</v>
      </c>
      <c r="N19" s="471">
        <f t="shared" si="4"/>
        <v>0.25862068965517243</v>
      </c>
      <c r="O19" s="481">
        <f t="shared" si="0"/>
        <v>9.0909090909090912E-2</v>
      </c>
      <c r="P19" s="482">
        <f t="shared" si="1"/>
        <v>0.52892561983471076</v>
      </c>
    </row>
    <row r="20" spans="1:16" x14ac:dyDescent="0.3">
      <c r="A20" s="16"/>
      <c r="B20" s="235">
        <v>1</v>
      </c>
      <c r="C20" s="65">
        <v>5</v>
      </c>
      <c r="D20" s="36"/>
      <c r="E20" s="235">
        <v>0.8</v>
      </c>
      <c r="F20" s="65">
        <v>5</v>
      </c>
      <c r="G20" s="36"/>
      <c r="H20" s="37"/>
      <c r="J20" s="476">
        <v>1</v>
      </c>
      <c r="K20" s="470">
        <f t="shared" si="2"/>
        <v>1.5977961432506889</v>
      </c>
      <c r="L20" s="5">
        <f t="shared" si="3"/>
        <v>7</v>
      </c>
      <c r="M20" s="5">
        <f>SUM($F$14:$F$24)-SUM(L$10:$L20)</f>
        <v>8</v>
      </c>
      <c r="N20" s="471">
        <f t="shared" si="4"/>
        <v>0.13793103448275862</v>
      </c>
      <c r="O20" s="481">
        <f t="shared" si="0"/>
        <v>4.9586776859504113E-2</v>
      </c>
      <c r="P20" s="482">
        <f t="shared" si="1"/>
        <v>0.64738292011019305</v>
      </c>
    </row>
    <row r="21" spans="1:16" x14ac:dyDescent="0.3">
      <c r="A21" s="16"/>
      <c r="B21" s="235">
        <v>1.1000000000000001</v>
      </c>
      <c r="C21" s="65">
        <v>8</v>
      </c>
      <c r="D21" s="36"/>
      <c r="E21" s="235">
        <v>0.9</v>
      </c>
      <c r="F21" s="65">
        <v>3</v>
      </c>
      <c r="G21" s="36"/>
      <c r="H21" s="37"/>
      <c r="J21" s="476">
        <v>1.1000000000000001</v>
      </c>
      <c r="K21" s="470">
        <f t="shared" si="2"/>
        <v>1.7575757575757578</v>
      </c>
      <c r="L21" s="5">
        <f t="shared" si="3"/>
        <v>0</v>
      </c>
      <c r="M21" s="5">
        <f>SUM($F$14:$F$24)-SUM(L$10:$L21)</f>
        <v>8</v>
      </c>
      <c r="N21" s="471">
        <f t="shared" si="4"/>
        <v>0.13793103448275862</v>
      </c>
      <c r="O21" s="481">
        <f t="shared" si="0"/>
        <v>2.7548209366391158E-2</v>
      </c>
      <c r="P21" s="482">
        <f t="shared" si="1"/>
        <v>0.78512396694214903</v>
      </c>
    </row>
    <row r="22" spans="1:16" x14ac:dyDescent="0.3">
      <c r="A22" s="16"/>
      <c r="B22" s="235">
        <v>1.2</v>
      </c>
      <c r="C22" s="65">
        <v>1</v>
      </c>
      <c r="D22" s="36"/>
      <c r="E22" s="235">
        <v>1</v>
      </c>
      <c r="F22" s="65">
        <v>7</v>
      </c>
      <c r="G22" s="36"/>
      <c r="H22" s="37"/>
      <c r="J22" s="476">
        <v>1.2</v>
      </c>
      <c r="K22" s="470">
        <f t="shared" si="2"/>
        <v>1.9173553719008265</v>
      </c>
      <c r="L22" s="5">
        <f t="shared" si="3"/>
        <v>7</v>
      </c>
      <c r="M22" s="5">
        <f>SUM($F$14:$F$24)-SUM(L$10:$L22)</f>
        <v>1</v>
      </c>
      <c r="N22" s="471">
        <f t="shared" si="4"/>
        <v>1.7241379310344827E-2</v>
      </c>
      <c r="O22" s="481">
        <f t="shared" si="0"/>
        <v>5.5096418732782353E-3</v>
      </c>
      <c r="P22" s="482">
        <f t="shared" si="1"/>
        <v>0.92286501377410479</v>
      </c>
    </row>
    <row r="23" spans="1:16" x14ac:dyDescent="0.3">
      <c r="A23" s="16"/>
      <c r="B23" s="235">
        <v>1.4</v>
      </c>
      <c r="C23" s="65">
        <v>5</v>
      </c>
      <c r="D23" s="36"/>
      <c r="E23" s="235">
        <v>1.2</v>
      </c>
      <c r="F23" s="65">
        <v>7</v>
      </c>
      <c r="G23" s="36"/>
      <c r="H23" s="37"/>
      <c r="J23" s="476">
        <v>1.3</v>
      </c>
      <c r="K23" s="470">
        <f t="shared" si="2"/>
        <v>2.0771349862258957</v>
      </c>
      <c r="L23" s="5">
        <f t="shared" si="3"/>
        <v>0</v>
      </c>
      <c r="M23" s="5">
        <f>SUM($F$14:$F$24)-SUM(L$10:$L23)</f>
        <v>1</v>
      </c>
      <c r="N23" s="471">
        <f t="shared" si="4"/>
        <v>1.7241379310344827E-2</v>
      </c>
      <c r="O23" s="481">
        <f t="shared" si="0"/>
        <v>2.7548209366391116E-3</v>
      </c>
      <c r="P23" s="482">
        <f t="shared" si="1"/>
        <v>1.0798898071625347</v>
      </c>
    </row>
    <row r="24" spans="1:16" x14ac:dyDescent="0.3">
      <c r="A24" s="16"/>
      <c r="B24" s="269">
        <v>1.5</v>
      </c>
      <c r="C24" s="48">
        <v>2</v>
      </c>
      <c r="D24" s="36"/>
      <c r="E24" s="269">
        <v>1.4</v>
      </c>
      <c r="F24" s="48">
        <v>1</v>
      </c>
      <c r="G24" s="36"/>
      <c r="H24" s="37"/>
      <c r="J24" s="476">
        <v>1.4</v>
      </c>
      <c r="K24" s="470">
        <f t="shared" si="2"/>
        <v>2.2369146005509641</v>
      </c>
      <c r="L24" s="5">
        <f t="shared" si="3"/>
        <v>1</v>
      </c>
      <c r="M24" s="5">
        <f>SUM($F$14:$F$24)-SUM(L$10:$L24)</f>
        <v>0</v>
      </c>
      <c r="N24" s="471">
        <f t="shared" si="4"/>
        <v>0</v>
      </c>
      <c r="O24" s="481">
        <f>O25+(K25-K24)*N24</f>
        <v>0</v>
      </c>
      <c r="P24" s="482">
        <f t="shared" si="1"/>
        <v>1.2369146005509641</v>
      </c>
    </row>
    <row r="25" spans="1:16" ht="15" thickBot="1" x14ac:dyDescent="0.35">
      <c r="A25" s="17"/>
      <c r="B25" s="467"/>
      <c r="C25" s="41"/>
      <c r="D25" s="41"/>
      <c r="E25" s="41"/>
      <c r="F25" s="41"/>
      <c r="G25" s="41"/>
      <c r="H25" s="42"/>
      <c r="J25" s="477">
        <v>1.5</v>
      </c>
      <c r="K25" s="472">
        <f t="shared" si="2"/>
        <v>2.3966942148760331</v>
      </c>
      <c r="L25" s="87">
        <f t="shared" si="3"/>
        <v>0</v>
      </c>
      <c r="M25" s="87">
        <f>SUM($F$14:$F$24)-SUM(L$10:$L25)</f>
        <v>0</v>
      </c>
      <c r="N25" s="473">
        <f t="shared" si="4"/>
        <v>0</v>
      </c>
      <c r="O25" s="483">
        <v>0</v>
      </c>
      <c r="P25" s="484">
        <f>O25+K25-1</f>
        <v>1.3966942148760331</v>
      </c>
    </row>
  </sheetData>
  <mergeCells count="1">
    <mergeCell ref="G1:H1"/>
  </mergeCells>
  <hyperlinks>
    <hyperlink ref="G1" location="TOC!A1" display="Return to TOC" xr:uid="{36B5BFDC-5B92-4E6A-92A9-F878D367D054}"/>
  </hyperlink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A021F5-AF60-428F-B753-3BEF746A965D}">
  <dimension ref="A1:XFA46"/>
  <sheetViews>
    <sheetView workbookViewId="0"/>
  </sheetViews>
  <sheetFormatPr defaultRowHeight="14.4" x14ac:dyDescent="0.3"/>
  <cols>
    <col min="1" max="1" width="14" bestFit="1" customWidth="1"/>
    <col min="3" max="3" width="20.44140625" bestFit="1" customWidth="1"/>
    <col min="4" max="5" width="10.109375" bestFit="1" customWidth="1"/>
    <col min="6" max="6" width="9.88671875" customWidth="1"/>
    <col min="7" max="7" width="3.6640625" customWidth="1"/>
    <col min="8" max="8" width="12.6640625" bestFit="1" customWidth="1"/>
    <col min="9" max="9" width="19.109375" bestFit="1" customWidth="1"/>
    <col min="10" max="10" width="22.5546875" bestFit="1" customWidth="1"/>
    <col min="11" max="11" width="10" bestFit="1" customWidth="1"/>
    <col min="12" max="12" width="9.44140625" bestFit="1" customWidth="1"/>
  </cols>
  <sheetData>
    <row r="1" spans="1:10" x14ac:dyDescent="0.3">
      <c r="A1" s="6" t="s">
        <v>4</v>
      </c>
      <c r="B1" s="7" t="s">
        <v>946</v>
      </c>
      <c r="C1" s="7"/>
      <c r="D1" s="8"/>
      <c r="E1" s="490" t="s">
        <v>5</v>
      </c>
      <c r="F1" s="491"/>
      <c r="G1" s="185"/>
      <c r="H1" s="10" t="s">
        <v>6</v>
      </c>
    </row>
    <row r="2" spans="1:10" x14ac:dyDescent="0.3">
      <c r="A2" s="11" t="s">
        <v>7</v>
      </c>
      <c r="B2" s="33" t="s">
        <v>947</v>
      </c>
      <c r="C2" s="33"/>
      <c r="D2" s="33"/>
      <c r="E2" s="33"/>
      <c r="F2" s="12"/>
      <c r="G2" s="185" t="s">
        <v>28</v>
      </c>
      <c r="H2" s="93"/>
      <c r="I2" s="96"/>
      <c r="J2" s="76" t="s">
        <v>960</v>
      </c>
    </row>
    <row r="3" spans="1:10" x14ac:dyDescent="0.3">
      <c r="A3" s="11" t="s">
        <v>8</v>
      </c>
      <c r="B3" s="33" t="s">
        <v>948</v>
      </c>
      <c r="C3" s="33"/>
      <c r="D3" s="33"/>
      <c r="E3" s="33"/>
      <c r="F3" s="12"/>
      <c r="G3" s="185"/>
      <c r="H3" s="195" t="s">
        <v>77</v>
      </c>
      <c r="I3" s="90" t="s">
        <v>958</v>
      </c>
      <c r="J3" s="88" t="s">
        <v>959</v>
      </c>
    </row>
    <row r="4" spans="1:10" x14ac:dyDescent="0.3">
      <c r="A4" s="13"/>
      <c r="B4" s="34"/>
      <c r="C4" s="34"/>
      <c r="D4" s="34"/>
      <c r="E4" s="34"/>
      <c r="F4" s="14"/>
      <c r="G4" s="185"/>
      <c r="H4" s="193">
        <v>1</v>
      </c>
      <c r="I4" s="91">
        <f>SUM(C10:E10)</f>
        <v>300000</v>
      </c>
      <c r="J4" s="84">
        <f>C10</f>
        <v>300000</v>
      </c>
    </row>
    <row r="5" spans="1:10" x14ac:dyDescent="0.3">
      <c r="A5" s="15" t="s">
        <v>9</v>
      </c>
      <c r="B5" s="36" t="s">
        <v>949</v>
      </c>
      <c r="C5" s="36"/>
      <c r="D5" s="36"/>
      <c r="E5" s="33"/>
      <c r="F5" s="12"/>
      <c r="G5" s="185"/>
      <c r="H5" s="193">
        <v>2</v>
      </c>
      <c r="I5" s="91">
        <f t="shared" ref="I5:I13" si="0">SUM(C11:E11)</f>
        <v>400000</v>
      </c>
      <c r="J5" s="84">
        <f>C11</f>
        <v>400000</v>
      </c>
    </row>
    <row r="6" spans="1:10" x14ac:dyDescent="0.3">
      <c r="A6" s="16"/>
      <c r="B6" s="36"/>
      <c r="C6" s="36"/>
      <c r="D6" s="36"/>
      <c r="E6" s="36"/>
      <c r="F6" s="37"/>
      <c r="H6" s="193">
        <v>3</v>
      </c>
      <c r="I6" s="91">
        <f t="shared" si="0"/>
        <v>500000</v>
      </c>
      <c r="J6" s="84">
        <f t="shared" ref="J6:J10" si="1">C12</f>
        <v>500000</v>
      </c>
    </row>
    <row r="7" spans="1:10" x14ac:dyDescent="0.3">
      <c r="A7" s="16"/>
      <c r="B7" s="49"/>
      <c r="C7" s="68"/>
      <c r="D7" s="44" t="s">
        <v>952</v>
      </c>
      <c r="E7" s="58"/>
      <c r="F7" s="37"/>
      <c r="H7" s="193">
        <v>4</v>
      </c>
      <c r="I7" s="91">
        <f t="shared" si="0"/>
        <v>600000</v>
      </c>
      <c r="J7" s="84">
        <f t="shared" si="1"/>
        <v>600000</v>
      </c>
    </row>
    <row r="8" spans="1:10" x14ac:dyDescent="0.3">
      <c r="A8" s="16"/>
      <c r="B8" s="52"/>
      <c r="C8" s="69" t="s">
        <v>950</v>
      </c>
      <c r="D8" s="38" t="s">
        <v>953</v>
      </c>
      <c r="E8" s="108"/>
      <c r="F8" s="37"/>
      <c r="H8" s="193">
        <v>5</v>
      </c>
      <c r="I8" s="91">
        <f t="shared" si="0"/>
        <v>700000</v>
      </c>
      <c r="J8" s="84">
        <f t="shared" si="1"/>
        <v>700000</v>
      </c>
    </row>
    <row r="9" spans="1:10" x14ac:dyDescent="0.3">
      <c r="A9" s="16"/>
      <c r="B9" s="54" t="s">
        <v>77</v>
      </c>
      <c r="C9" s="70" t="s">
        <v>951</v>
      </c>
      <c r="D9" s="168" t="s">
        <v>954</v>
      </c>
      <c r="E9" s="168" t="s">
        <v>955</v>
      </c>
      <c r="F9" s="37"/>
      <c r="H9" s="193">
        <v>6</v>
      </c>
      <c r="I9" s="91">
        <f t="shared" si="0"/>
        <v>800000</v>
      </c>
      <c r="J9" s="84">
        <f t="shared" si="1"/>
        <v>800000</v>
      </c>
    </row>
    <row r="10" spans="1:10" x14ac:dyDescent="0.3">
      <c r="A10" s="16"/>
      <c r="B10" s="52">
        <v>1</v>
      </c>
      <c r="C10" s="99">
        <v>300000</v>
      </c>
      <c r="D10" s="69"/>
      <c r="E10" s="65"/>
      <c r="F10" s="37"/>
      <c r="H10" s="193">
        <v>7</v>
      </c>
      <c r="I10" s="91">
        <f t="shared" si="0"/>
        <v>900000</v>
      </c>
      <c r="J10" s="84">
        <f t="shared" si="1"/>
        <v>900000</v>
      </c>
    </row>
    <row r="11" spans="1:10" x14ac:dyDescent="0.3">
      <c r="A11" s="16"/>
      <c r="B11" s="52">
        <v>2</v>
      </c>
      <c r="C11" s="99">
        <v>400000</v>
      </c>
      <c r="D11" s="69"/>
      <c r="E11" s="65"/>
      <c r="F11" s="37"/>
      <c r="H11" s="193">
        <v>8</v>
      </c>
      <c r="I11" s="91">
        <f t="shared" si="0"/>
        <v>1300000</v>
      </c>
      <c r="J11" s="84">
        <f>C17+MIN(D17,500000)</f>
        <v>1300000</v>
      </c>
    </row>
    <row r="12" spans="1:10" x14ac:dyDescent="0.3">
      <c r="A12" s="16"/>
      <c r="B12" s="52">
        <v>3</v>
      </c>
      <c r="C12" s="99">
        <v>500000</v>
      </c>
      <c r="D12" s="69"/>
      <c r="E12" s="65"/>
      <c r="F12" s="37"/>
      <c r="H12" s="193">
        <v>9</v>
      </c>
      <c r="I12" s="91">
        <f t="shared" si="0"/>
        <v>1700000</v>
      </c>
      <c r="J12" s="84">
        <f>C18+MIN(D18,500000)</f>
        <v>1600000</v>
      </c>
    </row>
    <row r="13" spans="1:10" x14ac:dyDescent="0.3">
      <c r="A13" s="16"/>
      <c r="B13" s="52">
        <v>4</v>
      </c>
      <c r="C13" s="99">
        <v>600000</v>
      </c>
      <c r="D13" s="69"/>
      <c r="E13" s="65"/>
      <c r="F13" s="37"/>
      <c r="H13" s="193">
        <v>10</v>
      </c>
      <c r="I13" s="91">
        <f t="shared" si="0"/>
        <v>2800000</v>
      </c>
      <c r="J13" s="84">
        <f t="shared" ref="J13" si="2">C19+MIN(D19,500000)+MIN(E19,500000)</f>
        <v>1900000</v>
      </c>
    </row>
    <row r="14" spans="1:10" x14ac:dyDescent="0.3">
      <c r="A14" s="16"/>
      <c r="B14" s="52">
        <v>5</v>
      </c>
      <c r="C14" s="99">
        <v>700000</v>
      </c>
      <c r="D14" s="69"/>
      <c r="E14" s="65"/>
      <c r="F14" s="37"/>
      <c r="H14" s="18" t="s">
        <v>151</v>
      </c>
      <c r="I14" s="340">
        <f>SUM(I4:I13)</f>
        <v>10000000</v>
      </c>
      <c r="J14" s="341">
        <f>SUM(J4:J13)</f>
        <v>9000000</v>
      </c>
    </row>
    <row r="15" spans="1:10" x14ac:dyDescent="0.3">
      <c r="A15" s="16"/>
      <c r="B15" s="52">
        <v>6</v>
      </c>
      <c r="C15" s="99">
        <v>800000</v>
      </c>
      <c r="D15" s="69"/>
      <c r="E15" s="65"/>
      <c r="F15" s="37"/>
    </row>
    <row r="16" spans="1:10" x14ac:dyDescent="0.3">
      <c r="A16" s="16"/>
      <c r="B16" s="52">
        <v>7</v>
      </c>
      <c r="C16" s="99">
        <v>900000</v>
      </c>
      <c r="D16" s="69"/>
      <c r="E16" s="65"/>
      <c r="F16" s="37"/>
      <c r="H16" s="399">
        <f>1-J14/I14</f>
        <v>9.9999999999999978E-2</v>
      </c>
      <c r="I16" t="s">
        <v>961</v>
      </c>
    </row>
    <row r="17" spans="1:9 16381:16381" x14ac:dyDescent="0.3">
      <c r="A17" s="16"/>
      <c r="B17" s="52">
        <v>8</v>
      </c>
      <c r="C17" s="99">
        <v>1000000</v>
      </c>
      <c r="D17" s="99">
        <v>300000</v>
      </c>
      <c r="E17" s="65"/>
      <c r="F17" s="37"/>
      <c r="H17" s="400">
        <f>I14/COUNT(H4:H13)</f>
        <v>1000000</v>
      </c>
      <c r="I17" t="s">
        <v>963</v>
      </c>
    </row>
    <row r="18" spans="1:9 16381:16381" x14ac:dyDescent="0.3">
      <c r="A18" s="16"/>
      <c r="B18" s="52">
        <v>9</v>
      </c>
      <c r="C18" s="99">
        <v>1100000</v>
      </c>
      <c r="D18" s="99">
        <v>600000</v>
      </c>
      <c r="E18" s="65"/>
      <c r="F18" s="37"/>
    </row>
    <row r="19" spans="1:9 16381:16381" x14ac:dyDescent="0.3">
      <c r="A19" s="16"/>
      <c r="B19" s="52">
        <v>10</v>
      </c>
      <c r="C19" s="99">
        <v>1200000</v>
      </c>
      <c r="D19" s="99">
        <v>200000</v>
      </c>
      <c r="E19" s="53">
        <v>1400000</v>
      </c>
      <c r="F19" s="37"/>
      <c r="H19" t="s">
        <v>962</v>
      </c>
    </row>
    <row r="20" spans="1:9 16381:16381" x14ac:dyDescent="0.3">
      <c r="A20" s="16"/>
      <c r="B20" s="230" t="s">
        <v>151</v>
      </c>
      <c r="C20" s="169">
        <f>SUM(C10:C19)</f>
        <v>7500000</v>
      </c>
      <c r="D20" s="169">
        <f>SUM(D10:D19)</f>
        <v>1100000</v>
      </c>
      <c r="E20" s="398">
        <f>SUM(E10:E19)</f>
        <v>1400000</v>
      </c>
      <c r="F20" s="37"/>
      <c r="H20" s="27" t="s">
        <v>77</v>
      </c>
      <c r="I20" s="20" t="s">
        <v>801</v>
      </c>
      <c r="XFA20" s="313"/>
    </row>
    <row r="21" spans="1:9 16381:16381" x14ac:dyDescent="0.3">
      <c r="A21" s="16"/>
      <c r="B21" s="36"/>
      <c r="C21" s="36"/>
      <c r="D21" s="36"/>
      <c r="E21" s="36"/>
      <c r="F21" s="37"/>
      <c r="H21" s="201">
        <v>1</v>
      </c>
      <c r="I21" s="351">
        <f>J4/$H$17</f>
        <v>0.3</v>
      </c>
    </row>
    <row r="22" spans="1:9 16381:16381" x14ac:dyDescent="0.3">
      <c r="A22" s="63" t="s">
        <v>10</v>
      </c>
      <c r="B22" s="36" t="s">
        <v>956</v>
      </c>
      <c r="C22" s="36"/>
      <c r="D22" s="36"/>
      <c r="E22" s="36"/>
      <c r="F22" s="37"/>
      <c r="H22" s="201">
        <v>2</v>
      </c>
      <c r="I22" s="351">
        <f t="shared" ref="I22:I30" si="3">J5/$H$17</f>
        <v>0.4</v>
      </c>
    </row>
    <row r="23" spans="1:9 16381:16381" ht="15" thickBot="1" x14ac:dyDescent="0.35">
      <c r="A23" s="17"/>
      <c r="B23" s="41" t="s">
        <v>957</v>
      </c>
      <c r="C23" s="41"/>
      <c r="D23" s="41"/>
      <c r="E23" s="41"/>
      <c r="F23" s="42"/>
      <c r="H23" s="201">
        <v>3</v>
      </c>
      <c r="I23" s="351">
        <f t="shared" si="3"/>
        <v>0.5</v>
      </c>
    </row>
    <row r="24" spans="1:9 16381:16381" x14ac:dyDescent="0.3">
      <c r="H24" s="201">
        <v>4</v>
      </c>
      <c r="I24" s="351">
        <f t="shared" si="3"/>
        <v>0.6</v>
      </c>
    </row>
    <row r="25" spans="1:9 16381:16381" x14ac:dyDescent="0.3">
      <c r="H25" s="201">
        <v>5</v>
      </c>
      <c r="I25" s="351">
        <f t="shared" si="3"/>
        <v>0.7</v>
      </c>
    </row>
    <row r="26" spans="1:9 16381:16381" x14ac:dyDescent="0.3">
      <c r="H26" s="201">
        <v>6</v>
      </c>
      <c r="I26" s="351">
        <f t="shared" si="3"/>
        <v>0.8</v>
      </c>
    </row>
    <row r="27" spans="1:9 16381:16381" x14ac:dyDescent="0.3">
      <c r="H27" s="201">
        <v>7</v>
      </c>
      <c r="I27" s="351">
        <f t="shared" si="3"/>
        <v>0.9</v>
      </c>
    </row>
    <row r="28" spans="1:9 16381:16381" x14ac:dyDescent="0.3">
      <c r="H28" s="201">
        <v>8</v>
      </c>
      <c r="I28" s="351">
        <f t="shared" si="3"/>
        <v>1.3</v>
      </c>
    </row>
    <row r="29" spans="1:9 16381:16381" x14ac:dyDescent="0.3">
      <c r="H29" s="201">
        <v>9</v>
      </c>
      <c r="I29" s="351">
        <f t="shared" si="3"/>
        <v>1.6</v>
      </c>
    </row>
    <row r="30" spans="1:9 16381:16381" x14ac:dyDescent="0.3">
      <c r="H30" s="202">
        <v>10</v>
      </c>
      <c r="I30" s="352">
        <f t="shared" si="3"/>
        <v>1.9</v>
      </c>
    </row>
    <row r="32" spans="1:9 16381:16381" x14ac:dyDescent="0.3">
      <c r="H32" t="s">
        <v>964</v>
      </c>
    </row>
    <row r="33" spans="8:13" ht="15.6" x14ac:dyDescent="0.35">
      <c r="H33" s="18" t="s">
        <v>801</v>
      </c>
      <c r="I33" s="18" t="s">
        <v>803</v>
      </c>
      <c r="J33" s="19" t="s">
        <v>891</v>
      </c>
      <c r="K33" s="20" t="s">
        <v>892</v>
      </c>
      <c r="L33" s="363" t="s">
        <v>965</v>
      </c>
      <c r="M33" s="362" t="s">
        <v>966</v>
      </c>
    </row>
    <row r="34" spans="8:13" x14ac:dyDescent="0.3">
      <c r="H34" s="401">
        <v>0</v>
      </c>
      <c r="I34" s="23">
        <f>COUNTIF($I$21:$I$30,H34)</f>
        <v>0</v>
      </c>
      <c r="J34" s="5">
        <f>COUNTIFS($I$21:$I$30,"&gt;"&amp;H34)</f>
        <v>10</v>
      </c>
      <c r="K34" s="155">
        <f>J34/COUNT($H$21:$H$30)</f>
        <v>1</v>
      </c>
      <c r="L34" s="79">
        <f t="shared" ref="L34:L44" si="4">L35+(H35-H34)*K34</f>
        <v>0.90000000000000013</v>
      </c>
      <c r="M34" s="351">
        <f>L34+$H$16</f>
        <v>1</v>
      </c>
    </row>
    <row r="35" spans="8:13" x14ac:dyDescent="0.3">
      <c r="H35" s="402">
        <f>I21</f>
        <v>0.3</v>
      </c>
      <c r="I35" s="23">
        <f t="shared" ref="I35:I46" si="5">COUNTIF($I$21:$I$30,H35)</f>
        <v>1</v>
      </c>
      <c r="J35" s="5">
        <f t="shared" ref="J35:J46" si="6">COUNTIFS($I$21:$I$30,"&gt;"&amp;H35)</f>
        <v>9</v>
      </c>
      <c r="K35" s="155">
        <f t="shared" ref="K35:K46" si="7">J35/COUNT($H$21:$H$30)</f>
        <v>0.9</v>
      </c>
      <c r="L35" s="79">
        <f t="shared" si="4"/>
        <v>0.60000000000000009</v>
      </c>
      <c r="M35" s="351">
        <f t="shared" ref="M35:M46" si="8">L35+$H$16</f>
        <v>0.70000000000000007</v>
      </c>
    </row>
    <row r="36" spans="8:13" x14ac:dyDescent="0.3">
      <c r="H36" s="402">
        <f t="shared" ref="H36:H41" si="9">I22</f>
        <v>0.4</v>
      </c>
      <c r="I36" s="23">
        <f t="shared" si="5"/>
        <v>1</v>
      </c>
      <c r="J36" s="5">
        <f t="shared" si="6"/>
        <v>8</v>
      </c>
      <c r="K36" s="155">
        <f t="shared" si="7"/>
        <v>0.8</v>
      </c>
      <c r="L36" s="79">
        <f t="shared" si="4"/>
        <v>0.51</v>
      </c>
      <c r="M36" s="351">
        <f t="shared" si="8"/>
        <v>0.61</v>
      </c>
    </row>
    <row r="37" spans="8:13" x14ac:dyDescent="0.3">
      <c r="H37" s="402">
        <f t="shared" si="9"/>
        <v>0.5</v>
      </c>
      <c r="I37" s="23">
        <f t="shared" si="5"/>
        <v>1</v>
      </c>
      <c r="J37" s="5">
        <f t="shared" si="6"/>
        <v>7</v>
      </c>
      <c r="K37" s="155">
        <f t="shared" si="7"/>
        <v>0.7</v>
      </c>
      <c r="L37" s="79">
        <f t="shared" si="4"/>
        <v>0.43000000000000005</v>
      </c>
      <c r="M37" s="351">
        <f t="shared" si="8"/>
        <v>0.53</v>
      </c>
    </row>
    <row r="38" spans="8:13" x14ac:dyDescent="0.3">
      <c r="H38" s="402">
        <f t="shared" si="9"/>
        <v>0.6</v>
      </c>
      <c r="I38" s="23">
        <f t="shared" si="5"/>
        <v>1</v>
      </c>
      <c r="J38" s="5">
        <f t="shared" si="6"/>
        <v>6</v>
      </c>
      <c r="K38" s="155">
        <f t="shared" si="7"/>
        <v>0.6</v>
      </c>
      <c r="L38" s="79">
        <f t="shared" si="4"/>
        <v>0.36000000000000004</v>
      </c>
      <c r="M38" s="351">
        <f t="shared" si="8"/>
        <v>0.46</v>
      </c>
    </row>
    <row r="39" spans="8:13" x14ac:dyDescent="0.3">
      <c r="H39" s="402">
        <f t="shared" si="9"/>
        <v>0.7</v>
      </c>
      <c r="I39" s="23">
        <f t="shared" si="5"/>
        <v>1</v>
      </c>
      <c r="J39" s="5">
        <f t="shared" si="6"/>
        <v>5</v>
      </c>
      <c r="K39" s="155">
        <f t="shared" si="7"/>
        <v>0.5</v>
      </c>
      <c r="L39" s="79">
        <f t="shared" si="4"/>
        <v>0.30000000000000004</v>
      </c>
      <c r="M39" s="351">
        <f t="shared" si="8"/>
        <v>0.4</v>
      </c>
    </row>
    <row r="40" spans="8:13" x14ac:dyDescent="0.3">
      <c r="H40" s="402">
        <f t="shared" si="9"/>
        <v>0.8</v>
      </c>
      <c r="I40" s="23">
        <f t="shared" si="5"/>
        <v>1</v>
      </c>
      <c r="J40" s="5">
        <f t="shared" si="6"/>
        <v>4</v>
      </c>
      <c r="K40" s="155">
        <f t="shared" si="7"/>
        <v>0.4</v>
      </c>
      <c r="L40" s="79">
        <f t="shared" si="4"/>
        <v>0.25</v>
      </c>
      <c r="M40" s="351">
        <f t="shared" si="8"/>
        <v>0.35</v>
      </c>
    </row>
    <row r="41" spans="8:13" x14ac:dyDescent="0.3">
      <c r="H41" s="402">
        <f t="shared" si="9"/>
        <v>0.9</v>
      </c>
      <c r="I41" s="23">
        <f t="shared" si="5"/>
        <v>1</v>
      </c>
      <c r="J41" s="5">
        <f t="shared" si="6"/>
        <v>3</v>
      </c>
      <c r="K41" s="155">
        <f t="shared" si="7"/>
        <v>0.3</v>
      </c>
      <c r="L41" s="79">
        <f t="shared" si="4"/>
        <v>0.21</v>
      </c>
      <c r="M41" s="351">
        <f t="shared" si="8"/>
        <v>0.30999999999999994</v>
      </c>
    </row>
    <row r="42" spans="8:13" x14ac:dyDescent="0.3">
      <c r="H42" s="403">
        <v>1.1000000000000001</v>
      </c>
      <c r="I42" s="23">
        <f t="shared" si="5"/>
        <v>0</v>
      </c>
      <c r="J42" s="5">
        <f t="shared" si="6"/>
        <v>3</v>
      </c>
      <c r="K42" s="155">
        <f t="shared" si="7"/>
        <v>0.3</v>
      </c>
      <c r="L42" s="79">
        <f t="shared" si="4"/>
        <v>0.14999999999999997</v>
      </c>
      <c r="M42" s="404">
        <f t="shared" si="8"/>
        <v>0.24999999999999994</v>
      </c>
    </row>
    <row r="43" spans="8:13" x14ac:dyDescent="0.3">
      <c r="H43" s="403">
        <f>I28</f>
        <v>1.3</v>
      </c>
      <c r="I43" s="23">
        <f t="shared" si="5"/>
        <v>1</v>
      </c>
      <c r="J43" s="5">
        <f t="shared" si="6"/>
        <v>2</v>
      </c>
      <c r="K43" s="155">
        <f t="shared" si="7"/>
        <v>0.2</v>
      </c>
      <c r="L43" s="79">
        <f t="shared" si="4"/>
        <v>0.09</v>
      </c>
      <c r="M43" s="404">
        <f t="shared" si="8"/>
        <v>0.18999999999999997</v>
      </c>
    </row>
    <row r="44" spans="8:13" x14ac:dyDescent="0.3">
      <c r="H44" s="403">
        <f t="shared" ref="H44:H45" si="10">I29</f>
        <v>1.6</v>
      </c>
      <c r="I44" s="23">
        <f t="shared" si="5"/>
        <v>1</v>
      </c>
      <c r="J44" s="5">
        <f t="shared" si="6"/>
        <v>1</v>
      </c>
      <c r="K44" s="155">
        <f t="shared" si="7"/>
        <v>0.1</v>
      </c>
      <c r="L44" s="79">
        <f t="shared" si="4"/>
        <v>2.9999999999999985E-2</v>
      </c>
      <c r="M44" s="404">
        <f t="shared" si="8"/>
        <v>0.12999999999999995</v>
      </c>
    </row>
    <row r="45" spans="8:13" x14ac:dyDescent="0.3">
      <c r="H45" s="403">
        <f t="shared" si="10"/>
        <v>1.9</v>
      </c>
      <c r="I45" s="23">
        <f t="shared" si="5"/>
        <v>1</v>
      </c>
      <c r="J45" s="5">
        <f t="shared" si="6"/>
        <v>0</v>
      </c>
      <c r="K45" s="155">
        <f t="shared" si="7"/>
        <v>0</v>
      </c>
      <c r="L45" s="79">
        <f>L46+(H46-H45)*K45</f>
        <v>0</v>
      </c>
      <c r="M45" s="404">
        <f t="shared" si="8"/>
        <v>9.9999999999999978E-2</v>
      </c>
    </row>
    <row r="46" spans="8:13" x14ac:dyDescent="0.3">
      <c r="H46" s="405">
        <v>2.1</v>
      </c>
      <c r="I46" s="25">
        <f t="shared" si="5"/>
        <v>0</v>
      </c>
      <c r="J46" s="87">
        <f t="shared" si="6"/>
        <v>0</v>
      </c>
      <c r="K46" s="156">
        <f t="shared" si="7"/>
        <v>0</v>
      </c>
      <c r="L46" s="80">
        <v>0</v>
      </c>
      <c r="M46" s="406">
        <f t="shared" si="8"/>
        <v>9.9999999999999978E-2</v>
      </c>
    </row>
  </sheetData>
  <mergeCells count="1">
    <mergeCell ref="E1:F1"/>
  </mergeCells>
  <hyperlinks>
    <hyperlink ref="E1" location="TOC!A1" display="Return to TOC" xr:uid="{31C1945D-1455-4B38-B864-944499E7C501}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A6FCE-19A3-4D31-8BE8-BFB980D85FAE}">
  <dimension ref="A1:N38"/>
  <sheetViews>
    <sheetView workbookViewId="0"/>
  </sheetViews>
  <sheetFormatPr defaultRowHeight="14.4" x14ac:dyDescent="0.3"/>
  <cols>
    <col min="1" max="1" width="14" bestFit="1" customWidth="1"/>
    <col min="2" max="3" width="10.88671875" bestFit="1" customWidth="1"/>
    <col min="4" max="7" width="10.88671875" customWidth="1"/>
    <col min="8" max="8" width="10.88671875" bestFit="1" customWidth="1"/>
    <col min="10" max="10" width="3.88671875" customWidth="1"/>
    <col min="11" max="11" width="3.6640625" customWidth="1"/>
    <col min="12" max="12" width="14" bestFit="1" customWidth="1"/>
  </cols>
  <sheetData>
    <row r="1" spans="1:14" x14ac:dyDescent="0.3">
      <c r="A1" s="6" t="s">
        <v>4</v>
      </c>
      <c r="B1" s="7" t="s">
        <v>946</v>
      </c>
      <c r="C1" s="7"/>
      <c r="D1" s="7"/>
      <c r="E1" s="7"/>
      <c r="F1" s="7"/>
      <c r="G1" s="7"/>
      <c r="H1" s="8"/>
      <c r="I1" s="490" t="s">
        <v>5</v>
      </c>
      <c r="J1" s="491"/>
      <c r="K1" s="185"/>
      <c r="L1" s="10" t="s">
        <v>6</v>
      </c>
    </row>
    <row r="2" spans="1:14" x14ac:dyDescent="0.3">
      <c r="A2" s="11" t="s">
        <v>7</v>
      </c>
      <c r="B2" s="33" t="s">
        <v>967</v>
      </c>
      <c r="C2" s="33"/>
      <c r="D2" s="33"/>
      <c r="E2" s="33"/>
      <c r="F2" s="33"/>
      <c r="G2" s="33"/>
      <c r="H2" s="33"/>
      <c r="I2" s="33"/>
      <c r="J2" s="12"/>
      <c r="K2" s="185" t="s">
        <v>28</v>
      </c>
      <c r="L2" s="62">
        <f>B6*B7</f>
        <v>1125000</v>
      </c>
      <c r="M2" t="s">
        <v>963</v>
      </c>
    </row>
    <row r="3" spans="1:14" x14ac:dyDescent="0.3">
      <c r="A3" s="11" t="s">
        <v>8</v>
      </c>
      <c r="B3" s="33" t="s">
        <v>968</v>
      </c>
      <c r="C3" s="33"/>
      <c r="D3" s="33"/>
      <c r="E3" s="33"/>
      <c r="F3" s="33"/>
      <c r="G3" s="33"/>
      <c r="H3" s="33"/>
      <c r="I3" s="33"/>
      <c r="J3" s="12"/>
      <c r="K3" s="185"/>
    </row>
    <row r="4" spans="1:14" x14ac:dyDescent="0.3">
      <c r="A4" s="13"/>
      <c r="B4" s="34"/>
      <c r="C4" s="34"/>
      <c r="D4" s="34"/>
      <c r="E4" s="34"/>
      <c r="F4" s="34"/>
      <c r="G4" s="34"/>
      <c r="H4" s="34"/>
      <c r="I4" s="34"/>
      <c r="J4" s="14"/>
      <c r="K4" s="185"/>
      <c r="L4" t="s">
        <v>981</v>
      </c>
    </row>
    <row r="5" spans="1:14" x14ac:dyDescent="0.3">
      <c r="A5" s="15" t="s">
        <v>9</v>
      </c>
      <c r="B5" s="36" t="s">
        <v>969</v>
      </c>
      <c r="C5" s="36"/>
      <c r="D5" s="36"/>
      <c r="E5" s="36"/>
      <c r="F5" s="36"/>
      <c r="G5" s="36"/>
      <c r="H5" s="36"/>
      <c r="I5" s="33"/>
      <c r="J5" s="12"/>
      <c r="K5" s="185"/>
      <c r="L5" t="s">
        <v>982</v>
      </c>
    </row>
    <row r="6" spans="1:14" x14ac:dyDescent="0.3">
      <c r="A6" s="16"/>
      <c r="B6" s="116">
        <v>1500000</v>
      </c>
      <c r="C6" s="43" t="s">
        <v>547</v>
      </c>
      <c r="D6" s="117"/>
      <c r="E6" s="118"/>
      <c r="F6" s="36"/>
      <c r="G6" s="36"/>
      <c r="H6" s="36"/>
      <c r="I6" s="36"/>
      <c r="J6" s="37"/>
      <c r="L6" t="s">
        <v>983</v>
      </c>
    </row>
    <row r="7" spans="1:14" x14ac:dyDescent="0.3">
      <c r="A7" s="16"/>
      <c r="B7" s="426">
        <v>0.75</v>
      </c>
      <c r="C7" s="267" t="s">
        <v>970</v>
      </c>
      <c r="D7" s="36"/>
      <c r="E7" s="119"/>
      <c r="F7" s="36"/>
      <c r="G7" s="36"/>
      <c r="H7" s="36"/>
      <c r="I7" s="36"/>
      <c r="J7" s="37"/>
      <c r="L7" t="s">
        <v>984</v>
      </c>
      <c r="M7" s="5">
        <f>B10/B7</f>
        <v>0.27999999999999997</v>
      </c>
    </row>
    <row r="8" spans="1:14" x14ac:dyDescent="0.3">
      <c r="A8" s="16"/>
      <c r="B8" s="69">
        <v>1.1000000000000001</v>
      </c>
      <c r="C8" s="267" t="s">
        <v>971</v>
      </c>
      <c r="D8" s="36"/>
      <c r="E8" s="119"/>
      <c r="F8" s="36"/>
      <c r="G8" s="36"/>
      <c r="H8" s="36"/>
      <c r="I8" s="36"/>
      <c r="J8" s="37"/>
    </row>
    <row r="9" spans="1:14" x14ac:dyDescent="0.3">
      <c r="A9" s="16"/>
      <c r="B9" s="71">
        <v>200000</v>
      </c>
      <c r="C9" s="267" t="s">
        <v>400</v>
      </c>
      <c r="D9" s="36"/>
      <c r="E9" s="119"/>
      <c r="F9" s="36"/>
      <c r="G9" s="36"/>
      <c r="H9" s="36"/>
      <c r="I9" s="36"/>
      <c r="J9" s="37"/>
      <c r="L9" t="s">
        <v>985</v>
      </c>
      <c r="N9" s="5">
        <f>(1+0.8*M7)/(1-M7)</f>
        <v>1.7</v>
      </c>
    </row>
    <row r="10" spans="1:14" x14ac:dyDescent="0.3">
      <c r="A10" s="16"/>
      <c r="B10" s="69">
        <v>0.21</v>
      </c>
      <c r="C10" s="267" t="s">
        <v>552</v>
      </c>
      <c r="D10" s="36"/>
      <c r="E10" s="119"/>
      <c r="F10" s="36"/>
      <c r="G10" s="36"/>
      <c r="H10" s="36"/>
      <c r="I10" s="36"/>
      <c r="J10" s="37"/>
    </row>
    <row r="11" spans="1:14" x14ac:dyDescent="0.3">
      <c r="A11" s="16"/>
      <c r="B11" s="72">
        <v>1000000</v>
      </c>
      <c r="C11" s="268" t="s">
        <v>972</v>
      </c>
      <c r="D11" s="120"/>
      <c r="E11" s="121"/>
      <c r="F11" s="36"/>
      <c r="G11" s="36"/>
      <c r="H11" s="36"/>
      <c r="I11" s="36"/>
      <c r="J11" s="37"/>
      <c r="L11" s="62">
        <f>B7*B6*B8*N9</f>
        <v>2103750</v>
      </c>
      <c r="M11" t="s">
        <v>986</v>
      </c>
    </row>
    <row r="12" spans="1:14" x14ac:dyDescent="0.3">
      <c r="A12" s="16"/>
      <c r="B12" s="36"/>
      <c r="C12" s="36"/>
      <c r="D12" s="36"/>
      <c r="E12" s="36"/>
      <c r="F12" s="36"/>
      <c r="G12" s="36"/>
      <c r="H12" s="36"/>
      <c r="I12" s="36"/>
      <c r="J12" s="37"/>
      <c r="L12" t="s">
        <v>987</v>
      </c>
    </row>
    <row r="13" spans="1:14" x14ac:dyDescent="0.3">
      <c r="A13" s="16"/>
      <c r="B13" s="36" t="s">
        <v>973</v>
      </c>
      <c r="C13" s="36"/>
      <c r="D13" s="36"/>
      <c r="E13" s="36"/>
      <c r="F13" s="36"/>
      <c r="G13" s="36"/>
      <c r="H13" s="36"/>
      <c r="I13" s="36"/>
      <c r="J13" s="37"/>
    </row>
    <row r="14" spans="1:14" x14ac:dyDescent="0.3">
      <c r="A14" s="16"/>
      <c r="B14" s="36"/>
      <c r="C14" s="36"/>
      <c r="D14" s="36"/>
      <c r="E14" s="36"/>
      <c r="F14" s="36"/>
      <c r="G14" s="36"/>
      <c r="H14" s="36"/>
      <c r="I14" s="36"/>
      <c r="J14" s="37"/>
      <c r="L14" t="s">
        <v>988</v>
      </c>
    </row>
    <row r="15" spans="1:14" x14ac:dyDescent="0.3">
      <c r="A15" s="16"/>
      <c r="B15" s="68" t="s">
        <v>18</v>
      </c>
      <c r="C15" s="43"/>
      <c r="D15" s="117"/>
      <c r="E15" s="118"/>
      <c r="F15" s="36"/>
      <c r="G15" s="36"/>
      <c r="H15" s="36"/>
      <c r="I15" s="36"/>
      <c r="J15" s="37"/>
    </row>
    <row r="16" spans="1:14" x14ac:dyDescent="0.3">
      <c r="A16" s="16"/>
      <c r="B16" s="70" t="s">
        <v>974</v>
      </c>
      <c r="C16" s="407" t="s">
        <v>975</v>
      </c>
      <c r="D16" s="408"/>
      <c r="E16" s="409"/>
      <c r="F16" s="36"/>
      <c r="G16" s="36"/>
      <c r="H16" s="36"/>
      <c r="I16" s="36"/>
      <c r="J16" s="37"/>
      <c r="L16" t="s">
        <v>989</v>
      </c>
    </row>
    <row r="17" spans="1:13" x14ac:dyDescent="0.3">
      <c r="A17" s="16"/>
      <c r="B17" s="68">
        <v>30</v>
      </c>
      <c r="C17" s="410">
        <v>600001</v>
      </c>
      <c r="D17" s="411" t="s">
        <v>977</v>
      </c>
      <c r="E17" s="284">
        <v>750000</v>
      </c>
      <c r="F17" s="364"/>
      <c r="G17" s="364"/>
      <c r="H17" s="36"/>
      <c r="I17" s="36"/>
      <c r="J17" s="37"/>
    </row>
    <row r="18" spans="1:13" x14ac:dyDescent="0.3">
      <c r="A18" s="16"/>
      <c r="B18" s="69">
        <v>29</v>
      </c>
      <c r="C18" s="294">
        <f t="shared" ref="C18:C23" si="0">E17+1</f>
        <v>750001</v>
      </c>
      <c r="D18" s="412" t="s">
        <v>977</v>
      </c>
      <c r="E18" s="66">
        <v>925000</v>
      </c>
      <c r="F18" s="364"/>
      <c r="G18" s="364"/>
      <c r="H18" s="36"/>
      <c r="I18" s="36"/>
      <c r="J18" s="37"/>
      <c r="L18" s="62">
        <f>L2*(1-M7)</f>
        <v>810000</v>
      </c>
      <c r="M18" t="s">
        <v>990</v>
      </c>
    </row>
    <row r="19" spans="1:13" x14ac:dyDescent="0.3">
      <c r="A19" s="16"/>
      <c r="B19" s="69">
        <v>28</v>
      </c>
      <c r="C19" s="294">
        <f t="shared" si="0"/>
        <v>925001</v>
      </c>
      <c r="D19" s="412" t="s">
        <v>977</v>
      </c>
      <c r="E19" s="66">
        <v>1100000</v>
      </c>
      <c r="F19" s="364"/>
      <c r="G19" s="364"/>
      <c r="H19" s="36"/>
      <c r="I19" s="36"/>
      <c r="J19" s="37"/>
    </row>
    <row r="20" spans="1:13" x14ac:dyDescent="0.3">
      <c r="A20" s="16"/>
      <c r="B20" s="69">
        <v>27</v>
      </c>
      <c r="C20" s="294">
        <f t="shared" si="0"/>
        <v>1100001</v>
      </c>
      <c r="D20" s="412" t="s">
        <v>977</v>
      </c>
      <c r="E20" s="66">
        <v>1300000</v>
      </c>
      <c r="F20" s="364"/>
      <c r="G20" s="364"/>
      <c r="H20" s="36"/>
      <c r="I20" s="36"/>
      <c r="J20" s="37"/>
      <c r="L20" s="328">
        <f>B11/L18</f>
        <v>1.2345679012345678</v>
      </c>
      <c r="M20" t="s">
        <v>991</v>
      </c>
    </row>
    <row r="21" spans="1:13" x14ac:dyDescent="0.3">
      <c r="A21" s="16"/>
      <c r="B21" s="69">
        <v>26</v>
      </c>
      <c r="C21" s="294">
        <f t="shared" si="0"/>
        <v>1300001</v>
      </c>
      <c r="D21" s="412" t="s">
        <v>977</v>
      </c>
      <c r="E21" s="66">
        <v>1600000</v>
      </c>
      <c r="F21" s="364"/>
      <c r="G21" s="364"/>
      <c r="H21" s="36"/>
      <c r="I21" s="36"/>
      <c r="J21" s="37"/>
    </row>
    <row r="22" spans="1:13" x14ac:dyDescent="0.3">
      <c r="A22" s="16"/>
      <c r="B22" s="69">
        <v>25</v>
      </c>
      <c r="C22" s="294">
        <f t="shared" si="0"/>
        <v>1600001</v>
      </c>
      <c r="D22" s="412" t="s">
        <v>977</v>
      </c>
      <c r="E22" s="66">
        <v>1950000</v>
      </c>
      <c r="F22" s="364"/>
      <c r="G22" s="364"/>
      <c r="H22" s="36"/>
      <c r="I22" s="36"/>
      <c r="J22" s="37"/>
      <c r="L22" t="s">
        <v>992</v>
      </c>
    </row>
    <row r="23" spans="1:13" x14ac:dyDescent="0.3">
      <c r="A23" s="16"/>
      <c r="B23" s="70">
        <v>24</v>
      </c>
      <c r="C23" s="394">
        <f t="shared" si="0"/>
        <v>1950001</v>
      </c>
      <c r="D23" s="413" t="s">
        <v>977</v>
      </c>
      <c r="E23" s="67">
        <v>2200000</v>
      </c>
      <c r="F23" s="364"/>
      <c r="G23" s="364"/>
      <c r="H23" s="36"/>
      <c r="I23" s="36"/>
      <c r="J23" s="37"/>
      <c r="L23" s="360">
        <f>I31</f>
        <v>0.1706</v>
      </c>
    </row>
    <row r="24" spans="1:13" x14ac:dyDescent="0.3">
      <c r="A24" s="16"/>
      <c r="B24" s="36"/>
      <c r="C24" s="36"/>
      <c r="D24" s="36"/>
      <c r="E24" s="36"/>
      <c r="F24" s="36"/>
      <c r="G24" s="36"/>
      <c r="H24" s="36"/>
      <c r="I24" s="36"/>
      <c r="J24" s="37"/>
    </row>
    <row r="25" spans="1:13" x14ac:dyDescent="0.3">
      <c r="A25" s="16"/>
      <c r="B25" s="98"/>
      <c r="C25" s="414" t="s">
        <v>976</v>
      </c>
      <c r="D25" s="415"/>
      <c r="E25" s="415"/>
      <c r="F25" s="415"/>
      <c r="G25" s="415"/>
      <c r="H25" s="415"/>
      <c r="I25" s="416"/>
      <c r="J25" s="37"/>
      <c r="L25" t="s">
        <v>993</v>
      </c>
    </row>
    <row r="26" spans="1:13" x14ac:dyDescent="0.3">
      <c r="A26" s="16"/>
      <c r="B26" s="70" t="s">
        <v>801</v>
      </c>
      <c r="C26" s="217">
        <v>30</v>
      </c>
      <c r="D26" s="217">
        <v>29</v>
      </c>
      <c r="E26" s="217">
        <v>28</v>
      </c>
      <c r="F26" s="217">
        <v>27</v>
      </c>
      <c r="G26" s="217">
        <v>26</v>
      </c>
      <c r="H26" s="217">
        <v>25</v>
      </c>
      <c r="I26" s="115">
        <v>24</v>
      </c>
      <c r="J26" s="37"/>
      <c r="L26" s="427"/>
    </row>
    <row r="27" spans="1:13" x14ac:dyDescent="0.3">
      <c r="A27" s="16"/>
      <c r="B27" s="69">
        <v>0.75</v>
      </c>
      <c r="C27" s="417">
        <v>0.40689999999999998</v>
      </c>
      <c r="D27" s="418">
        <v>0.39889999999999998</v>
      </c>
      <c r="E27" s="418">
        <v>0.3911</v>
      </c>
      <c r="F27" s="418">
        <v>0.38329999999999997</v>
      </c>
      <c r="G27" s="418">
        <v>0.3755</v>
      </c>
      <c r="H27" s="418">
        <v>0.36770000000000003</v>
      </c>
      <c r="I27" s="419">
        <v>0.3599</v>
      </c>
      <c r="J27" s="37"/>
      <c r="L27" s="62">
        <f>L2*M7</f>
        <v>314999.99999999994</v>
      </c>
      <c r="M27" t="s">
        <v>994</v>
      </c>
    </row>
    <row r="28" spans="1:13" x14ac:dyDescent="0.3">
      <c r="A28" s="16"/>
      <c r="B28" s="69">
        <v>0.81</v>
      </c>
      <c r="C28" s="420">
        <v>0.37769999999999998</v>
      </c>
      <c r="D28" s="421">
        <v>0.36899999999999999</v>
      </c>
      <c r="E28" s="421">
        <v>0.36049999999999999</v>
      </c>
      <c r="F28" s="421">
        <v>0.35210000000000002</v>
      </c>
      <c r="G28" s="421">
        <v>0.34360000000000002</v>
      </c>
      <c r="H28" s="421">
        <v>0.3352</v>
      </c>
      <c r="I28" s="422">
        <v>0.32669999999999999</v>
      </c>
      <c r="J28" s="37"/>
      <c r="L28" s="62">
        <f>L23*L18</f>
        <v>138186</v>
      </c>
      <c r="M28" t="s">
        <v>995</v>
      </c>
    </row>
    <row r="29" spans="1:13" x14ac:dyDescent="0.3">
      <c r="A29" s="16"/>
      <c r="B29" s="69">
        <v>1.07</v>
      </c>
      <c r="C29" s="420">
        <v>0.27639999999999998</v>
      </c>
      <c r="D29" s="421">
        <v>0.2661</v>
      </c>
      <c r="E29" s="421">
        <v>0.25569999999999998</v>
      </c>
      <c r="F29" s="421">
        <v>0.24529999999999999</v>
      </c>
      <c r="G29" s="421">
        <v>0.2349</v>
      </c>
      <c r="H29" s="421">
        <v>0.22450000000000001</v>
      </c>
      <c r="I29" s="422">
        <v>0.21410000000000001</v>
      </c>
      <c r="J29" s="37"/>
    </row>
    <row r="30" spans="1:13" x14ac:dyDescent="0.3">
      <c r="A30" s="16"/>
      <c r="B30" s="69">
        <v>1.1499999999999999</v>
      </c>
      <c r="C30" s="420">
        <v>0.25219999999999998</v>
      </c>
      <c r="D30" s="421">
        <v>0.2417</v>
      </c>
      <c r="E30" s="421">
        <v>0.23100000000000001</v>
      </c>
      <c r="F30" s="421">
        <v>0.2203</v>
      </c>
      <c r="G30" s="421">
        <v>0.20960000000000001</v>
      </c>
      <c r="H30" s="421">
        <v>0.19889999999999999</v>
      </c>
      <c r="I30" s="422">
        <v>0.18820000000000001</v>
      </c>
      <c r="J30" s="37"/>
      <c r="L30" s="428">
        <f>SUM(L27:L28)</f>
        <v>453185.99999999994</v>
      </c>
      <c r="M30" t="s">
        <v>996</v>
      </c>
    </row>
    <row r="31" spans="1:13" x14ac:dyDescent="0.3">
      <c r="A31" s="16"/>
      <c r="B31" s="69">
        <v>1.23</v>
      </c>
      <c r="C31" s="420">
        <v>0.23469999999999999</v>
      </c>
      <c r="D31" s="421">
        <v>0.22409999999999999</v>
      </c>
      <c r="E31" s="421">
        <v>0.21340000000000001</v>
      </c>
      <c r="F31" s="421">
        <v>0.20269999999999999</v>
      </c>
      <c r="G31" s="421">
        <v>0.192</v>
      </c>
      <c r="H31" s="421">
        <v>0.18129999999999999</v>
      </c>
      <c r="I31" s="422">
        <v>0.1706</v>
      </c>
      <c r="J31" s="37"/>
    </row>
    <row r="32" spans="1:13" x14ac:dyDescent="0.3">
      <c r="A32" s="16"/>
      <c r="B32" s="70">
        <v>1.53</v>
      </c>
      <c r="C32" s="423">
        <v>0.16900000000000001</v>
      </c>
      <c r="D32" s="424">
        <v>0.1583</v>
      </c>
      <c r="E32" s="424">
        <v>0.14760000000000001</v>
      </c>
      <c r="F32" s="424">
        <v>0.13689999999999999</v>
      </c>
      <c r="G32" s="424">
        <v>0.12609999999999999</v>
      </c>
      <c r="H32" s="424">
        <v>0.1154</v>
      </c>
      <c r="I32" s="425">
        <v>0.1047</v>
      </c>
      <c r="J32" s="37"/>
      <c r="K32" t="s">
        <v>38</v>
      </c>
      <c r="L32" t="s">
        <v>998</v>
      </c>
    </row>
    <row r="33" spans="1:12" x14ac:dyDescent="0.3">
      <c r="A33" s="16"/>
      <c r="B33" s="36"/>
      <c r="C33" s="36"/>
      <c r="D33" s="36"/>
      <c r="E33" s="36"/>
      <c r="F33" s="36"/>
      <c r="G33" s="36"/>
      <c r="H33" s="36"/>
      <c r="I33" s="36"/>
      <c r="J33" s="37"/>
      <c r="L33" t="s">
        <v>997</v>
      </c>
    </row>
    <row r="34" spans="1:12" x14ac:dyDescent="0.3">
      <c r="A34" s="63" t="s">
        <v>10</v>
      </c>
      <c r="B34" s="36" t="s">
        <v>978</v>
      </c>
      <c r="C34" s="36"/>
      <c r="D34" s="36"/>
      <c r="E34" s="36"/>
      <c r="F34" s="36"/>
      <c r="G34" s="36"/>
      <c r="H34" s="36"/>
      <c r="I34" s="36"/>
      <c r="J34" s="37"/>
      <c r="L34" t="s">
        <v>999</v>
      </c>
    </row>
    <row r="35" spans="1:12" x14ac:dyDescent="0.3">
      <c r="A35" s="16"/>
      <c r="B35" s="36" t="s">
        <v>979</v>
      </c>
      <c r="C35" s="36"/>
      <c r="D35" s="36"/>
      <c r="E35" s="36"/>
      <c r="F35" s="36"/>
      <c r="G35" s="36"/>
      <c r="H35" s="36"/>
      <c r="I35" s="36"/>
      <c r="J35" s="37"/>
      <c r="L35" t="s">
        <v>1000</v>
      </c>
    </row>
    <row r="36" spans="1:12" x14ac:dyDescent="0.3">
      <c r="A36" s="16"/>
      <c r="B36" s="36"/>
      <c r="C36" s="36"/>
      <c r="D36" s="36"/>
      <c r="E36" s="36"/>
      <c r="F36" s="36"/>
      <c r="G36" s="36"/>
      <c r="H36" s="36"/>
      <c r="I36" s="36"/>
      <c r="J36" s="37"/>
      <c r="L36" t="s">
        <v>1001</v>
      </c>
    </row>
    <row r="37" spans="1:12" x14ac:dyDescent="0.3">
      <c r="A37" s="16"/>
      <c r="B37" s="36" t="s">
        <v>980</v>
      </c>
      <c r="C37" s="36"/>
      <c r="D37" s="36"/>
      <c r="E37" s="36"/>
      <c r="F37" s="36"/>
      <c r="G37" s="36"/>
      <c r="H37" s="36"/>
      <c r="I37" s="36"/>
      <c r="J37" s="37"/>
      <c r="L37" t="s">
        <v>1002</v>
      </c>
    </row>
    <row r="38" spans="1:12" ht="15" thickBot="1" x14ac:dyDescent="0.35">
      <c r="A38" s="17"/>
      <c r="B38" s="41"/>
      <c r="C38" s="41"/>
      <c r="D38" s="41"/>
      <c r="E38" s="41"/>
      <c r="F38" s="41"/>
      <c r="G38" s="41"/>
      <c r="H38" s="41"/>
      <c r="I38" s="41"/>
      <c r="J38" s="42"/>
    </row>
  </sheetData>
  <mergeCells count="1">
    <mergeCell ref="I1:J1"/>
  </mergeCells>
  <hyperlinks>
    <hyperlink ref="I1" location="TOC!A1" display="Return to TOC" xr:uid="{C48BF139-28F7-457C-AF60-0E2E2F69C567}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D6A10-F753-4476-9D48-B5731E602F51}">
  <dimension ref="A1:O48"/>
  <sheetViews>
    <sheetView workbookViewId="0"/>
  </sheetViews>
  <sheetFormatPr defaultRowHeight="14.4" x14ac:dyDescent="0.3"/>
  <cols>
    <col min="1" max="1" width="14" bestFit="1" customWidth="1"/>
    <col min="7" max="7" width="4.44140625" customWidth="1"/>
    <col min="8" max="8" width="3.6640625" customWidth="1"/>
    <col min="9" max="9" width="9.88671875" customWidth="1"/>
    <col min="10" max="10" width="10.5546875" customWidth="1"/>
  </cols>
  <sheetData>
    <row r="1" spans="1:15" x14ac:dyDescent="0.3">
      <c r="A1" s="6" t="s">
        <v>4</v>
      </c>
      <c r="B1" s="7" t="s">
        <v>946</v>
      </c>
      <c r="C1" s="7"/>
      <c r="D1" s="7"/>
      <c r="E1" s="8"/>
      <c r="F1" s="490" t="s">
        <v>5</v>
      </c>
      <c r="G1" s="491"/>
      <c r="H1" s="185"/>
      <c r="I1" s="10" t="s">
        <v>6</v>
      </c>
    </row>
    <row r="2" spans="1:15" x14ac:dyDescent="0.3">
      <c r="A2" s="11" t="s">
        <v>7</v>
      </c>
      <c r="B2" s="33" t="s">
        <v>1003</v>
      </c>
      <c r="C2" s="33"/>
      <c r="D2" s="33"/>
      <c r="E2" s="33"/>
      <c r="F2" s="33"/>
      <c r="G2" s="12"/>
      <c r="H2" s="185" t="s">
        <v>28</v>
      </c>
      <c r="I2" s="356">
        <f>20%*20%+20%*40%+20%*60%+20%*80%+10%*100%</f>
        <v>0.5</v>
      </c>
      <c r="J2" t="s">
        <v>1012</v>
      </c>
    </row>
    <row r="3" spans="1:15" x14ac:dyDescent="0.3">
      <c r="A3" s="11" t="s">
        <v>8</v>
      </c>
      <c r="B3" s="33" t="s">
        <v>948</v>
      </c>
      <c r="C3" s="33"/>
      <c r="D3" s="33"/>
      <c r="E3" s="33"/>
      <c r="F3" s="33"/>
      <c r="G3" s="12"/>
      <c r="H3" s="185"/>
    </row>
    <row r="4" spans="1:15" x14ac:dyDescent="0.3">
      <c r="A4" s="13"/>
      <c r="B4" s="34"/>
      <c r="C4" s="34"/>
      <c r="D4" s="34"/>
      <c r="E4" s="34"/>
      <c r="F4" s="34"/>
      <c r="G4" s="14"/>
      <c r="H4" s="185"/>
      <c r="I4" s="356">
        <f>10%*20%+30%*40%+30%*60%+10%*80%</f>
        <v>0.4</v>
      </c>
      <c r="J4" t="s">
        <v>1013</v>
      </c>
    </row>
    <row r="5" spans="1:15" x14ac:dyDescent="0.3">
      <c r="A5" s="15" t="s">
        <v>9</v>
      </c>
      <c r="B5" s="36" t="s">
        <v>1004</v>
      </c>
      <c r="C5" s="36"/>
      <c r="D5" s="36"/>
      <c r="E5" s="36"/>
      <c r="F5" s="33"/>
      <c r="G5" s="12"/>
      <c r="H5" s="185"/>
    </row>
    <row r="6" spans="1:15" x14ac:dyDescent="0.3">
      <c r="A6" s="16"/>
      <c r="B6" s="33" t="s">
        <v>1005</v>
      </c>
      <c r="C6" s="36"/>
      <c r="D6" s="36"/>
      <c r="E6" s="36"/>
      <c r="F6" s="36"/>
      <c r="G6" s="37"/>
      <c r="I6" s="356">
        <f>(I2-I4)/I2</f>
        <v>0.19999999999999996</v>
      </c>
      <c r="J6" t="s">
        <v>1014</v>
      </c>
    </row>
    <row r="7" spans="1:15" x14ac:dyDescent="0.3">
      <c r="A7" s="16"/>
      <c r="B7" s="33" t="s">
        <v>1006</v>
      </c>
      <c r="C7" s="36"/>
      <c r="D7" s="36"/>
      <c r="E7" s="36"/>
      <c r="F7" s="36"/>
      <c r="G7" s="37"/>
    </row>
    <row r="8" spans="1:15" x14ac:dyDescent="0.3">
      <c r="A8" s="16"/>
      <c r="B8" s="36"/>
      <c r="C8" s="36"/>
      <c r="D8" s="36"/>
      <c r="E8" s="36"/>
      <c r="F8" s="36"/>
      <c r="G8" s="37"/>
      <c r="I8" t="s">
        <v>1015</v>
      </c>
    </row>
    <row r="9" spans="1:15" x14ac:dyDescent="0.3">
      <c r="A9" s="16"/>
      <c r="B9" s="36"/>
      <c r="C9" s="36"/>
      <c r="D9" s="36"/>
      <c r="E9" s="36"/>
      <c r="F9" s="36"/>
      <c r="G9" s="37"/>
      <c r="I9" t="s">
        <v>1016</v>
      </c>
    </row>
    <row r="10" spans="1:15" x14ac:dyDescent="0.3">
      <c r="A10" s="16"/>
      <c r="B10" s="36"/>
      <c r="C10" s="36"/>
      <c r="D10" s="36"/>
      <c r="E10" s="36"/>
      <c r="F10" s="36"/>
      <c r="G10" s="37"/>
    </row>
    <row r="11" spans="1:15" ht="15.6" x14ac:dyDescent="0.35">
      <c r="A11" s="16"/>
      <c r="B11" s="36"/>
      <c r="C11" s="36"/>
      <c r="D11" s="36"/>
      <c r="E11" s="36"/>
      <c r="F11" s="36"/>
      <c r="G11" s="37"/>
      <c r="I11" s="18" t="s">
        <v>343</v>
      </c>
      <c r="J11" s="27" t="s">
        <v>801</v>
      </c>
      <c r="K11" s="19" t="s">
        <v>803</v>
      </c>
      <c r="L11" s="19" t="s">
        <v>804</v>
      </c>
      <c r="M11" s="19" t="s">
        <v>805</v>
      </c>
      <c r="N11" s="363" t="s">
        <v>965</v>
      </c>
      <c r="O11" s="362" t="s">
        <v>966</v>
      </c>
    </row>
    <row r="12" spans="1:15" x14ac:dyDescent="0.3">
      <c r="A12" s="16"/>
      <c r="B12" s="36"/>
      <c r="C12" s="36"/>
      <c r="D12" s="36"/>
      <c r="E12" s="36"/>
      <c r="F12" s="36"/>
      <c r="G12" s="37"/>
      <c r="I12" s="430">
        <v>0</v>
      </c>
      <c r="J12" s="79">
        <f>I12/$I$2</f>
        <v>0</v>
      </c>
      <c r="K12" s="21">
        <v>2</v>
      </c>
      <c r="L12" s="75">
        <f>10-SUM(K12:$K$12)</f>
        <v>8</v>
      </c>
      <c r="M12" s="154">
        <f>L12/10</f>
        <v>0.8</v>
      </c>
      <c r="N12" s="429">
        <f t="shared" ref="N12:N15" si="0">N13+(J13-J12)*M12</f>
        <v>0.8</v>
      </c>
      <c r="O12" s="404">
        <f t="shared" ref="O12:O16" si="1">N12+$I$6</f>
        <v>1</v>
      </c>
    </row>
    <row r="13" spans="1:15" x14ac:dyDescent="0.3">
      <c r="A13" s="16"/>
      <c r="B13" s="36"/>
      <c r="C13" s="36"/>
      <c r="D13" s="36"/>
      <c r="E13" s="36"/>
      <c r="F13" s="36"/>
      <c r="G13" s="37"/>
      <c r="I13" s="430">
        <v>0.2</v>
      </c>
      <c r="J13" s="79">
        <f t="shared" ref="J13:J17" si="2">I13/$I$2</f>
        <v>0.4</v>
      </c>
      <c r="K13" s="23">
        <v>1</v>
      </c>
      <c r="L13" s="5">
        <f>10-SUM(K$12:$K13)</f>
        <v>7</v>
      </c>
      <c r="M13" s="155">
        <f t="shared" ref="M13:M17" si="3">L13/10</f>
        <v>0.7</v>
      </c>
      <c r="N13" s="79">
        <f t="shared" si="0"/>
        <v>0.48</v>
      </c>
      <c r="O13" s="404">
        <f t="shared" si="1"/>
        <v>0.67999999999999994</v>
      </c>
    </row>
    <row r="14" spans="1:15" x14ac:dyDescent="0.3">
      <c r="A14" s="16"/>
      <c r="B14" s="36"/>
      <c r="C14" s="36"/>
      <c r="D14" s="36"/>
      <c r="E14" s="36"/>
      <c r="F14" s="36"/>
      <c r="G14" s="37"/>
      <c r="I14" s="430">
        <v>0.4</v>
      </c>
      <c r="J14" s="79">
        <f t="shared" si="2"/>
        <v>0.8</v>
      </c>
      <c r="K14" s="23">
        <v>3</v>
      </c>
      <c r="L14" s="5">
        <f>10-SUM(K$12:$K14)</f>
        <v>4</v>
      </c>
      <c r="M14" s="155">
        <f t="shared" si="3"/>
        <v>0.4</v>
      </c>
      <c r="N14" s="79">
        <f t="shared" si="0"/>
        <v>0.19999999999999998</v>
      </c>
      <c r="O14" s="404">
        <f t="shared" si="1"/>
        <v>0.39999999999999991</v>
      </c>
    </row>
    <row r="15" spans="1:15" x14ac:dyDescent="0.3">
      <c r="A15" s="16"/>
      <c r="B15" s="36"/>
      <c r="C15" s="36"/>
      <c r="D15" s="36"/>
      <c r="E15" s="36"/>
      <c r="F15" s="36"/>
      <c r="G15" s="37"/>
      <c r="I15" s="430">
        <v>0.6</v>
      </c>
      <c r="J15" s="79">
        <f t="shared" si="2"/>
        <v>1.2</v>
      </c>
      <c r="K15" s="23">
        <v>3</v>
      </c>
      <c r="L15" s="5">
        <f>10-SUM(K$12:$K15)</f>
        <v>1</v>
      </c>
      <c r="M15" s="155">
        <f t="shared" si="3"/>
        <v>0.1</v>
      </c>
      <c r="N15" s="79">
        <f t="shared" si="0"/>
        <v>4.0000000000000015E-2</v>
      </c>
      <c r="O15" s="404">
        <f t="shared" si="1"/>
        <v>0.23999999999999996</v>
      </c>
    </row>
    <row r="16" spans="1:15" x14ac:dyDescent="0.3">
      <c r="A16" s="16"/>
      <c r="B16" s="36"/>
      <c r="C16" s="36"/>
      <c r="D16" s="36"/>
      <c r="E16" s="36"/>
      <c r="F16" s="36"/>
      <c r="G16" s="37"/>
      <c r="I16" s="430">
        <v>0.8</v>
      </c>
      <c r="J16" s="79">
        <f t="shared" si="2"/>
        <v>1.6</v>
      </c>
      <c r="K16" s="23">
        <v>1</v>
      </c>
      <c r="L16" s="5">
        <f>10-SUM(K$12:$K16)</f>
        <v>0</v>
      </c>
      <c r="M16" s="155">
        <f t="shared" si="3"/>
        <v>0</v>
      </c>
      <c r="N16" s="79">
        <f>N17+(J17-J16)*M16</f>
        <v>0</v>
      </c>
      <c r="O16" s="404">
        <f t="shared" si="1"/>
        <v>0.19999999999999996</v>
      </c>
    </row>
    <row r="17" spans="1:15" x14ac:dyDescent="0.3">
      <c r="A17" s="16"/>
      <c r="B17" s="36"/>
      <c r="C17" s="36"/>
      <c r="D17" s="36"/>
      <c r="E17" s="36"/>
      <c r="F17" s="36"/>
      <c r="G17" s="37"/>
      <c r="I17" s="431">
        <v>1</v>
      </c>
      <c r="J17" s="80">
        <f t="shared" si="2"/>
        <v>2</v>
      </c>
      <c r="K17" s="25">
        <v>0</v>
      </c>
      <c r="L17" s="87">
        <f>10-SUM(K$12:$K17)</f>
        <v>0</v>
      </c>
      <c r="M17" s="156">
        <f t="shared" si="3"/>
        <v>0</v>
      </c>
      <c r="N17" s="80">
        <v>0</v>
      </c>
      <c r="O17" s="406">
        <f>N17+$I$6</f>
        <v>0.19999999999999996</v>
      </c>
    </row>
    <row r="18" spans="1:15" x14ac:dyDescent="0.3">
      <c r="A18" s="16"/>
      <c r="B18" s="36"/>
      <c r="C18" s="36"/>
      <c r="D18" s="36"/>
      <c r="E18" s="36"/>
      <c r="F18" s="36"/>
      <c r="G18" s="37"/>
    </row>
    <row r="19" spans="1:15" x14ac:dyDescent="0.3">
      <c r="A19" s="16"/>
      <c r="B19" s="36"/>
      <c r="C19" s="36"/>
      <c r="D19" s="36"/>
      <c r="E19" s="36"/>
      <c r="F19" s="36"/>
      <c r="G19" s="37"/>
      <c r="H19" t="s">
        <v>38</v>
      </c>
      <c r="I19" s="328">
        <v>0.4</v>
      </c>
      <c r="J19" t="s">
        <v>1019</v>
      </c>
    </row>
    <row r="20" spans="1:15" x14ac:dyDescent="0.3">
      <c r="A20" s="16"/>
      <c r="B20" s="36"/>
      <c r="C20" s="36"/>
      <c r="D20" s="36"/>
      <c r="E20" s="36"/>
      <c r="F20" s="36"/>
      <c r="G20" s="37"/>
      <c r="I20" s="62">
        <v>500000</v>
      </c>
      <c r="J20" t="s">
        <v>1018</v>
      </c>
    </row>
    <row r="21" spans="1:15" x14ac:dyDescent="0.3">
      <c r="A21" s="16"/>
      <c r="B21" s="36"/>
      <c r="C21" s="36"/>
      <c r="D21" s="36"/>
      <c r="E21" s="36"/>
      <c r="F21" s="36"/>
      <c r="G21" s="37"/>
      <c r="I21" s="62">
        <f>I19*I20</f>
        <v>200000</v>
      </c>
      <c r="J21" t="s">
        <v>1017</v>
      </c>
      <c r="L21" t="s">
        <v>1020</v>
      </c>
    </row>
    <row r="22" spans="1:15" x14ac:dyDescent="0.3">
      <c r="A22" s="16"/>
      <c r="B22" s="36"/>
      <c r="C22" s="36"/>
      <c r="D22" s="36"/>
      <c r="E22" s="36"/>
      <c r="F22" s="36"/>
      <c r="G22" s="37"/>
    </row>
    <row r="23" spans="1:15" x14ac:dyDescent="0.3">
      <c r="A23" s="16"/>
      <c r="B23" s="36"/>
      <c r="C23" s="36"/>
      <c r="D23" s="36"/>
      <c r="E23" s="36"/>
      <c r="F23" s="36"/>
      <c r="G23" s="37"/>
      <c r="I23" t="s">
        <v>1021</v>
      </c>
    </row>
    <row r="24" spans="1:15" x14ac:dyDescent="0.3">
      <c r="A24" s="16"/>
      <c r="B24" s="36"/>
      <c r="C24" s="36"/>
      <c r="D24" s="36"/>
      <c r="E24" s="36"/>
      <c r="F24" s="36"/>
      <c r="G24" s="37"/>
      <c r="I24" t="s">
        <v>1022</v>
      </c>
    </row>
    <row r="25" spans="1:15" x14ac:dyDescent="0.3">
      <c r="A25" s="16"/>
      <c r="B25" s="36"/>
      <c r="C25" s="36"/>
      <c r="D25" s="36"/>
      <c r="E25" s="36"/>
      <c r="F25" s="36"/>
      <c r="G25" s="37"/>
    </row>
    <row r="26" spans="1:15" x14ac:dyDescent="0.3">
      <c r="A26" s="16"/>
      <c r="B26" s="36"/>
      <c r="C26" s="36"/>
      <c r="D26" s="36"/>
      <c r="E26" s="36"/>
      <c r="F26" s="36"/>
      <c r="G26" s="37"/>
    </row>
    <row r="27" spans="1:15" x14ac:dyDescent="0.3">
      <c r="A27" s="16"/>
      <c r="B27" s="36"/>
      <c r="C27" s="36"/>
      <c r="D27" s="36"/>
      <c r="E27" s="36"/>
      <c r="F27" s="36"/>
      <c r="G27" s="37"/>
    </row>
    <row r="28" spans="1:15" x14ac:dyDescent="0.3">
      <c r="A28" s="16"/>
      <c r="B28" s="36"/>
      <c r="C28" s="36"/>
      <c r="D28" s="36"/>
      <c r="E28" s="36"/>
      <c r="F28" s="36"/>
      <c r="G28" s="37"/>
    </row>
    <row r="29" spans="1:15" x14ac:dyDescent="0.3">
      <c r="A29" s="16"/>
      <c r="B29" s="36"/>
      <c r="C29" s="36"/>
      <c r="D29" s="36"/>
      <c r="E29" s="36"/>
      <c r="F29" s="36"/>
      <c r="G29" s="37"/>
    </row>
    <row r="30" spans="1:15" x14ac:dyDescent="0.3">
      <c r="A30" s="16"/>
      <c r="B30" s="36"/>
      <c r="C30" s="36"/>
      <c r="D30" s="36"/>
      <c r="E30" s="36"/>
      <c r="F30" s="36"/>
      <c r="G30" s="37"/>
    </row>
    <row r="31" spans="1:15" x14ac:dyDescent="0.3">
      <c r="A31" s="16"/>
      <c r="B31" s="36"/>
      <c r="C31" s="36"/>
      <c r="D31" s="36"/>
      <c r="E31" s="36"/>
      <c r="F31" s="36"/>
      <c r="G31" s="37"/>
    </row>
    <row r="32" spans="1:15" x14ac:dyDescent="0.3">
      <c r="A32" s="16"/>
      <c r="B32" s="36"/>
      <c r="C32" s="36"/>
      <c r="D32" s="36"/>
      <c r="E32" s="36"/>
      <c r="F32" s="36"/>
      <c r="G32" s="37"/>
    </row>
    <row r="33" spans="1:7" x14ac:dyDescent="0.3">
      <c r="A33" s="16"/>
      <c r="B33" s="36"/>
      <c r="C33" s="36"/>
      <c r="D33" s="36"/>
      <c r="E33" s="36"/>
      <c r="F33" s="36"/>
      <c r="G33" s="37"/>
    </row>
    <row r="34" spans="1:7" x14ac:dyDescent="0.3">
      <c r="A34" s="16"/>
      <c r="B34" s="36"/>
      <c r="C34" s="36"/>
      <c r="D34" s="36"/>
      <c r="E34" s="36"/>
      <c r="F34" s="36"/>
      <c r="G34" s="37"/>
    </row>
    <row r="35" spans="1:7" x14ac:dyDescent="0.3">
      <c r="A35" s="16"/>
      <c r="B35" s="36"/>
      <c r="C35" s="36"/>
      <c r="D35" s="36"/>
      <c r="E35" s="36"/>
      <c r="F35" s="36"/>
      <c r="G35" s="37"/>
    </row>
    <row r="36" spans="1:7" x14ac:dyDescent="0.3">
      <c r="A36" s="16"/>
      <c r="B36" s="36"/>
      <c r="C36" s="36"/>
      <c r="D36" s="36"/>
      <c r="E36" s="36"/>
      <c r="F36" s="36"/>
      <c r="G36" s="37"/>
    </row>
    <row r="37" spans="1:7" x14ac:dyDescent="0.3">
      <c r="A37" s="16"/>
      <c r="B37" s="36"/>
      <c r="C37" s="36"/>
      <c r="D37" s="36"/>
      <c r="E37" s="36"/>
      <c r="F37" s="36"/>
      <c r="G37" s="37"/>
    </row>
    <row r="38" spans="1:7" x14ac:dyDescent="0.3">
      <c r="A38" s="16"/>
      <c r="B38" s="36"/>
      <c r="C38" s="36"/>
      <c r="D38" s="36"/>
      <c r="E38" s="36"/>
      <c r="F38" s="36"/>
      <c r="G38" s="37"/>
    </row>
    <row r="39" spans="1:7" x14ac:dyDescent="0.3">
      <c r="A39" s="16"/>
      <c r="B39" s="36"/>
      <c r="C39" s="36"/>
      <c r="D39" s="36"/>
      <c r="E39" s="36"/>
      <c r="F39" s="36"/>
      <c r="G39" s="37"/>
    </row>
    <row r="40" spans="1:7" x14ac:dyDescent="0.3">
      <c r="A40" s="16"/>
      <c r="B40" s="36"/>
      <c r="C40" s="36"/>
      <c r="D40" s="36"/>
      <c r="E40" s="36"/>
      <c r="F40" s="36"/>
      <c r="G40" s="37"/>
    </row>
    <row r="41" spans="1:7" x14ac:dyDescent="0.3">
      <c r="A41" s="16"/>
      <c r="B41" s="36"/>
      <c r="C41" s="36"/>
      <c r="D41" s="36"/>
      <c r="E41" s="36"/>
      <c r="F41" s="36"/>
      <c r="G41" s="37"/>
    </row>
    <row r="42" spans="1:7" x14ac:dyDescent="0.3">
      <c r="A42" s="16"/>
      <c r="B42" s="36"/>
      <c r="C42" s="36"/>
      <c r="D42" s="36"/>
      <c r="E42" s="36"/>
      <c r="F42" s="36"/>
      <c r="G42" s="37"/>
    </row>
    <row r="43" spans="1:7" x14ac:dyDescent="0.3">
      <c r="A43" s="63" t="s">
        <v>10</v>
      </c>
      <c r="B43" s="36" t="s">
        <v>1007</v>
      </c>
      <c r="C43" s="36"/>
      <c r="D43" s="36"/>
      <c r="E43" s="36"/>
      <c r="F43" s="36"/>
      <c r="G43" s="37"/>
    </row>
    <row r="44" spans="1:7" x14ac:dyDescent="0.3">
      <c r="A44" s="16"/>
      <c r="B44" s="36" t="s">
        <v>1008</v>
      </c>
      <c r="C44" s="36"/>
      <c r="D44" s="36"/>
      <c r="E44" s="36"/>
      <c r="F44" s="36"/>
      <c r="G44" s="37"/>
    </row>
    <row r="45" spans="1:7" x14ac:dyDescent="0.3">
      <c r="A45" s="16"/>
      <c r="B45" s="36"/>
      <c r="C45" s="36"/>
      <c r="D45" s="36"/>
      <c r="E45" s="36"/>
      <c r="F45" s="36"/>
      <c r="G45" s="37"/>
    </row>
    <row r="46" spans="1:7" x14ac:dyDescent="0.3">
      <c r="A46" s="16"/>
      <c r="B46" s="36" t="s">
        <v>1009</v>
      </c>
      <c r="C46" s="36"/>
      <c r="D46" s="36"/>
      <c r="E46" s="36"/>
      <c r="F46" s="36"/>
      <c r="G46" s="37"/>
    </row>
    <row r="47" spans="1:7" x14ac:dyDescent="0.3">
      <c r="A47" s="16"/>
      <c r="B47" s="36" t="s">
        <v>1010</v>
      </c>
      <c r="C47" s="36"/>
      <c r="D47" s="36"/>
      <c r="E47" s="36"/>
      <c r="F47" s="36"/>
      <c r="G47" s="37"/>
    </row>
    <row r="48" spans="1:7" ht="15" thickBot="1" x14ac:dyDescent="0.35">
      <c r="A48" s="17"/>
      <c r="B48" s="41" t="s">
        <v>1011</v>
      </c>
      <c r="C48" s="41"/>
      <c r="D48" s="41"/>
      <c r="E48" s="41"/>
      <c r="F48" s="41"/>
      <c r="G48" s="42"/>
    </row>
  </sheetData>
  <mergeCells count="1">
    <mergeCell ref="F1:G1"/>
  </mergeCells>
  <hyperlinks>
    <hyperlink ref="F1" location="TOC!A1" display="Return to TOC" xr:uid="{3DD4132A-27A7-47A3-BEF4-67F82CB060BD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E7044-E45A-4770-9C84-252250EF3DAF}">
  <dimension ref="A1:R40"/>
  <sheetViews>
    <sheetView workbookViewId="0"/>
  </sheetViews>
  <sheetFormatPr defaultRowHeight="14.4" x14ac:dyDescent="0.3"/>
  <cols>
    <col min="1" max="1" width="14" bestFit="1" customWidth="1"/>
    <col min="7" max="7" width="11.44140625" customWidth="1"/>
    <col min="8" max="8" width="3.6640625" customWidth="1"/>
    <col min="13" max="13" width="10" bestFit="1" customWidth="1"/>
    <col min="14" max="14" width="11.33203125" bestFit="1" customWidth="1"/>
    <col min="16" max="16" width="9.109375" bestFit="1" customWidth="1"/>
    <col min="17" max="17" width="10" bestFit="1" customWidth="1"/>
    <col min="18" max="18" width="11.33203125" bestFit="1" customWidth="1"/>
  </cols>
  <sheetData>
    <row r="1" spans="1:18" x14ac:dyDescent="0.3">
      <c r="A1" s="6" t="s">
        <v>4</v>
      </c>
      <c r="B1" s="7" t="s">
        <v>12</v>
      </c>
      <c r="C1" s="7"/>
      <c r="D1" s="8"/>
      <c r="E1" s="8"/>
      <c r="F1" s="490" t="s">
        <v>5</v>
      </c>
      <c r="G1" s="491"/>
      <c r="I1" s="10" t="s">
        <v>6</v>
      </c>
    </row>
    <row r="2" spans="1:18" x14ac:dyDescent="0.3">
      <c r="A2" s="11" t="s">
        <v>7</v>
      </c>
      <c r="B2" s="33" t="s">
        <v>71</v>
      </c>
      <c r="C2" s="33"/>
      <c r="D2" s="33"/>
      <c r="E2" s="33"/>
      <c r="F2" s="33"/>
      <c r="G2" s="12"/>
      <c r="H2" t="s">
        <v>28</v>
      </c>
      <c r="I2" t="s">
        <v>87</v>
      </c>
    </row>
    <row r="3" spans="1:18" x14ac:dyDescent="0.3">
      <c r="A3" s="11" t="s">
        <v>8</v>
      </c>
      <c r="B3" s="33" t="s">
        <v>86</v>
      </c>
      <c r="C3" s="33"/>
      <c r="D3" s="33"/>
      <c r="E3" s="33"/>
      <c r="F3" s="33"/>
      <c r="G3" s="12"/>
    </row>
    <row r="4" spans="1:18" x14ac:dyDescent="0.3">
      <c r="A4" s="13"/>
      <c r="B4" s="34"/>
      <c r="C4" s="34"/>
      <c r="D4" s="34"/>
      <c r="E4" s="34"/>
      <c r="F4" s="34"/>
      <c r="G4" s="14"/>
    </row>
    <row r="5" spans="1:18" x14ac:dyDescent="0.3">
      <c r="A5" s="15" t="s">
        <v>9</v>
      </c>
      <c r="B5" s="33" t="s">
        <v>72</v>
      </c>
      <c r="C5" s="36"/>
      <c r="D5" s="36"/>
      <c r="E5" s="36"/>
      <c r="F5" s="36"/>
      <c r="G5" s="37"/>
      <c r="N5" s="21"/>
      <c r="O5" s="89"/>
      <c r="P5" s="89" t="s">
        <v>51</v>
      </c>
      <c r="Q5" s="94" t="s">
        <v>98</v>
      </c>
      <c r="R5" s="95"/>
    </row>
    <row r="6" spans="1:18" x14ac:dyDescent="0.3">
      <c r="A6" s="16"/>
      <c r="B6" s="33" t="s">
        <v>73</v>
      </c>
      <c r="C6" s="36"/>
      <c r="D6" s="36"/>
      <c r="E6" s="36"/>
      <c r="F6" s="36"/>
      <c r="G6" s="37"/>
      <c r="I6" s="18" t="s">
        <v>77</v>
      </c>
      <c r="J6" s="27" t="s">
        <v>88</v>
      </c>
      <c r="K6" s="27" t="s">
        <v>32</v>
      </c>
      <c r="L6" s="20" t="s">
        <v>96</v>
      </c>
      <c r="N6" s="25" t="s">
        <v>96</v>
      </c>
      <c r="O6" s="90" t="s">
        <v>32</v>
      </c>
      <c r="P6" s="90" t="s">
        <v>52</v>
      </c>
      <c r="Q6" s="87" t="s">
        <v>20</v>
      </c>
      <c r="R6" s="88" t="s">
        <v>18</v>
      </c>
    </row>
    <row r="7" spans="1:18" x14ac:dyDescent="0.3">
      <c r="A7" s="16"/>
      <c r="B7" s="33" t="s">
        <v>74</v>
      </c>
      <c r="C7" s="36"/>
      <c r="D7" s="36"/>
      <c r="E7" s="36"/>
      <c r="F7" s="36"/>
      <c r="G7" s="37"/>
      <c r="I7" s="23">
        <v>1</v>
      </c>
      <c r="J7" s="81">
        <f>D16/(D16+50000)</f>
        <v>0.7142857142857143</v>
      </c>
      <c r="K7" s="81">
        <f>(J7*C16+(1-J7)*D16)/D16</f>
        <v>1.0285714285714285</v>
      </c>
      <c r="L7" s="83">
        <f>_xlfn.RANK.AVG(K7,$K$7:$K$12,1)</f>
        <v>3</v>
      </c>
      <c r="N7" s="23">
        <v>1</v>
      </c>
      <c r="O7" s="81">
        <f>INDEX($K$7:$K$12,MATCH(N7,$L$7:$L$12,0))</f>
        <v>0.75</v>
      </c>
      <c r="P7" s="91">
        <f>INDEX($C$28:$C$33,MATCH(N7,$L$7:$L$12,0))</f>
        <v>65000</v>
      </c>
      <c r="Q7" s="35">
        <f>INDEX($D$28:$D$33,MATCH(N7,$L$7:$L$12,0))</f>
        <v>40000</v>
      </c>
      <c r="R7" s="84">
        <f>INDEX($D$16:$D$21,MATCH(N7,$L$7:$L$12,0))</f>
        <v>150000</v>
      </c>
    </row>
    <row r="8" spans="1:18" x14ac:dyDescent="0.3">
      <c r="A8" s="16"/>
      <c r="B8" s="36"/>
      <c r="C8" s="36"/>
      <c r="D8" s="36"/>
      <c r="E8" s="36"/>
      <c r="F8" s="36"/>
      <c r="G8" s="37"/>
      <c r="I8" s="23">
        <v>2</v>
      </c>
      <c r="J8" s="81">
        <f t="shared" ref="J8:J12" si="0">D17/(D17+50000)</f>
        <v>0.62962962962962965</v>
      </c>
      <c r="K8" s="81">
        <f t="shared" ref="K8:K12" si="1">(J8*C17+(1-J8)*D17)/D17</f>
        <v>0.81481481481481477</v>
      </c>
      <c r="L8" s="83">
        <f t="shared" ref="L8:L12" si="2">_xlfn.RANK.AVG(K8,$K$7:$K$12,1)</f>
        <v>2</v>
      </c>
      <c r="N8" s="23">
        <v>2</v>
      </c>
      <c r="O8" s="81">
        <f t="shared" ref="O8:O12" si="3">INDEX($K$7:$K$12,MATCH(N8,$L$7:$L$12,0))</f>
        <v>0.81481481481481477</v>
      </c>
      <c r="P8" s="91">
        <f t="shared" ref="P8:P12" si="4">INDEX($C$28:$C$33,MATCH(N8,$L$7:$L$12,0))</f>
        <v>50000</v>
      </c>
      <c r="Q8" s="35">
        <f t="shared" ref="Q8:Q12" si="5">INDEX($D$28:$D$33,MATCH(N8,$L$7:$L$12,0))</f>
        <v>25000</v>
      </c>
      <c r="R8" s="84">
        <f t="shared" ref="R8:R12" si="6">INDEX($D$16:$D$21,MATCH(N8,$L$7:$L$12,0))</f>
        <v>85000</v>
      </c>
    </row>
    <row r="9" spans="1:18" x14ac:dyDescent="0.3">
      <c r="A9" s="16"/>
      <c r="B9" s="36"/>
      <c r="C9" s="36"/>
      <c r="D9" s="36"/>
      <c r="E9" s="36"/>
      <c r="F9" s="36"/>
      <c r="G9" s="37"/>
      <c r="I9" s="23">
        <v>3</v>
      </c>
      <c r="J9" s="81">
        <f t="shared" si="0"/>
        <v>0.75</v>
      </c>
      <c r="K9" s="81">
        <f t="shared" si="1"/>
        <v>1.05</v>
      </c>
      <c r="L9" s="83">
        <f t="shared" si="2"/>
        <v>4</v>
      </c>
      <c r="N9" s="23">
        <v>3</v>
      </c>
      <c r="O9" s="81">
        <f t="shared" si="3"/>
        <v>1.0285714285714285</v>
      </c>
      <c r="P9" s="91">
        <f t="shared" si="4"/>
        <v>50000</v>
      </c>
      <c r="Q9" s="35">
        <f t="shared" si="5"/>
        <v>35000</v>
      </c>
      <c r="R9" s="84">
        <f t="shared" si="6"/>
        <v>125000</v>
      </c>
    </row>
    <row r="10" spans="1:18" x14ac:dyDescent="0.3">
      <c r="A10" s="16"/>
      <c r="B10" s="36"/>
      <c r="C10" s="36"/>
      <c r="D10" s="36"/>
      <c r="E10" s="36"/>
      <c r="F10" s="36"/>
      <c r="G10" s="37"/>
      <c r="I10" s="23">
        <v>4</v>
      </c>
      <c r="J10" s="81">
        <f t="shared" si="0"/>
        <v>0.72222222222222221</v>
      </c>
      <c r="K10" s="81">
        <f t="shared" si="1"/>
        <v>1.3888888888888888</v>
      </c>
      <c r="L10" s="83">
        <f t="shared" si="2"/>
        <v>6</v>
      </c>
      <c r="N10" s="23">
        <v>4</v>
      </c>
      <c r="O10" s="81">
        <f t="shared" si="3"/>
        <v>1.05</v>
      </c>
      <c r="P10" s="91">
        <f t="shared" si="4"/>
        <v>70000</v>
      </c>
      <c r="Q10" s="35">
        <f t="shared" si="5"/>
        <v>60000</v>
      </c>
      <c r="R10" s="84">
        <f t="shared" si="6"/>
        <v>150000</v>
      </c>
    </row>
    <row r="11" spans="1:18" x14ac:dyDescent="0.3">
      <c r="A11" s="16"/>
      <c r="B11" s="36" t="s">
        <v>75</v>
      </c>
      <c r="C11" s="36"/>
      <c r="D11" s="36"/>
      <c r="E11" s="36"/>
      <c r="F11" s="36"/>
      <c r="G11" s="37"/>
      <c r="I11" s="23">
        <v>5</v>
      </c>
      <c r="J11" s="81">
        <f t="shared" si="0"/>
        <v>0.75</v>
      </c>
      <c r="K11" s="81">
        <f t="shared" si="1"/>
        <v>0.75</v>
      </c>
      <c r="L11" s="83">
        <f t="shared" si="2"/>
        <v>1</v>
      </c>
      <c r="N11" s="23">
        <v>5</v>
      </c>
      <c r="O11" s="81">
        <f t="shared" si="3"/>
        <v>1.3333333333333333</v>
      </c>
      <c r="P11" s="91">
        <f t="shared" si="4"/>
        <v>65000</v>
      </c>
      <c r="Q11" s="35">
        <f t="shared" si="5"/>
        <v>100000</v>
      </c>
      <c r="R11" s="84">
        <f t="shared" si="6"/>
        <v>175000</v>
      </c>
    </row>
    <row r="12" spans="1:18" x14ac:dyDescent="0.3">
      <c r="A12" s="16"/>
      <c r="B12" s="36" t="s">
        <v>76</v>
      </c>
      <c r="C12" s="36"/>
      <c r="D12" s="36"/>
      <c r="E12" s="36"/>
      <c r="F12" s="36"/>
      <c r="G12" s="37"/>
      <c r="I12" s="25">
        <v>6</v>
      </c>
      <c r="J12" s="82">
        <f t="shared" si="0"/>
        <v>0.77777777777777779</v>
      </c>
      <c r="K12" s="82">
        <f t="shared" si="1"/>
        <v>1.3333333333333333</v>
      </c>
      <c r="L12" s="88">
        <f t="shared" si="2"/>
        <v>5</v>
      </c>
      <c r="N12" s="25">
        <v>6</v>
      </c>
      <c r="O12" s="82">
        <f t="shared" si="3"/>
        <v>1.3888888888888888</v>
      </c>
      <c r="P12" s="92">
        <f t="shared" si="4"/>
        <v>75000</v>
      </c>
      <c r="Q12" s="85">
        <f t="shared" si="5"/>
        <v>50000</v>
      </c>
      <c r="R12" s="86">
        <f t="shared" si="6"/>
        <v>130000</v>
      </c>
    </row>
    <row r="13" spans="1:18" x14ac:dyDescent="0.3">
      <c r="A13" s="16"/>
      <c r="B13" s="36"/>
      <c r="C13" s="36"/>
      <c r="D13" s="36"/>
      <c r="E13" s="36"/>
      <c r="F13" s="36"/>
      <c r="G13" s="37"/>
    </row>
    <row r="14" spans="1:18" x14ac:dyDescent="0.3">
      <c r="A14" s="16"/>
      <c r="B14" s="98"/>
      <c r="C14" s="44" t="s">
        <v>19</v>
      </c>
      <c r="D14" s="58"/>
      <c r="E14" s="36"/>
      <c r="F14" s="36"/>
      <c r="G14" s="37"/>
      <c r="I14" t="s">
        <v>99</v>
      </c>
    </row>
    <row r="15" spans="1:18" x14ac:dyDescent="0.3">
      <c r="A15" s="16"/>
      <c r="B15" s="70" t="s">
        <v>77</v>
      </c>
      <c r="C15" s="47" t="s">
        <v>20</v>
      </c>
      <c r="D15" s="48" t="s">
        <v>18</v>
      </c>
      <c r="E15" s="36"/>
      <c r="F15" s="36"/>
      <c r="G15" s="37"/>
    </row>
    <row r="16" spans="1:18" x14ac:dyDescent="0.3">
      <c r="A16" s="16"/>
      <c r="B16" s="69">
        <v>1</v>
      </c>
      <c r="C16" s="40">
        <v>130000</v>
      </c>
      <c r="D16" s="53">
        <v>125000</v>
      </c>
      <c r="E16" s="36"/>
      <c r="F16" s="36"/>
      <c r="G16" s="37"/>
      <c r="I16" s="101" t="s">
        <v>90</v>
      </c>
    </row>
    <row r="17" spans="1:14" x14ac:dyDescent="0.3">
      <c r="A17" s="16"/>
      <c r="B17" s="69">
        <v>2</v>
      </c>
      <c r="C17" s="40">
        <v>60000</v>
      </c>
      <c r="D17" s="53">
        <v>85000</v>
      </c>
      <c r="E17" s="36"/>
      <c r="F17" s="36"/>
      <c r="G17" s="37"/>
      <c r="I17" s="101" t="s">
        <v>89</v>
      </c>
    </row>
    <row r="18" spans="1:14" x14ac:dyDescent="0.3">
      <c r="A18" s="16"/>
      <c r="B18" s="69">
        <v>3</v>
      </c>
      <c r="C18" s="40">
        <v>160000</v>
      </c>
      <c r="D18" s="53">
        <v>150000</v>
      </c>
      <c r="E18" s="36"/>
      <c r="F18" s="36"/>
      <c r="G18" s="37"/>
      <c r="I18" s="101" t="s">
        <v>91</v>
      </c>
    </row>
    <row r="19" spans="1:14" x14ac:dyDescent="0.3">
      <c r="A19" s="16"/>
      <c r="B19" s="69">
        <v>4</v>
      </c>
      <c r="C19" s="40">
        <v>200000</v>
      </c>
      <c r="D19" s="53">
        <v>130000</v>
      </c>
      <c r="E19" s="36"/>
      <c r="F19" s="36"/>
      <c r="G19" s="37"/>
    </row>
    <row r="20" spans="1:14" x14ac:dyDescent="0.3">
      <c r="A20" s="16"/>
      <c r="B20" s="69">
        <v>5</v>
      </c>
      <c r="C20" s="40">
        <v>100000</v>
      </c>
      <c r="D20" s="53">
        <v>150000</v>
      </c>
      <c r="E20" s="36"/>
      <c r="F20" s="36"/>
      <c r="G20" s="37"/>
      <c r="I20" s="105" t="s">
        <v>92</v>
      </c>
      <c r="J20" s="18" t="s">
        <v>93</v>
      </c>
      <c r="K20" s="20" t="s">
        <v>94</v>
      </c>
      <c r="L20" s="27" t="s">
        <v>95</v>
      </c>
      <c r="M20" s="27" t="s">
        <v>30</v>
      </c>
      <c r="N20" s="20" t="s">
        <v>31</v>
      </c>
    </row>
    <row r="21" spans="1:14" x14ac:dyDescent="0.3">
      <c r="A21" s="16"/>
      <c r="B21" s="70">
        <v>6</v>
      </c>
      <c r="C21" s="55">
        <v>250000</v>
      </c>
      <c r="D21" s="56">
        <v>175000</v>
      </c>
      <c r="E21" s="36"/>
      <c r="F21" s="36"/>
      <c r="G21" s="37"/>
      <c r="I21" s="103" t="s">
        <v>53</v>
      </c>
      <c r="J21" s="23">
        <f>INDEX($I$7:$I$12,MATCH(1,$L$7:$L$12,0))</f>
        <v>5</v>
      </c>
      <c r="K21" s="83">
        <f>INDEX($I$7:$I$12,MATCH(2,$L$7:$L$12,0))</f>
        <v>2</v>
      </c>
      <c r="L21" s="81">
        <f>SUMPRODUCT(P7:P8,O7:O8)/SUM(P7:P8)</f>
        <v>0.77818035426731069</v>
      </c>
      <c r="M21" s="81">
        <f>SUM(Q7:Q8)/SUM(P7:P8)</f>
        <v>0.56521739130434778</v>
      </c>
      <c r="N21" s="77">
        <f>SUM(Q7:Q8)/SUMPRODUCT(P7:P8,O7:O8)</f>
        <v>0.72633212622866017</v>
      </c>
    </row>
    <row r="22" spans="1:14" x14ac:dyDescent="0.3">
      <c r="A22" s="16"/>
      <c r="B22" s="36"/>
      <c r="C22" s="36"/>
      <c r="D22" s="36"/>
      <c r="E22" s="36"/>
      <c r="F22" s="36"/>
      <c r="G22" s="37"/>
      <c r="I22" s="103" t="s">
        <v>54</v>
      </c>
      <c r="J22" s="23">
        <f>INDEX($I$7:$I$12,MATCH(3,$L$7:$L$12,0))</f>
        <v>1</v>
      </c>
      <c r="K22" s="83">
        <f>INDEX($I$7:$I$12,MATCH(4,$L$7:$L$12,0))</f>
        <v>3</v>
      </c>
      <c r="L22" s="81">
        <f>SUMPRODUCT(P9:P10,O9:O10)/SUM(P9:P10)</f>
        <v>1.0410714285714284</v>
      </c>
      <c r="M22" s="81">
        <f>SUM(Q9:Q10)/SUM(P9:P10)</f>
        <v>0.79166666666666663</v>
      </c>
      <c r="N22" s="77">
        <f>SUM(Q9:Q10)/SUMPRODUCT(P9:P10,O9:O10)</f>
        <v>0.76043453401943972</v>
      </c>
    </row>
    <row r="23" spans="1:14" x14ac:dyDescent="0.3">
      <c r="A23" s="16"/>
      <c r="B23" s="36" t="s">
        <v>78</v>
      </c>
      <c r="C23" s="36"/>
      <c r="D23" s="36"/>
      <c r="E23" s="36"/>
      <c r="F23" s="36"/>
      <c r="G23" s="37"/>
      <c r="I23" s="104" t="s">
        <v>55</v>
      </c>
      <c r="J23" s="25">
        <f>INDEX($I$7:$I$12,MATCH(5,$L$7:$L$12,0))</f>
        <v>6</v>
      </c>
      <c r="K23" s="88">
        <f>INDEX($I$7:$I$12,MATCH(6,$L$7:$L$12,0))</f>
        <v>4</v>
      </c>
      <c r="L23" s="82">
        <f>SUMPRODUCT(P11:P12,O11:O12)/SUM(P11:P12)</f>
        <v>1.3630952380952379</v>
      </c>
      <c r="M23" s="82">
        <f>SUM(Q11:Q12)/SUM(P11:P12)</f>
        <v>1.0714285714285714</v>
      </c>
      <c r="N23" s="78">
        <f>SUM(Q11:Q12)/SUMPRODUCT(P11:P12,O11:O12)</f>
        <v>0.7860262008733625</v>
      </c>
    </row>
    <row r="24" spans="1:14" x14ac:dyDescent="0.3">
      <c r="A24" s="16"/>
      <c r="B24" s="36" t="s">
        <v>79</v>
      </c>
      <c r="C24" s="36"/>
      <c r="D24" s="36"/>
      <c r="E24" s="36"/>
      <c r="F24" s="36"/>
      <c r="G24" s="37"/>
    </row>
    <row r="25" spans="1:14" x14ac:dyDescent="0.3">
      <c r="A25" s="16"/>
      <c r="B25" s="36"/>
      <c r="C25" s="36"/>
      <c r="D25" s="36"/>
      <c r="E25" s="36"/>
      <c r="F25" s="36"/>
      <c r="G25" s="37"/>
      <c r="I25" s="102" t="s">
        <v>97</v>
      </c>
    </row>
    <row r="26" spans="1:14" x14ac:dyDescent="0.3">
      <c r="A26" s="16"/>
      <c r="B26" s="49"/>
      <c r="C26" s="68" t="s">
        <v>51</v>
      </c>
      <c r="D26" s="45" t="s">
        <v>20</v>
      </c>
      <c r="E26" s="36"/>
      <c r="F26" s="36"/>
      <c r="G26" s="37"/>
    </row>
    <row r="27" spans="1:14" x14ac:dyDescent="0.3">
      <c r="A27" s="16"/>
      <c r="B27" s="54" t="s">
        <v>77</v>
      </c>
      <c r="C27" s="70" t="s">
        <v>52</v>
      </c>
      <c r="D27" s="48" t="s">
        <v>80</v>
      </c>
      <c r="E27" s="36"/>
      <c r="F27" s="36"/>
      <c r="G27" s="37"/>
      <c r="I27" t="s">
        <v>100</v>
      </c>
    </row>
    <row r="28" spans="1:14" x14ac:dyDescent="0.3">
      <c r="A28" s="16"/>
      <c r="B28" s="52">
        <v>1</v>
      </c>
      <c r="C28" s="99">
        <v>50000</v>
      </c>
      <c r="D28" s="53">
        <v>35000</v>
      </c>
      <c r="E28" s="36"/>
      <c r="F28" s="36"/>
      <c r="G28" s="37"/>
      <c r="I28" t="s">
        <v>101</v>
      </c>
    </row>
    <row r="29" spans="1:14" x14ac:dyDescent="0.3">
      <c r="A29" s="16"/>
      <c r="B29" s="52">
        <v>2</v>
      </c>
      <c r="C29" s="99">
        <v>50000</v>
      </c>
      <c r="D29" s="53">
        <v>25000</v>
      </c>
      <c r="E29" s="36"/>
      <c r="F29" s="36"/>
      <c r="G29" s="37"/>
      <c r="I29" t="s">
        <v>102</v>
      </c>
    </row>
    <row r="30" spans="1:14" x14ac:dyDescent="0.3">
      <c r="A30" s="16"/>
      <c r="B30" s="52">
        <v>3</v>
      </c>
      <c r="C30" s="99">
        <v>70000</v>
      </c>
      <c r="D30" s="53">
        <v>60000</v>
      </c>
      <c r="E30" s="36"/>
      <c r="F30" s="36"/>
      <c r="G30" s="37"/>
    </row>
    <row r="31" spans="1:14" x14ac:dyDescent="0.3">
      <c r="A31" s="16"/>
      <c r="B31" s="52">
        <v>4</v>
      </c>
      <c r="C31" s="99">
        <v>75000</v>
      </c>
      <c r="D31" s="53">
        <v>50000</v>
      </c>
      <c r="E31" s="36"/>
      <c r="F31" s="36"/>
      <c r="G31" s="37"/>
      <c r="H31" t="s">
        <v>38</v>
      </c>
      <c r="I31" t="s">
        <v>103</v>
      </c>
    </row>
    <row r="32" spans="1:14" x14ac:dyDescent="0.3">
      <c r="A32" s="16"/>
      <c r="B32" s="52">
        <v>5</v>
      </c>
      <c r="C32" s="99">
        <v>65000</v>
      </c>
      <c r="D32" s="53">
        <v>40000</v>
      </c>
      <c r="E32" s="36"/>
      <c r="F32" s="36"/>
      <c r="G32" s="37"/>
    </row>
    <row r="33" spans="1:7" x14ac:dyDescent="0.3">
      <c r="A33" s="16"/>
      <c r="B33" s="54">
        <v>6</v>
      </c>
      <c r="C33" s="100">
        <v>65000</v>
      </c>
      <c r="D33" s="56">
        <v>100000</v>
      </c>
      <c r="E33" s="36"/>
      <c r="F33" s="36"/>
      <c r="G33" s="37"/>
    </row>
    <row r="34" spans="1:7" x14ac:dyDescent="0.3">
      <c r="A34" s="16"/>
      <c r="B34" s="36"/>
      <c r="C34" s="36"/>
      <c r="D34" s="36"/>
      <c r="E34" s="36"/>
      <c r="F34" s="36"/>
      <c r="G34" s="37"/>
    </row>
    <row r="35" spans="1:7" x14ac:dyDescent="0.3">
      <c r="A35" s="63" t="s">
        <v>10</v>
      </c>
      <c r="B35" s="36" t="s">
        <v>81</v>
      </c>
      <c r="C35" s="36"/>
      <c r="D35" s="36"/>
      <c r="E35" s="36"/>
      <c r="F35" s="36"/>
      <c r="G35" s="37"/>
    </row>
    <row r="36" spans="1:7" x14ac:dyDescent="0.3">
      <c r="A36" s="16"/>
      <c r="B36" s="36" t="s">
        <v>83</v>
      </c>
      <c r="C36" s="36"/>
      <c r="D36" s="36"/>
      <c r="E36" s="36"/>
      <c r="F36" s="36"/>
      <c r="G36" s="37"/>
    </row>
    <row r="37" spans="1:7" x14ac:dyDescent="0.3">
      <c r="A37" s="16"/>
      <c r="B37" s="36" t="s">
        <v>82</v>
      </c>
      <c r="C37" s="36"/>
      <c r="D37" s="36"/>
      <c r="E37" s="36"/>
      <c r="F37" s="36"/>
      <c r="G37" s="37"/>
    </row>
    <row r="38" spans="1:7" x14ac:dyDescent="0.3">
      <c r="A38" s="16"/>
      <c r="B38" s="36"/>
      <c r="C38" s="36"/>
      <c r="D38" s="36"/>
      <c r="E38" s="36"/>
      <c r="F38" s="36"/>
      <c r="G38" s="37"/>
    </row>
    <row r="39" spans="1:7" x14ac:dyDescent="0.3">
      <c r="A39" s="16"/>
      <c r="B39" s="36" t="s">
        <v>84</v>
      </c>
      <c r="C39" s="36"/>
      <c r="D39" s="36"/>
      <c r="E39" s="36"/>
      <c r="F39" s="36"/>
      <c r="G39" s="37"/>
    </row>
    <row r="40" spans="1:7" ht="15" thickBot="1" x14ac:dyDescent="0.35">
      <c r="A40" s="17"/>
      <c r="B40" s="41" t="s">
        <v>85</v>
      </c>
      <c r="C40" s="41"/>
      <c r="D40" s="41"/>
      <c r="E40" s="41"/>
      <c r="F40" s="41"/>
      <c r="G40" s="42"/>
    </row>
  </sheetData>
  <mergeCells count="1">
    <mergeCell ref="F1:G1"/>
  </mergeCells>
  <hyperlinks>
    <hyperlink ref="F1" location="TOC!A1" display="Return to TOC" xr:uid="{494CEC0B-8F28-4096-8E4F-647E2053C8F6}"/>
  </hyperlink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75E2F-5316-4409-BB45-E4F63B2AFAA2}">
  <dimension ref="A1:R34"/>
  <sheetViews>
    <sheetView workbookViewId="0"/>
  </sheetViews>
  <sheetFormatPr defaultRowHeight="14.4" x14ac:dyDescent="0.3"/>
  <cols>
    <col min="1" max="1" width="13.33203125" bestFit="1" customWidth="1"/>
    <col min="4" max="4" width="9.21875" customWidth="1"/>
    <col min="10" max="10" width="3.77734375" customWidth="1"/>
    <col min="15" max="15" width="16" bestFit="1" customWidth="1"/>
  </cols>
  <sheetData>
    <row r="1" spans="1:18" x14ac:dyDescent="0.3">
      <c r="A1" s="6" t="s">
        <v>4</v>
      </c>
      <c r="B1" s="7" t="s">
        <v>946</v>
      </c>
      <c r="C1" s="7"/>
      <c r="D1" s="7"/>
      <c r="E1" s="7"/>
      <c r="F1" s="7"/>
      <c r="G1" s="7"/>
      <c r="H1" s="490" t="s">
        <v>5</v>
      </c>
      <c r="I1" s="491"/>
      <c r="J1" s="185"/>
      <c r="K1" s="10" t="s">
        <v>6</v>
      </c>
    </row>
    <row r="2" spans="1:18" x14ac:dyDescent="0.3">
      <c r="A2" s="11" t="s">
        <v>7</v>
      </c>
      <c r="B2" s="33" t="s">
        <v>1041</v>
      </c>
      <c r="C2" s="33"/>
      <c r="D2" s="33"/>
      <c r="E2" s="33"/>
      <c r="F2" s="33"/>
      <c r="G2" s="33"/>
      <c r="H2" s="33"/>
      <c r="I2" s="12"/>
      <c r="J2" s="185" t="s">
        <v>28</v>
      </c>
      <c r="K2" s="185"/>
      <c r="L2" s="185"/>
      <c r="M2" s="185"/>
      <c r="N2" s="185"/>
      <c r="O2" s="185"/>
      <c r="P2" s="185"/>
      <c r="Q2" s="185"/>
      <c r="R2" s="185"/>
    </row>
    <row r="3" spans="1:18" x14ac:dyDescent="0.3">
      <c r="A3" s="11" t="s">
        <v>8</v>
      </c>
      <c r="B3" s="33" t="s">
        <v>968</v>
      </c>
      <c r="C3" s="33"/>
      <c r="D3" s="33"/>
      <c r="E3" s="33"/>
      <c r="F3" s="33"/>
      <c r="G3" s="33"/>
      <c r="H3" s="33"/>
      <c r="I3" s="12"/>
      <c r="J3" s="185"/>
      <c r="K3" s="185"/>
      <c r="L3" s="185"/>
      <c r="M3" s="185"/>
      <c r="N3" s="185"/>
      <c r="O3" s="185"/>
      <c r="P3" s="185"/>
      <c r="Q3" s="185"/>
      <c r="R3" s="185"/>
    </row>
    <row r="4" spans="1:18" x14ac:dyDescent="0.3">
      <c r="A4" s="13"/>
      <c r="B4" s="34"/>
      <c r="C4" s="34"/>
      <c r="D4" s="34"/>
      <c r="E4" s="34"/>
      <c r="F4" s="34"/>
      <c r="G4" s="34"/>
      <c r="H4" s="34"/>
      <c r="I4" s="14"/>
      <c r="J4" s="185"/>
      <c r="K4" s="185" t="s">
        <v>1058</v>
      </c>
      <c r="L4" s="188">
        <f>(B7-B8)/B7</f>
        <v>0.2857142857142857</v>
      </c>
      <c r="M4" s="185"/>
      <c r="N4" s="185"/>
      <c r="O4" s="185"/>
      <c r="P4" s="185"/>
      <c r="Q4" s="185"/>
      <c r="R4" s="185"/>
    </row>
    <row r="5" spans="1:18" x14ac:dyDescent="0.3">
      <c r="A5" s="15" t="s">
        <v>9</v>
      </c>
      <c r="B5" s="36" t="s">
        <v>1042</v>
      </c>
      <c r="C5" s="36"/>
      <c r="D5" s="36"/>
      <c r="E5" s="36"/>
      <c r="F5" s="36"/>
      <c r="G5" s="36"/>
      <c r="H5" s="33"/>
      <c r="I5" s="12"/>
      <c r="J5" s="185"/>
      <c r="K5" s="185"/>
      <c r="L5" s="185"/>
      <c r="M5" s="185"/>
      <c r="N5" s="185"/>
      <c r="O5" s="185"/>
      <c r="P5" s="185"/>
      <c r="Q5" s="185"/>
      <c r="R5" s="185"/>
    </row>
    <row r="6" spans="1:18" x14ac:dyDescent="0.3">
      <c r="A6" s="16"/>
      <c r="B6" s="116">
        <v>300000</v>
      </c>
      <c r="C6" s="43" t="s">
        <v>1043</v>
      </c>
      <c r="D6" s="117"/>
      <c r="E6" s="117"/>
      <c r="F6" s="118"/>
      <c r="G6" s="36"/>
      <c r="H6" s="36"/>
      <c r="I6" s="37"/>
      <c r="K6" s="185"/>
      <c r="L6" s="185"/>
      <c r="M6" s="185"/>
      <c r="N6" s="185"/>
      <c r="O6" s="185"/>
      <c r="P6" s="185"/>
      <c r="Q6" s="185"/>
      <c r="R6" s="185"/>
    </row>
    <row r="7" spans="1:18" x14ac:dyDescent="0.3">
      <c r="A7" s="16"/>
      <c r="B7" s="71">
        <v>700000</v>
      </c>
      <c r="C7" s="267" t="s">
        <v>1044</v>
      </c>
      <c r="D7" s="36"/>
      <c r="E7" s="36"/>
      <c r="F7" s="119"/>
      <c r="G7" s="36"/>
      <c r="H7" s="36"/>
      <c r="I7" s="37"/>
      <c r="K7" s="185"/>
      <c r="L7" s="185"/>
      <c r="M7" s="185"/>
      <c r="N7" s="185"/>
      <c r="O7" s="185"/>
      <c r="P7" s="185"/>
      <c r="Q7" s="185"/>
      <c r="R7" s="185"/>
    </row>
    <row r="8" spans="1:18" x14ac:dyDescent="0.3">
      <c r="A8" s="16"/>
      <c r="B8" s="71">
        <v>500000</v>
      </c>
      <c r="C8" s="267" t="s">
        <v>1045</v>
      </c>
      <c r="D8" s="36"/>
      <c r="E8" s="36"/>
      <c r="F8" s="119"/>
      <c r="G8" s="36"/>
      <c r="H8" s="36"/>
      <c r="I8" s="37"/>
      <c r="K8" s="185" t="s">
        <v>1059</v>
      </c>
      <c r="L8" s="295">
        <f>(1+0.8*L4)/(1-L4)</f>
        <v>1.72</v>
      </c>
      <c r="M8" s="185"/>
      <c r="N8" s="185"/>
      <c r="O8" s="185"/>
      <c r="P8" s="185"/>
      <c r="Q8" s="185"/>
      <c r="R8" s="185"/>
    </row>
    <row r="9" spans="1:18" x14ac:dyDescent="0.3">
      <c r="A9" s="16"/>
      <c r="B9" s="71">
        <v>800000</v>
      </c>
      <c r="C9" s="267" t="s">
        <v>1046</v>
      </c>
      <c r="D9" s="36"/>
      <c r="E9" s="36"/>
      <c r="F9" s="119"/>
      <c r="G9" s="36"/>
      <c r="H9" s="36"/>
      <c r="I9" s="37"/>
      <c r="K9" s="185"/>
      <c r="L9" s="185"/>
      <c r="M9" s="185"/>
      <c r="N9" s="185"/>
      <c r="O9" s="185"/>
      <c r="P9" s="185"/>
      <c r="Q9" s="185"/>
      <c r="R9" s="185"/>
    </row>
    <row r="10" spans="1:18" x14ac:dyDescent="0.3">
      <c r="A10" s="16"/>
      <c r="B10" s="74">
        <v>0.95</v>
      </c>
      <c r="C10" s="268" t="s">
        <v>1047</v>
      </c>
      <c r="D10" s="120"/>
      <c r="E10" s="120"/>
      <c r="F10" s="121"/>
      <c r="G10" s="36"/>
      <c r="H10" s="36"/>
      <c r="I10" s="37"/>
      <c r="K10" s="185" t="s">
        <v>1060</v>
      </c>
      <c r="L10" s="185"/>
      <c r="M10" s="185"/>
      <c r="N10" s="185"/>
      <c r="O10" s="331">
        <f>B7*B10*L8</f>
        <v>1143800</v>
      </c>
      <c r="P10" s="185"/>
      <c r="Q10" s="185"/>
      <c r="R10" s="185"/>
    </row>
    <row r="11" spans="1:18" x14ac:dyDescent="0.3">
      <c r="A11" s="16"/>
      <c r="B11" s="36"/>
      <c r="C11" s="36"/>
      <c r="D11" s="36"/>
      <c r="E11" s="36"/>
      <c r="F11" s="36"/>
      <c r="G11" s="36"/>
      <c r="H11" s="36"/>
      <c r="I11" s="37"/>
      <c r="K11" s="185" t="s">
        <v>1061</v>
      </c>
      <c r="L11" s="185"/>
      <c r="M11" s="185"/>
      <c r="N11" s="185"/>
      <c r="O11" s="185"/>
      <c r="P11" s="185"/>
      <c r="Q11" s="185"/>
      <c r="R11" s="185"/>
    </row>
    <row r="12" spans="1:18" x14ac:dyDescent="0.3">
      <c r="A12" s="16"/>
      <c r="B12" s="338" t="s">
        <v>1048</v>
      </c>
      <c r="C12" s="338"/>
      <c r="D12" s="338"/>
      <c r="E12" s="338"/>
      <c r="F12" s="36"/>
      <c r="G12" s="36"/>
      <c r="H12" s="36"/>
      <c r="I12" s="37"/>
      <c r="K12" s="185"/>
      <c r="L12" s="185"/>
      <c r="M12" s="185"/>
      <c r="N12" s="185"/>
      <c r="O12" s="185"/>
      <c r="P12" s="185"/>
      <c r="Q12" s="185"/>
      <c r="R12" s="185"/>
    </row>
    <row r="13" spans="1:18" x14ac:dyDescent="0.3">
      <c r="A13" s="16"/>
      <c r="B13" s="168" t="s">
        <v>1049</v>
      </c>
      <c r="C13" s="415" t="s">
        <v>1050</v>
      </c>
      <c r="D13" s="415"/>
      <c r="E13" s="416"/>
      <c r="F13" s="36"/>
      <c r="G13" s="36"/>
      <c r="H13" s="36"/>
      <c r="I13" s="37"/>
      <c r="K13" s="185" t="s">
        <v>1062</v>
      </c>
      <c r="L13" s="185"/>
      <c r="M13" s="185"/>
      <c r="N13" s="185"/>
      <c r="O13" s="185"/>
      <c r="P13" s="185"/>
      <c r="Q13" s="185"/>
      <c r="R13" s="185"/>
    </row>
    <row r="14" spans="1:18" x14ac:dyDescent="0.3">
      <c r="A14" s="16"/>
      <c r="B14" s="69">
        <v>31</v>
      </c>
      <c r="C14" s="59">
        <v>630001</v>
      </c>
      <c r="D14" s="435" t="s">
        <v>977</v>
      </c>
      <c r="E14" s="51">
        <v>720000</v>
      </c>
      <c r="F14" s="36"/>
      <c r="G14" s="36"/>
      <c r="H14" s="36"/>
      <c r="I14" s="37"/>
      <c r="K14" s="438">
        <f>B9/B8</f>
        <v>1.6</v>
      </c>
      <c r="L14" s="185"/>
      <c r="M14" s="185"/>
      <c r="N14" s="185"/>
      <c r="O14" s="185"/>
      <c r="P14" s="185"/>
      <c r="Q14" s="185"/>
      <c r="R14" s="185"/>
    </row>
    <row r="15" spans="1:18" x14ac:dyDescent="0.3">
      <c r="A15" s="16"/>
      <c r="B15" s="69">
        <v>30</v>
      </c>
      <c r="C15" s="60">
        <f t="shared" ref="C15:C18" si="0">E14+1</f>
        <v>720001</v>
      </c>
      <c r="D15" s="436" t="s">
        <v>977</v>
      </c>
      <c r="E15" s="53">
        <v>830000</v>
      </c>
      <c r="F15" s="36"/>
      <c r="G15" s="36"/>
      <c r="H15" s="36"/>
      <c r="I15" s="37"/>
      <c r="K15" s="185"/>
      <c r="L15" s="185"/>
      <c r="M15" s="185"/>
      <c r="N15" s="185"/>
      <c r="O15" s="185"/>
      <c r="P15" s="185"/>
      <c r="Q15" s="185"/>
      <c r="R15" s="185"/>
    </row>
    <row r="16" spans="1:18" x14ac:dyDescent="0.3">
      <c r="A16" s="16"/>
      <c r="B16" s="69">
        <v>29</v>
      </c>
      <c r="C16" s="60">
        <f t="shared" si="0"/>
        <v>830001</v>
      </c>
      <c r="D16" s="436" t="s">
        <v>977</v>
      </c>
      <c r="E16" s="53">
        <v>990000</v>
      </c>
      <c r="F16" s="36"/>
      <c r="G16" s="36"/>
      <c r="H16" s="36"/>
      <c r="I16" s="37"/>
      <c r="K16" s="185" t="s">
        <v>1063</v>
      </c>
      <c r="L16" s="185"/>
      <c r="M16" s="185"/>
      <c r="N16" s="185"/>
      <c r="O16" s="185"/>
      <c r="P16" s="185"/>
      <c r="Q16" s="185"/>
      <c r="R16" s="185"/>
    </row>
    <row r="17" spans="1:18" x14ac:dyDescent="0.3">
      <c r="A17" s="16"/>
      <c r="B17" s="69">
        <v>28</v>
      </c>
      <c r="C17" s="60">
        <f t="shared" si="0"/>
        <v>990001</v>
      </c>
      <c r="D17" s="436" t="s">
        <v>977</v>
      </c>
      <c r="E17" s="53">
        <v>1180000</v>
      </c>
      <c r="F17" s="36"/>
      <c r="G17" s="36"/>
      <c r="H17" s="36"/>
      <c r="I17" s="37"/>
      <c r="K17" s="396">
        <f>F27</f>
        <v>0.13220000000000001</v>
      </c>
      <c r="L17" s="185"/>
      <c r="M17" s="185"/>
      <c r="N17" s="185"/>
      <c r="O17" s="185"/>
      <c r="P17" s="185"/>
      <c r="Q17" s="185"/>
      <c r="R17" s="185"/>
    </row>
    <row r="18" spans="1:18" x14ac:dyDescent="0.3">
      <c r="A18" s="16"/>
      <c r="B18" s="69">
        <v>27</v>
      </c>
      <c r="C18" s="60">
        <f t="shared" si="0"/>
        <v>1180001</v>
      </c>
      <c r="D18" s="436" t="s">
        <v>977</v>
      </c>
      <c r="E18" s="53">
        <v>1415000</v>
      </c>
      <c r="F18" s="36"/>
      <c r="G18" s="36"/>
      <c r="H18" s="36"/>
      <c r="I18" s="37"/>
      <c r="K18" s="185"/>
      <c r="L18" s="185"/>
      <c r="M18" s="185"/>
      <c r="N18" s="185"/>
      <c r="O18" s="185"/>
      <c r="P18" s="185"/>
      <c r="Q18" s="185"/>
      <c r="R18" s="185"/>
    </row>
    <row r="19" spans="1:18" x14ac:dyDescent="0.3">
      <c r="A19" s="16"/>
      <c r="B19" s="70">
        <v>26</v>
      </c>
      <c r="C19" s="61">
        <f>E18+1</f>
        <v>1415001</v>
      </c>
      <c r="D19" s="437" t="s">
        <v>977</v>
      </c>
      <c r="E19" s="56">
        <v>1744000</v>
      </c>
      <c r="F19" s="36"/>
      <c r="G19" s="36"/>
      <c r="H19" s="36"/>
      <c r="I19" s="37"/>
      <c r="K19" s="185" t="s">
        <v>1064</v>
      </c>
      <c r="L19" s="185"/>
      <c r="M19" s="185"/>
      <c r="N19" s="185"/>
      <c r="O19" s="185"/>
      <c r="P19" s="185"/>
      <c r="Q19" s="185"/>
      <c r="R19" s="185"/>
    </row>
    <row r="20" spans="1:18" x14ac:dyDescent="0.3">
      <c r="A20" s="16"/>
      <c r="B20" s="36"/>
      <c r="C20" s="36"/>
      <c r="D20" s="36"/>
      <c r="E20" s="36"/>
      <c r="F20" s="36"/>
      <c r="G20" s="36"/>
      <c r="H20" s="36"/>
      <c r="I20" s="37"/>
      <c r="K20" s="432">
        <f>(B7-B8)+B8*K17</f>
        <v>266100</v>
      </c>
      <c r="L20" s="185"/>
      <c r="M20" s="185"/>
      <c r="N20" s="185"/>
      <c r="O20" s="185"/>
      <c r="P20" s="185"/>
      <c r="Q20" s="185"/>
      <c r="R20" s="185"/>
    </row>
    <row r="21" spans="1:18" x14ac:dyDescent="0.3">
      <c r="A21" s="16"/>
      <c r="B21" s="338"/>
      <c r="C21" s="338" t="s">
        <v>1051</v>
      </c>
      <c r="D21" s="338"/>
      <c r="E21" s="338"/>
      <c r="F21" s="338"/>
      <c r="G21" s="338"/>
      <c r="H21" s="338"/>
      <c r="I21" s="37"/>
      <c r="K21" s="185"/>
      <c r="L21" s="185"/>
      <c r="M21" s="185"/>
      <c r="N21" s="185"/>
      <c r="O21" s="185"/>
      <c r="P21" s="185"/>
      <c r="Q21" s="185"/>
      <c r="R21" s="185"/>
    </row>
    <row r="22" spans="1:18" x14ac:dyDescent="0.3">
      <c r="A22" s="16"/>
      <c r="B22" s="68" t="s">
        <v>1053</v>
      </c>
      <c r="C22" s="57" t="s">
        <v>976</v>
      </c>
      <c r="D22" s="44"/>
      <c r="E22" s="44"/>
      <c r="F22" s="44"/>
      <c r="G22" s="44"/>
      <c r="H22" s="58"/>
      <c r="I22" s="37"/>
      <c r="K22" s="185" t="s">
        <v>1065</v>
      </c>
      <c r="L22" s="185"/>
      <c r="M22" s="185"/>
      <c r="N22" s="185"/>
      <c r="O22" s="185"/>
      <c r="P22" s="185"/>
      <c r="Q22" s="185"/>
      <c r="R22" s="185"/>
    </row>
    <row r="23" spans="1:18" x14ac:dyDescent="0.3">
      <c r="A23" s="16"/>
      <c r="B23" s="70" t="s">
        <v>1052</v>
      </c>
      <c r="C23" s="54">
        <v>31</v>
      </c>
      <c r="D23" s="47">
        <v>30</v>
      </c>
      <c r="E23" s="47">
        <v>29</v>
      </c>
      <c r="F23" s="47">
        <v>28</v>
      </c>
      <c r="G23" s="47">
        <v>27</v>
      </c>
      <c r="H23" s="48">
        <v>26</v>
      </c>
      <c r="I23" s="37"/>
      <c r="K23" s="185" t="s">
        <v>1066</v>
      </c>
      <c r="L23" s="185"/>
      <c r="M23" s="185"/>
      <c r="N23" s="185"/>
      <c r="O23" s="185"/>
      <c r="P23" s="185"/>
      <c r="Q23" s="185"/>
      <c r="R23" s="185"/>
    </row>
    <row r="24" spans="1:18" x14ac:dyDescent="0.3">
      <c r="A24" s="16"/>
      <c r="B24" s="184">
        <v>0.43</v>
      </c>
      <c r="C24" s="417">
        <v>0.5675</v>
      </c>
      <c r="D24" s="418">
        <v>0.56259999999999999</v>
      </c>
      <c r="E24" s="418">
        <v>0.55840000000000001</v>
      </c>
      <c r="F24" s="418">
        <v>0.55430000000000001</v>
      </c>
      <c r="G24" s="418">
        <v>0.54969999999999997</v>
      </c>
      <c r="H24" s="419">
        <v>0.54559999999999997</v>
      </c>
      <c r="I24" s="37"/>
      <c r="K24" s="185" t="s">
        <v>1067</v>
      </c>
      <c r="L24" s="185"/>
      <c r="M24" s="185"/>
      <c r="N24" s="185"/>
      <c r="O24" s="185"/>
      <c r="P24" s="185"/>
      <c r="Q24" s="185"/>
      <c r="R24" s="185"/>
    </row>
    <row r="25" spans="1:18" x14ac:dyDescent="0.3">
      <c r="A25" s="16"/>
      <c r="B25" s="73">
        <v>0.6</v>
      </c>
      <c r="C25" s="420">
        <v>0.48649999999999999</v>
      </c>
      <c r="D25" s="421">
        <v>0.47989999999999999</v>
      </c>
      <c r="E25" s="421">
        <v>0.47370000000000001</v>
      </c>
      <c r="F25" s="421">
        <v>0.46760000000000002</v>
      </c>
      <c r="G25" s="421">
        <v>0.46129999999999999</v>
      </c>
      <c r="H25" s="422">
        <v>0.45529999999999998</v>
      </c>
      <c r="I25" s="37"/>
      <c r="K25" s="185" t="s">
        <v>1068</v>
      </c>
      <c r="L25" s="185"/>
      <c r="M25" s="185"/>
      <c r="N25" s="185"/>
      <c r="O25" s="185"/>
      <c r="P25" s="185"/>
      <c r="Q25" s="185"/>
      <c r="R25" s="185"/>
    </row>
    <row r="26" spans="1:18" x14ac:dyDescent="0.3">
      <c r="A26" s="16"/>
      <c r="B26" s="73">
        <v>1.1399999999999999</v>
      </c>
      <c r="C26" s="420">
        <v>0.26579999999999998</v>
      </c>
      <c r="D26" s="421">
        <v>0.25519999999999998</v>
      </c>
      <c r="E26" s="421">
        <v>0.24479999999999999</v>
      </c>
      <c r="F26" s="421">
        <v>0.2341</v>
      </c>
      <c r="G26" s="421">
        <v>0.22339999999999999</v>
      </c>
      <c r="H26" s="422">
        <v>0.21279999999999999</v>
      </c>
      <c r="I26" s="37"/>
      <c r="K26" s="185" t="s">
        <v>1069</v>
      </c>
      <c r="L26" s="185"/>
      <c r="M26" s="185"/>
      <c r="N26" s="185"/>
      <c r="O26" s="185"/>
      <c r="P26" s="185"/>
      <c r="Q26" s="185"/>
      <c r="R26" s="185"/>
    </row>
    <row r="27" spans="1:18" x14ac:dyDescent="0.3">
      <c r="A27" s="16"/>
      <c r="B27" s="73">
        <v>1.6</v>
      </c>
      <c r="C27" s="420">
        <v>0.16439999999999999</v>
      </c>
      <c r="D27" s="421">
        <v>0.1537</v>
      </c>
      <c r="E27" s="421">
        <v>0.13669999999999999</v>
      </c>
      <c r="F27" s="421">
        <v>0.13220000000000001</v>
      </c>
      <c r="G27" s="421">
        <v>0.1215</v>
      </c>
      <c r="H27" s="422">
        <v>0.11070000000000001</v>
      </c>
      <c r="I27" s="37"/>
      <c r="K27" s="185" t="s">
        <v>1070</v>
      </c>
      <c r="L27" s="185"/>
      <c r="M27" s="185"/>
      <c r="N27" s="185"/>
      <c r="O27" s="185"/>
      <c r="P27" s="185"/>
      <c r="Q27" s="185"/>
      <c r="R27" s="185"/>
    </row>
    <row r="28" spans="1:18" x14ac:dyDescent="0.3">
      <c r="A28" s="16"/>
      <c r="B28" s="74">
        <v>2.67</v>
      </c>
      <c r="C28" s="423">
        <v>8.2199999999999995E-2</v>
      </c>
      <c r="D28" s="424">
        <v>7.6899999999999996E-2</v>
      </c>
      <c r="E28" s="424">
        <v>6.8400000000000002E-2</v>
      </c>
      <c r="F28" s="424">
        <v>6.6100000000000006E-2</v>
      </c>
      <c r="G28" s="424">
        <v>6.08E-2</v>
      </c>
      <c r="H28" s="425">
        <v>5.5399999999999998E-2</v>
      </c>
      <c r="I28" s="37"/>
      <c r="K28" s="185" t="s">
        <v>1071</v>
      </c>
      <c r="L28" s="185"/>
      <c r="M28" s="185"/>
      <c r="N28" s="185"/>
      <c r="O28" s="185"/>
      <c r="P28" s="185"/>
      <c r="Q28" s="185"/>
      <c r="R28" s="185"/>
    </row>
    <row r="29" spans="1:18" x14ac:dyDescent="0.3">
      <c r="A29" s="16"/>
      <c r="B29" s="36"/>
      <c r="C29" s="36"/>
      <c r="D29" s="36"/>
      <c r="E29" s="36"/>
      <c r="F29" s="36"/>
      <c r="G29" s="36"/>
      <c r="H29" s="36"/>
      <c r="I29" s="37"/>
      <c r="K29" s="185"/>
      <c r="L29" s="185"/>
      <c r="M29" s="185"/>
      <c r="N29" s="185"/>
      <c r="O29" s="185"/>
      <c r="P29" s="185"/>
      <c r="Q29" s="185"/>
      <c r="R29" s="185"/>
    </row>
    <row r="30" spans="1:18" x14ac:dyDescent="0.3">
      <c r="A30" s="63" t="s">
        <v>10</v>
      </c>
      <c r="B30" s="36" t="s">
        <v>1054</v>
      </c>
      <c r="C30" s="36"/>
      <c r="D30" s="36"/>
      <c r="E30" s="36"/>
      <c r="F30" s="36"/>
      <c r="G30" s="36"/>
      <c r="H30" s="36"/>
      <c r="I30" s="37"/>
    </row>
    <row r="31" spans="1:18" x14ac:dyDescent="0.3">
      <c r="A31" s="16"/>
      <c r="B31" s="36" t="s">
        <v>1055</v>
      </c>
      <c r="C31" s="36"/>
      <c r="D31" s="36"/>
      <c r="E31" s="36"/>
      <c r="F31" s="36"/>
      <c r="G31" s="36"/>
      <c r="H31" s="36"/>
      <c r="I31" s="37"/>
    </row>
    <row r="32" spans="1:18" x14ac:dyDescent="0.3">
      <c r="A32" s="16"/>
      <c r="B32" s="36"/>
      <c r="C32" s="36"/>
      <c r="D32" s="36"/>
      <c r="E32" s="36"/>
      <c r="F32" s="36"/>
      <c r="G32" s="36"/>
      <c r="H32" s="36"/>
      <c r="I32" s="37"/>
    </row>
    <row r="33" spans="1:9" x14ac:dyDescent="0.3">
      <c r="A33" s="16"/>
      <c r="B33" s="36" t="s">
        <v>1056</v>
      </c>
      <c r="C33" s="36"/>
      <c r="D33" s="36"/>
      <c r="E33" s="36"/>
      <c r="F33" s="36"/>
      <c r="G33" s="36"/>
      <c r="H33" s="36"/>
      <c r="I33" s="37"/>
    </row>
    <row r="34" spans="1:9" ht="15" thickBot="1" x14ac:dyDescent="0.35">
      <c r="A34" s="17"/>
      <c r="B34" s="41" t="s">
        <v>1057</v>
      </c>
      <c r="C34" s="41"/>
      <c r="D34" s="41"/>
      <c r="E34" s="41"/>
      <c r="F34" s="41"/>
      <c r="G34" s="41"/>
      <c r="H34" s="41"/>
      <c r="I34" s="42"/>
    </row>
  </sheetData>
  <mergeCells count="1">
    <mergeCell ref="H1:I1"/>
  </mergeCells>
  <hyperlinks>
    <hyperlink ref="H1" location="TOC!A1" display="Return to TOC" xr:uid="{260C0B24-6924-41BC-8C28-1B56F0F2654F}"/>
  </hyperlinks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48A23-9AF0-4104-89EE-7CB8CF6D31A7}">
  <dimension ref="A1:Q27"/>
  <sheetViews>
    <sheetView workbookViewId="0"/>
  </sheetViews>
  <sheetFormatPr defaultRowHeight="14.4" x14ac:dyDescent="0.3"/>
  <cols>
    <col min="1" max="1" width="13.33203125" bestFit="1" customWidth="1"/>
    <col min="5" max="5" width="9.33203125" bestFit="1" customWidth="1"/>
    <col min="8" max="8" width="4.44140625" customWidth="1"/>
    <col min="9" max="9" width="3.77734375" customWidth="1"/>
  </cols>
  <sheetData>
    <row r="1" spans="1:17" x14ac:dyDescent="0.3">
      <c r="A1" s="6" t="s">
        <v>4</v>
      </c>
      <c r="B1" s="7" t="s">
        <v>946</v>
      </c>
      <c r="C1" s="7"/>
      <c r="D1" s="8"/>
      <c r="E1" s="8"/>
      <c r="F1" s="8"/>
      <c r="G1" s="490" t="s">
        <v>5</v>
      </c>
      <c r="H1" s="491"/>
      <c r="I1" s="185"/>
      <c r="J1" s="10" t="s">
        <v>6</v>
      </c>
    </row>
    <row r="2" spans="1:17" x14ac:dyDescent="0.3">
      <c r="A2" s="11" t="s">
        <v>7</v>
      </c>
      <c r="B2" s="33" t="s">
        <v>1401</v>
      </c>
      <c r="C2" s="33"/>
      <c r="D2" s="33"/>
      <c r="E2" s="33"/>
      <c r="F2" s="33"/>
      <c r="G2" s="33"/>
      <c r="H2" s="12"/>
      <c r="I2" s="185" t="s">
        <v>28</v>
      </c>
      <c r="J2" s="469">
        <f>SUMPRODUCT(B14:B24,C14:C24)/SUM(C14:C24)</f>
        <v>0.8</v>
      </c>
      <c r="K2" t="s">
        <v>1012</v>
      </c>
    </row>
    <row r="3" spans="1:17" x14ac:dyDescent="0.3">
      <c r="A3" s="11" t="s">
        <v>8</v>
      </c>
      <c r="B3" s="33" t="s">
        <v>948</v>
      </c>
      <c r="C3" s="33"/>
      <c r="D3" s="33"/>
      <c r="E3" s="33"/>
      <c r="F3" s="33"/>
      <c r="G3" s="33"/>
      <c r="H3" s="12"/>
      <c r="I3" s="185"/>
      <c r="J3" s="185"/>
    </row>
    <row r="4" spans="1:17" x14ac:dyDescent="0.3">
      <c r="A4" s="13"/>
      <c r="B4" s="34"/>
      <c r="C4" s="34"/>
      <c r="D4" s="34"/>
      <c r="E4" s="34"/>
      <c r="F4" s="34"/>
      <c r="G4" s="34"/>
      <c r="H4" s="14"/>
      <c r="I4" s="185"/>
      <c r="J4" s="469">
        <f>SUMPRODUCT(E14:E24,F14:F24)/SUM(F14:F24)</f>
        <v>0.62586206896551722</v>
      </c>
      <c r="K4" t="s">
        <v>1013</v>
      </c>
    </row>
    <row r="5" spans="1:17" x14ac:dyDescent="0.3">
      <c r="A5" s="15" t="s">
        <v>9</v>
      </c>
      <c r="B5" s="33" t="s">
        <v>1428</v>
      </c>
      <c r="C5" s="33"/>
      <c r="D5" s="33"/>
      <c r="E5" s="33"/>
      <c r="F5" s="33"/>
      <c r="G5" s="33"/>
      <c r="H5" s="12"/>
      <c r="I5" s="185"/>
    </row>
    <row r="6" spans="1:17" x14ac:dyDescent="0.3">
      <c r="A6" s="16"/>
      <c r="B6" s="33" t="s">
        <v>1429</v>
      </c>
      <c r="C6" s="36"/>
      <c r="D6" s="36"/>
      <c r="E6" s="36"/>
      <c r="F6" s="36"/>
      <c r="G6" s="36"/>
      <c r="H6" s="37"/>
      <c r="J6" s="469">
        <f>(J2-J4)/J2</f>
        <v>0.21767241379310354</v>
      </c>
      <c r="K6" t="s">
        <v>1014</v>
      </c>
    </row>
    <row r="7" spans="1:17" x14ac:dyDescent="0.3">
      <c r="A7" s="16"/>
      <c r="B7" s="33" t="s">
        <v>1416</v>
      </c>
      <c r="C7" s="36"/>
      <c r="D7" s="36"/>
      <c r="E7" s="36"/>
      <c r="F7" s="36"/>
      <c r="G7" s="36"/>
      <c r="H7" s="37"/>
    </row>
    <row r="8" spans="1:17" x14ac:dyDescent="0.3">
      <c r="A8" s="16"/>
      <c r="B8" s="36"/>
      <c r="C8" s="36"/>
      <c r="D8" s="36"/>
      <c r="E8" s="36"/>
      <c r="F8" s="36"/>
      <c r="G8" s="36"/>
      <c r="H8" s="37"/>
      <c r="J8" s="185" t="s">
        <v>1430</v>
      </c>
    </row>
    <row r="9" spans="1:17" x14ac:dyDescent="0.3">
      <c r="A9" s="16"/>
      <c r="B9" s="33" t="s">
        <v>1417</v>
      </c>
      <c r="C9" s="36"/>
      <c r="D9" s="36"/>
      <c r="E9" s="36"/>
      <c r="F9" s="36"/>
      <c r="G9" s="36"/>
      <c r="H9" s="37"/>
      <c r="J9" s="185"/>
    </row>
    <row r="10" spans="1:17" x14ac:dyDescent="0.3">
      <c r="A10" s="16"/>
      <c r="B10" s="33" t="s">
        <v>1424</v>
      </c>
      <c r="C10" s="36"/>
      <c r="D10" s="36"/>
      <c r="E10" s="36"/>
      <c r="F10" s="36"/>
      <c r="G10" s="36"/>
      <c r="H10" s="37"/>
      <c r="J10" s="474" t="s">
        <v>80</v>
      </c>
      <c r="K10" s="75" t="s">
        <v>1053</v>
      </c>
      <c r="L10" s="75"/>
      <c r="M10" s="75"/>
      <c r="N10" s="75"/>
      <c r="O10" s="89"/>
      <c r="P10" s="474"/>
      <c r="Q10" s="478"/>
    </row>
    <row r="11" spans="1:17" ht="15.6" x14ac:dyDescent="0.35">
      <c r="A11" s="16"/>
      <c r="B11" s="36"/>
      <c r="C11" s="36"/>
      <c r="D11" s="36"/>
      <c r="E11" s="36"/>
      <c r="F11" s="36"/>
      <c r="G11" s="36"/>
      <c r="H11" s="37"/>
      <c r="J11" s="475" t="s">
        <v>1052</v>
      </c>
      <c r="K11" s="87" t="s">
        <v>1052</v>
      </c>
      <c r="L11" s="87" t="s">
        <v>803</v>
      </c>
      <c r="M11" s="87" t="s">
        <v>804</v>
      </c>
      <c r="N11" s="87" t="s">
        <v>805</v>
      </c>
      <c r="O11" s="485" t="s">
        <v>1431</v>
      </c>
      <c r="P11" s="479" t="s">
        <v>1425</v>
      </c>
      <c r="Q11" s="480" t="s">
        <v>1426</v>
      </c>
    </row>
    <row r="12" spans="1:17" x14ac:dyDescent="0.3">
      <c r="A12" s="16"/>
      <c r="B12" s="468" t="s">
        <v>446</v>
      </c>
      <c r="C12" s="45"/>
      <c r="D12" s="36"/>
      <c r="E12" s="468" t="s">
        <v>1374</v>
      </c>
      <c r="F12" s="45"/>
      <c r="G12" s="36"/>
      <c r="H12" s="37"/>
      <c r="J12" s="476">
        <v>0</v>
      </c>
      <c r="K12" s="470">
        <f>J12/$J$2</f>
        <v>0</v>
      </c>
      <c r="L12" s="5">
        <f>SUMIFS($F$14:$F$24,$E$14:$E$24,J12)</f>
        <v>0</v>
      </c>
      <c r="M12" s="5">
        <f>SUM($F$14:$F$24)-SUM(L12:$L$12)</f>
        <v>58</v>
      </c>
      <c r="N12" s="471">
        <f>M12/SUM($F$14:$F$24)</f>
        <v>1</v>
      </c>
      <c r="O12" s="81">
        <f t="shared" ref="O12:O25" si="0">O13+(K13-K12)*N12</f>
        <v>0.78232758620689646</v>
      </c>
      <c r="P12" s="481">
        <f>O12+$J$6</f>
        <v>1</v>
      </c>
      <c r="Q12" s="482">
        <f t="shared" ref="Q12:Q26" si="1">P12+K12-1</f>
        <v>0</v>
      </c>
    </row>
    <row r="13" spans="1:17" x14ac:dyDescent="0.3">
      <c r="A13" s="16"/>
      <c r="B13" s="152" t="s">
        <v>343</v>
      </c>
      <c r="C13" s="48" t="s">
        <v>803</v>
      </c>
      <c r="D13" s="36"/>
      <c r="E13" s="152" t="s">
        <v>343</v>
      </c>
      <c r="F13" s="48" t="s">
        <v>803</v>
      </c>
      <c r="G13" s="36"/>
      <c r="H13" s="37"/>
      <c r="J13" s="476">
        <v>0.1</v>
      </c>
      <c r="K13" s="470">
        <f t="shared" ref="K13:K27" si="2">J13/$J$2</f>
        <v>0.125</v>
      </c>
      <c r="L13" s="5">
        <f t="shared" ref="L13:L27" si="3">SUMIFS($F$14:$F$24,$E$14:$E$24,J13)</f>
        <v>3</v>
      </c>
      <c r="M13" s="5">
        <f>SUM($F$14:$F$24)-SUM(L$12:$L13)</f>
        <v>55</v>
      </c>
      <c r="N13" s="471">
        <f t="shared" ref="N13:N27" si="4">M13/SUM($F$14:$F$24)</f>
        <v>0.94827586206896552</v>
      </c>
      <c r="O13" s="81">
        <f t="shared" si="0"/>
        <v>0.65732758620689646</v>
      </c>
      <c r="P13" s="481">
        <f t="shared" ref="P13:P27" si="5">O13+$J$6</f>
        <v>0.875</v>
      </c>
      <c r="Q13" s="482">
        <f t="shared" si="1"/>
        <v>0</v>
      </c>
    </row>
    <row r="14" spans="1:17" x14ac:dyDescent="0.3">
      <c r="A14" s="16"/>
      <c r="B14" s="235">
        <v>0.2</v>
      </c>
      <c r="C14" s="65">
        <v>1</v>
      </c>
      <c r="D14" s="36"/>
      <c r="E14" s="235">
        <v>0.1</v>
      </c>
      <c r="F14" s="65">
        <v>3</v>
      </c>
      <c r="G14" s="36"/>
      <c r="H14" s="37"/>
      <c r="J14" s="476">
        <v>0.2</v>
      </c>
      <c r="K14" s="470">
        <f t="shared" si="2"/>
        <v>0.25</v>
      </c>
      <c r="L14" s="5">
        <f t="shared" si="3"/>
        <v>9</v>
      </c>
      <c r="M14" s="5">
        <f>SUM($F$14:$F$24)-SUM(L$12:$L14)</f>
        <v>46</v>
      </c>
      <c r="N14" s="471">
        <f t="shared" si="4"/>
        <v>0.7931034482758621</v>
      </c>
      <c r="O14" s="81">
        <f t="shared" si="0"/>
        <v>0.5387931034482758</v>
      </c>
      <c r="P14" s="481">
        <f t="shared" si="5"/>
        <v>0.75646551724137934</v>
      </c>
      <c r="Q14" s="482">
        <f t="shared" si="1"/>
        <v>6.4655172413794482E-3</v>
      </c>
    </row>
    <row r="15" spans="1:17" x14ac:dyDescent="0.3">
      <c r="A15" s="16"/>
      <c r="B15" s="235">
        <v>0.4</v>
      </c>
      <c r="C15" s="65">
        <v>6</v>
      </c>
      <c r="D15" s="36"/>
      <c r="E15" s="235">
        <v>0.2</v>
      </c>
      <c r="F15" s="65">
        <v>9</v>
      </c>
      <c r="G15" s="36"/>
      <c r="H15" s="37"/>
      <c r="J15" s="476">
        <v>0.3</v>
      </c>
      <c r="K15" s="470">
        <f t="shared" si="2"/>
        <v>0.37499999999999994</v>
      </c>
      <c r="L15" s="5">
        <f t="shared" si="3"/>
        <v>9</v>
      </c>
      <c r="M15" s="5">
        <f>SUM($F$14:$F$24)-SUM(L$12:$L15)</f>
        <v>37</v>
      </c>
      <c r="N15" s="471">
        <f t="shared" si="4"/>
        <v>0.63793103448275867</v>
      </c>
      <c r="O15" s="81">
        <f t="shared" si="0"/>
        <v>0.43965517241379309</v>
      </c>
      <c r="P15" s="481">
        <f t="shared" si="5"/>
        <v>0.65732758620689657</v>
      </c>
      <c r="Q15" s="482">
        <f t="shared" si="1"/>
        <v>3.2327586206896575E-2</v>
      </c>
    </row>
    <row r="16" spans="1:17" x14ac:dyDescent="0.3">
      <c r="A16" s="16"/>
      <c r="B16" s="235">
        <v>0.5</v>
      </c>
      <c r="C16" s="65">
        <v>7</v>
      </c>
      <c r="D16" s="36"/>
      <c r="E16" s="235">
        <v>0.3</v>
      </c>
      <c r="F16" s="65">
        <v>9</v>
      </c>
      <c r="G16" s="36"/>
      <c r="H16" s="37"/>
      <c r="J16" s="476">
        <v>0.4</v>
      </c>
      <c r="K16" s="470">
        <f t="shared" si="2"/>
        <v>0.5</v>
      </c>
      <c r="L16" s="5">
        <f t="shared" si="3"/>
        <v>4</v>
      </c>
      <c r="M16" s="5">
        <f>SUM($F$14:$F$24)-SUM(L$12:$L16)</f>
        <v>33</v>
      </c>
      <c r="N16" s="471">
        <f t="shared" si="4"/>
        <v>0.56896551724137934</v>
      </c>
      <c r="O16" s="81">
        <f t="shared" si="0"/>
        <v>0.35991379310344823</v>
      </c>
      <c r="P16" s="481">
        <f t="shared" si="5"/>
        <v>0.57758620689655182</v>
      </c>
      <c r="Q16" s="482">
        <f t="shared" si="1"/>
        <v>7.7586206896551824E-2</v>
      </c>
    </row>
    <row r="17" spans="1:17" x14ac:dyDescent="0.3">
      <c r="A17" s="16"/>
      <c r="B17" s="235">
        <v>0.6</v>
      </c>
      <c r="C17" s="65">
        <v>11</v>
      </c>
      <c r="D17" s="36"/>
      <c r="E17" s="235">
        <v>0.4</v>
      </c>
      <c r="F17" s="65">
        <v>4</v>
      </c>
      <c r="G17" s="36"/>
      <c r="H17" s="37"/>
      <c r="J17" s="476">
        <v>0.5</v>
      </c>
      <c r="K17" s="470">
        <f t="shared" si="2"/>
        <v>0.625</v>
      </c>
      <c r="L17" s="5">
        <f t="shared" si="3"/>
        <v>0</v>
      </c>
      <c r="M17" s="5">
        <f>SUM($F$14:$F$24)-SUM(L$12:$L17)</f>
        <v>33</v>
      </c>
      <c r="N17" s="471">
        <f t="shared" si="4"/>
        <v>0.56896551724137934</v>
      </c>
      <c r="O17" s="81">
        <f t="shared" si="0"/>
        <v>0.2887931034482758</v>
      </c>
      <c r="P17" s="481">
        <f t="shared" si="5"/>
        <v>0.50646551724137934</v>
      </c>
      <c r="Q17" s="482">
        <f t="shared" si="1"/>
        <v>0.13146551724137945</v>
      </c>
    </row>
    <row r="18" spans="1:17" x14ac:dyDescent="0.3">
      <c r="A18" s="16"/>
      <c r="B18" s="235">
        <v>0.7</v>
      </c>
      <c r="C18" s="65">
        <v>9</v>
      </c>
      <c r="D18" s="36"/>
      <c r="E18" s="235">
        <v>0.6</v>
      </c>
      <c r="F18" s="65">
        <v>6</v>
      </c>
      <c r="G18" s="36"/>
      <c r="H18" s="37"/>
      <c r="J18" s="476">
        <v>0.6</v>
      </c>
      <c r="K18" s="470">
        <f t="shared" si="2"/>
        <v>0.74999999999999989</v>
      </c>
      <c r="L18" s="5">
        <f t="shared" si="3"/>
        <v>6</v>
      </c>
      <c r="M18" s="5">
        <f>SUM($F$14:$F$24)-SUM(L$12:$L18)</f>
        <v>27</v>
      </c>
      <c r="N18" s="471">
        <f t="shared" si="4"/>
        <v>0.46551724137931033</v>
      </c>
      <c r="O18" s="81">
        <f t="shared" si="0"/>
        <v>0.21767241379310345</v>
      </c>
      <c r="P18" s="481">
        <f t="shared" si="5"/>
        <v>0.43534482758620696</v>
      </c>
      <c r="Q18" s="482">
        <f t="shared" si="1"/>
        <v>0.18534482758620685</v>
      </c>
    </row>
    <row r="19" spans="1:17" x14ac:dyDescent="0.3">
      <c r="A19" s="16"/>
      <c r="B19" s="235">
        <v>0.8</v>
      </c>
      <c r="C19" s="65">
        <v>3</v>
      </c>
      <c r="D19" s="36"/>
      <c r="E19" s="235">
        <v>0.7</v>
      </c>
      <c r="F19" s="65">
        <v>4</v>
      </c>
      <c r="G19" s="36"/>
      <c r="H19" s="37"/>
      <c r="J19" s="476">
        <v>0.7</v>
      </c>
      <c r="K19" s="470">
        <f t="shared" si="2"/>
        <v>0.87499999999999989</v>
      </c>
      <c r="L19" s="5">
        <f t="shared" si="3"/>
        <v>4</v>
      </c>
      <c r="M19" s="5">
        <f>SUM($F$14:$F$24)-SUM(L$12:$L19)</f>
        <v>23</v>
      </c>
      <c r="N19" s="471">
        <f t="shared" si="4"/>
        <v>0.39655172413793105</v>
      </c>
      <c r="O19" s="81">
        <f t="shared" si="0"/>
        <v>0.15948275862068967</v>
      </c>
      <c r="P19" s="481">
        <f t="shared" si="5"/>
        <v>0.3771551724137932</v>
      </c>
      <c r="Q19" s="482">
        <f t="shared" si="1"/>
        <v>0.25215517241379315</v>
      </c>
    </row>
    <row r="20" spans="1:17" x14ac:dyDescent="0.3">
      <c r="A20" s="16"/>
      <c r="B20" s="235">
        <v>1</v>
      </c>
      <c r="C20" s="65">
        <v>5</v>
      </c>
      <c r="D20" s="36"/>
      <c r="E20" s="235">
        <v>0.8</v>
      </c>
      <c r="F20" s="65">
        <v>5</v>
      </c>
      <c r="G20" s="36"/>
      <c r="H20" s="37"/>
      <c r="J20" s="476">
        <v>0.8</v>
      </c>
      <c r="K20" s="470">
        <f t="shared" si="2"/>
        <v>1</v>
      </c>
      <c r="L20" s="5">
        <f t="shared" si="3"/>
        <v>5</v>
      </c>
      <c r="M20" s="5">
        <f>SUM($F$14:$F$24)-SUM(L$12:$L20)</f>
        <v>18</v>
      </c>
      <c r="N20" s="471">
        <f t="shared" si="4"/>
        <v>0.31034482758620691</v>
      </c>
      <c r="O20" s="81">
        <f t="shared" si="0"/>
        <v>0.10991379310344823</v>
      </c>
      <c r="P20" s="481">
        <f t="shared" si="5"/>
        <v>0.32758620689655177</v>
      </c>
      <c r="Q20" s="482">
        <f t="shared" si="1"/>
        <v>0.32758620689655182</v>
      </c>
    </row>
    <row r="21" spans="1:17" x14ac:dyDescent="0.3">
      <c r="A21" s="16"/>
      <c r="B21" s="235">
        <v>1.1000000000000001</v>
      </c>
      <c r="C21" s="65">
        <v>8</v>
      </c>
      <c r="D21" s="36"/>
      <c r="E21" s="235">
        <v>0.9</v>
      </c>
      <c r="F21" s="65">
        <v>3</v>
      </c>
      <c r="G21" s="36"/>
      <c r="H21" s="37"/>
      <c r="J21" s="476">
        <v>0.9</v>
      </c>
      <c r="K21" s="470">
        <f t="shared" si="2"/>
        <v>1.125</v>
      </c>
      <c r="L21" s="5">
        <f t="shared" si="3"/>
        <v>3</v>
      </c>
      <c r="M21" s="5">
        <f>SUM($F$14:$F$24)-SUM(L$12:$L21)</f>
        <v>15</v>
      </c>
      <c r="N21" s="471">
        <f t="shared" si="4"/>
        <v>0.25862068965517243</v>
      </c>
      <c r="O21" s="81">
        <f t="shared" si="0"/>
        <v>7.1120689655172376E-2</v>
      </c>
      <c r="P21" s="481">
        <f t="shared" si="5"/>
        <v>0.28879310344827591</v>
      </c>
      <c r="Q21" s="482">
        <f t="shared" si="1"/>
        <v>0.4137931034482758</v>
      </c>
    </row>
    <row r="22" spans="1:17" x14ac:dyDescent="0.3">
      <c r="A22" s="16"/>
      <c r="B22" s="235">
        <v>1.2</v>
      </c>
      <c r="C22" s="65">
        <v>1</v>
      </c>
      <c r="D22" s="36"/>
      <c r="E22" s="235">
        <v>1</v>
      </c>
      <c r="F22" s="65">
        <v>7</v>
      </c>
      <c r="G22" s="36"/>
      <c r="H22" s="37"/>
      <c r="J22" s="476">
        <v>1</v>
      </c>
      <c r="K22" s="470">
        <f t="shared" si="2"/>
        <v>1.25</v>
      </c>
      <c r="L22" s="5">
        <f t="shared" si="3"/>
        <v>7</v>
      </c>
      <c r="M22" s="5">
        <f>SUM($F$14:$F$24)-SUM(L$12:$L22)</f>
        <v>8</v>
      </c>
      <c r="N22" s="471">
        <f t="shared" si="4"/>
        <v>0.13793103448275862</v>
      </c>
      <c r="O22" s="81">
        <f t="shared" si="0"/>
        <v>3.8793103448275829E-2</v>
      </c>
      <c r="P22" s="481">
        <f t="shared" si="5"/>
        <v>0.25646551724137934</v>
      </c>
      <c r="Q22" s="482">
        <f t="shared" si="1"/>
        <v>0.50646551724137945</v>
      </c>
    </row>
    <row r="23" spans="1:17" x14ac:dyDescent="0.3">
      <c r="A23" s="16"/>
      <c r="B23" s="235">
        <v>1.4</v>
      </c>
      <c r="C23" s="65">
        <v>5</v>
      </c>
      <c r="D23" s="36"/>
      <c r="E23" s="235">
        <v>1.2</v>
      </c>
      <c r="F23" s="65">
        <v>7</v>
      </c>
      <c r="G23" s="36"/>
      <c r="H23" s="37"/>
      <c r="J23" s="476">
        <v>1.1000000000000001</v>
      </c>
      <c r="K23" s="470">
        <f t="shared" si="2"/>
        <v>1.375</v>
      </c>
      <c r="L23" s="5">
        <f t="shared" si="3"/>
        <v>0</v>
      </c>
      <c r="M23" s="5">
        <f>SUM($F$14:$F$24)-SUM(L$12:$L23)</f>
        <v>8</v>
      </c>
      <c r="N23" s="471">
        <f t="shared" si="4"/>
        <v>0.13793103448275862</v>
      </c>
      <c r="O23" s="81">
        <f t="shared" si="0"/>
        <v>2.1551724137931001E-2</v>
      </c>
      <c r="P23" s="481">
        <f t="shared" si="5"/>
        <v>0.23922413793103453</v>
      </c>
      <c r="Q23" s="482">
        <f t="shared" si="1"/>
        <v>0.61422413793103448</v>
      </c>
    </row>
    <row r="24" spans="1:17" x14ac:dyDescent="0.3">
      <c r="A24" s="16"/>
      <c r="B24" s="269">
        <v>1.5</v>
      </c>
      <c r="C24" s="48">
        <v>2</v>
      </c>
      <c r="D24" s="36"/>
      <c r="E24" s="269">
        <v>1.4</v>
      </c>
      <c r="F24" s="48">
        <v>1</v>
      </c>
      <c r="G24" s="36"/>
      <c r="H24" s="37"/>
      <c r="J24" s="476">
        <v>1.2</v>
      </c>
      <c r="K24" s="470">
        <f t="shared" si="2"/>
        <v>1.4999999999999998</v>
      </c>
      <c r="L24" s="5">
        <f t="shared" si="3"/>
        <v>7</v>
      </c>
      <c r="M24" s="5">
        <f>SUM($F$14:$F$24)-SUM(L$12:$L24)</f>
        <v>1</v>
      </c>
      <c r="N24" s="471">
        <f t="shared" si="4"/>
        <v>1.7241379310344827E-2</v>
      </c>
      <c r="O24" s="81">
        <f t="shared" si="0"/>
        <v>4.3103448275862068E-3</v>
      </c>
      <c r="P24" s="481">
        <f t="shared" si="5"/>
        <v>0.22198275862068975</v>
      </c>
      <c r="Q24" s="482">
        <f t="shared" si="1"/>
        <v>0.7219827586206895</v>
      </c>
    </row>
    <row r="25" spans="1:17" ht="15" thickBot="1" x14ac:dyDescent="0.35">
      <c r="A25" s="17"/>
      <c r="B25" s="467"/>
      <c r="C25" s="41"/>
      <c r="D25" s="41"/>
      <c r="E25" s="41"/>
      <c r="F25" s="41"/>
      <c r="G25" s="41"/>
      <c r="H25" s="42"/>
      <c r="J25" s="476">
        <v>1.3</v>
      </c>
      <c r="K25" s="470">
        <f t="shared" si="2"/>
        <v>1.625</v>
      </c>
      <c r="L25" s="5">
        <f t="shared" si="3"/>
        <v>0</v>
      </c>
      <c r="M25" s="5">
        <f>SUM($F$14:$F$24)-SUM(L$12:$L25)</f>
        <v>1</v>
      </c>
      <c r="N25" s="471">
        <f t="shared" si="4"/>
        <v>1.7241379310344827E-2</v>
      </c>
      <c r="O25" s="81">
        <f t="shared" si="0"/>
        <v>2.1551724137930995E-3</v>
      </c>
      <c r="P25" s="481">
        <f t="shared" si="5"/>
        <v>0.21982758620689663</v>
      </c>
      <c r="Q25" s="482">
        <f t="shared" si="1"/>
        <v>0.84482758620689657</v>
      </c>
    </row>
    <row r="26" spans="1:17" x14ac:dyDescent="0.3">
      <c r="J26" s="476">
        <v>1.4</v>
      </c>
      <c r="K26" s="470">
        <f t="shared" si="2"/>
        <v>1.7499999999999998</v>
      </c>
      <c r="L26" s="5">
        <f t="shared" si="3"/>
        <v>1</v>
      </c>
      <c r="M26" s="5">
        <f>SUM($F$14:$F$24)-SUM(L$12:$L26)</f>
        <v>0</v>
      </c>
      <c r="N26" s="471">
        <f t="shared" si="4"/>
        <v>0</v>
      </c>
      <c r="O26" s="81">
        <f>O27+(K27-K26)*N26</f>
        <v>0</v>
      </c>
      <c r="P26" s="481">
        <f t="shared" si="5"/>
        <v>0.21767241379310354</v>
      </c>
      <c r="Q26" s="482">
        <f t="shared" si="1"/>
        <v>0.9676724137931032</v>
      </c>
    </row>
    <row r="27" spans="1:17" x14ac:dyDescent="0.3">
      <c r="J27" s="477">
        <v>1.5</v>
      </c>
      <c r="K27" s="472">
        <f t="shared" si="2"/>
        <v>1.875</v>
      </c>
      <c r="L27" s="87">
        <f t="shared" si="3"/>
        <v>0</v>
      </c>
      <c r="M27" s="87">
        <f>SUM($F$14:$F$24)-SUM(L$12:$L27)</f>
        <v>0</v>
      </c>
      <c r="N27" s="473">
        <f t="shared" si="4"/>
        <v>0</v>
      </c>
      <c r="O27" s="82">
        <v>0</v>
      </c>
      <c r="P27" s="483">
        <f t="shared" si="5"/>
        <v>0.21767241379310354</v>
      </c>
      <c r="Q27" s="484">
        <f>P27+K27-1</f>
        <v>1.0926724137931036</v>
      </c>
    </row>
  </sheetData>
  <mergeCells count="1">
    <mergeCell ref="G1:H1"/>
  </mergeCells>
  <hyperlinks>
    <hyperlink ref="G1" location="TOC!A1" display="Return to TOC" xr:uid="{B85168C0-7D0F-43FC-956A-738712CFFE0C}"/>
  </hyperlink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859C9-B919-4E92-8B95-E6AC54E9D722}">
  <dimension ref="A1:Q33"/>
  <sheetViews>
    <sheetView workbookViewId="0"/>
  </sheetViews>
  <sheetFormatPr defaultRowHeight="14.4" x14ac:dyDescent="0.3"/>
  <cols>
    <col min="1" max="1" width="14" bestFit="1" customWidth="1"/>
    <col min="3" max="3" width="22.6640625" bestFit="1" customWidth="1"/>
    <col min="8" max="8" width="5.5546875" customWidth="1"/>
    <col min="9" max="9" width="3.6640625" customWidth="1"/>
    <col min="11" max="11" width="12.5546875" bestFit="1" customWidth="1"/>
    <col min="12" max="12" width="11.109375" bestFit="1" customWidth="1"/>
  </cols>
  <sheetData>
    <row r="1" spans="1:17" x14ac:dyDescent="0.3">
      <c r="A1" s="6" t="s">
        <v>4</v>
      </c>
      <c r="B1" s="7" t="s">
        <v>710</v>
      </c>
      <c r="C1" s="7"/>
      <c r="D1" s="8"/>
      <c r="E1" s="8"/>
      <c r="F1" s="8"/>
      <c r="G1" s="490" t="s">
        <v>5</v>
      </c>
      <c r="H1" s="491"/>
      <c r="J1" s="10" t="s">
        <v>6</v>
      </c>
    </row>
    <row r="2" spans="1:17" x14ac:dyDescent="0.3">
      <c r="A2" s="11" t="s">
        <v>7</v>
      </c>
      <c r="B2" s="33" t="s">
        <v>689</v>
      </c>
      <c r="C2" s="33"/>
      <c r="D2" s="33"/>
      <c r="E2" s="33"/>
      <c r="F2" s="33"/>
      <c r="G2" s="33"/>
      <c r="H2" s="12"/>
      <c r="I2" t="s">
        <v>28</v>
      </c>
      <c r="J2" t="s">
        <v>396</v>
      </c>
      <c r="K2" s="327">
        <f>AVERAGE(800000,0)</f>
        <v>400000</v>
      </c>
    </row>
    <row r="3" spans="1:17" x14ac:dyDescent="0.3">
      <c r="A3" s="11" t="s">
        <v>8</v>
      </c>
      <c r="B3" s="33" t="s">
        <v>718</v>
      </c>
      <c r="C3" s="33"/>
      <c r="D3" s="33"/>
      <c r="E3" s="33"/>
      <c r="F3" s="33"/>
      <c r="G3" s="33"/>
      <c r="H3" s="12"/>
      <c r="I3" s="185"/>
      <c r="J3" t="s">
        <v>404</v>
      </c>
      <c r="K3" s="327">
        <f>AVERAGE(400000,0)</f>
        <v>200000</v>
      </c>
    </row>
    <row r="4" spans="1:17" x14ac:dyDescent="0.3">
      <c r="A4" s="13"/>
      <c r="B4" s="34"/>
      <c r="C4" s="34"/>
      <c r="D4" s="34"/>
      <c r="E4" s="34"/>
      <c r="F4" s="34"/>
      <c r="G4" s="34"/>
      <c r="H4" s="14"/>
      <c r="I4" s="185"/>
    </row>
    <row r="5" spans="1:17" x14ac:dyDescent="0.3">
      <c r="A5" s="15" t="s">
        <v>9</v>
      </c>
      <c r="B5" s="33" t="s">
        <v>690</v>
      </c>
      <c r="C5" s="36"/>
      <c r="D5" s="36"/>
      <c r="E5" s="36"/>
      <c r="F5" s="36"/>
      <c r="G5" s="36"/>
      <c r="H5" s="37"/>
      <c r="I5" s="185"/>
      <c r="J5" t="s">
        <v>719</v>
      </c>
    </row>
    <row r="6" spans="1:17" x14ac:dyDescent="0.3">
      <c r="A6" s="16"/>
      <c r="B6" s="33" t="s">
        <v>691</v>
      </c>
      <c r="C6" s="36"/>
      <c r="D6" s="36"/>
      <c r="E6" s="36"/>
      <c r="F6" s="36"/>
      <c r="G6" s="36"/>
      <c r="H6" s="37"/>
      <c r="J6" s="280">
        <f>K2-K3</f>
        <v>200000</v>
      </c>
    </row>
    <row r="7" spans="1:17" x14ac:dyDescent="0.3">
      <c r="A7" s="16"/>
      <c r="B7" s="33" t="s">
        <v>692</v>
      </c>
      <c r="C7" s="36"/>
      <c r="D7" s="36"/>
      <c r="E7" s="36"/>
      <c r="F7" s="36"/>
      <c r="G7" s="36"/>
      <c r="H7" s="37"/>
    </row>
    <row r="8" spans="1:17" x14ac:dyDescent="0.3">
      <c r="A8" s="16"/>
      <c r="B8" s="36"/>
      <c r="C8" s="36"/>
      <c r="D8" s="36"/>
      <c r="E8" s="36"/>
      <c r="F8" s="36"/>
      <c r="G8" s="36"/>
      <c r="H8" s="37"/>
      <c r="J8" t="s">
        <v>720</v>
      </c>
    </row>
    <row r="9" spans="1:17" x14ac:dyDescent="0.3">
      <c r="A9" s="16"/>
      <c r="B9" s="33" t="s">
        <v>693</v>
      </c>
      <c r="C9" s="36"/>
      <c r="D9" s="36"/>
      <c r="E9" s="36"/>
      <c r="F9" s="36"/>
      <c r="G9" s="36"/>
      <c r="H9" s="37"/>
      <c r="J9" t="s">
        <v>721</v>
      </c>
    </row>
    <row r="10" spans="1:17" x14ac:dyDescent="0.3">
      <c r="A10" s="16"/>
      <c r="B10" s="33" t="s">
        <v>694</v>
      </c>
      <c r="C10" s="36"/>
      <c r="D10" s="36"/>
      <c r="E10" s="36"/>
      <c r="F10" s="36"/>
      <c r="G10" s="36"/>
      <c r="H10" s="37"/>
      <c r="J10" t="s">
        <v>722</v>
      </c>
      <c r="Q10" s="328">
        <f>300000/K3</f>
        <v>1.5</v>
      </c>
    </row>
    <row r="11" spans="1:17" x14ac:dyDescent="0.3">
      <c r="A11" s="16"/>
      <c r="B11" s="33" t="s">
        <v>695</v>
      </c>
      <c r="C11" s="36"/>
      <c r="D11" s="36"/>
      <c r="E11" s="36"/>
      <c r="F11" s="36"/>
      <c r="G11" s="36"/>
      <c r="H11" s="37"/>
    </row>
    <row r="12" spans="1:17" x14ac:dyDescent="0.3">
      <c r="A12" s="16"/>
      <c r="B12" s="36"/>
      <c r="C12" s="36"/>
      <c r="D12" s="36"/>
      <c r="E12" s="36"/>
      <c r="F12" s="36"/>
      <c r="G12" s="36"/>
      <c r="H12" s="37"/>
      <c r="J12" t="s">
        <v>723</v>
      </c>
      <c r="M12">
        <f>0.5*(2-Q10)*(1-Q10/2)</f>
        <v>6.25E-2</v>
      </c>
    </row>
    <row r="13" spans="1:17" x14ac:dyDescent="0.3">
      <c r="A13" s="16"/>
      <c r="B13" s="33" t="s">
        <v>696</v>
      </c>
      <c r="C13" s="36"/>
      <c r="D13" s="36"/>
      <c r="E13" s="36"/>
      <c r="F13" s="36"/>
      <c r="G13" s="36"/>
      <c r="H13" s="37"/>
      <c r="J13" t="s">
        <v>724</v>
      </c>
      <c r="M13" s="280">
        <f>M12*K3</f>
        <v>12500</v>
      </c>
    </row>
    <row r="14" spans="1:17" x14ac:dyDescent="0.3">
      <c r="A14" s="16"/>
      <c r="B14" s="230" t="s">
        <v>698</v>
      </c>
      <c r="C14" s="114" t="s">
        <v>697</v>
      </c>
      <c r="D14" s="320" t="s">
        <v>699</v>
      </c>
      <c r="E14" s="321"/>
      <c r="F14" s="36"/>
      <c r="G14" s="36"/>
      <c r="H14" s="37"/>
      <c r="J14" t="s">
        <v>725</v>
      </c>
    </row>
    <row r="15" spans="1:17" x14ac:dyDescent="0.3">
      <c r="A15" s="16"/>
      <c r="B15" s="317">
        <v>7.4999999999999997E-2</v>
      </c>
      <c r="C15" s="319" t="s">
        <v>700</v>
      </c>
      <c r="D15" s="165" t="s">
        <v>141</v>
      </c>
      <c r="E15" s="322"/>
      <c r="F15" s="36"/>
      <c r="G15" s="36"/>
      <c r="H15" s="37"/>
    </row>
    <row r="16" spans="1:17" x14ac:dyDescent="0.3">
      <c r="A16" s="16"/>
      <c r="B16" s="129">
        <v>0.05</v>
      </c>
      <c r="C16" s="69" t="s">
        <v>701</v>
      </c>
      <c r="D16" s="165" t="s">
        <v>141</v>
      </c>
      <c r="E16" s="322"/>
      <c r="F16" s="36"/>
      <c r="G16" s="36"/>
      <c r="H16" s="37"/>
      <c r="J16" t="s">
        <v>726</v>
      </c>
      <c r="L16" s="329">
        <f>(J6+M13+K2*(B15+B16)+B17)/(1-SUM(B18:B21))</f>
        <v>372727.27272727276</v>
      </c>
    </row>
    <row r="17" spans="1:16" x14ac:dyDescent="0.3">
      <c r="A17" s="16"/>
      <c r="B17" s="318">
        <v>45000</v>
      </c>
      <c r="C17" s="69" t="s">
        <v>702</v>
      </c>
      <c r="D17" s="165" t="s">
        <v>707</v>
      </c>
      <c r="E17" s="322"/>
      <c r="F17" s="36"/>
      <c r="G17" s="36"/>
      <c r="H17" s="37"/>
      <c r="J17" s="101" t="s">
        <v>727</v>
      </c>
    </row>
    <row r="18" spans="1:16" x14ac:dyDescent="0.3">
      <c r="A18" s="16"/>
      <c r="B18" s="129">
        <v>0.06</v>
      </c>
      <c r="C18" s="69" t="s">
        <v>703</v>
      </c>
      <c r="D18" s="165" t="s">
        <v>708</v>
      </c>
      <c r="E18" s="322"/>
      <c r="F18" s="36"/>
      <c r="G18" s="36"/>
      <c r="H18" s="37"/>
      <c r="J18" s="101" t="s">
        <v>728</v>
      </c>
    </row>
    <row r="19" spans="1:16" x14ac:dyDescent="0.3">
      <c r="A19" s="16"/>
      <c r="B19" s="317">
        <v>0.125</v>
      </c>
      <c r="C19" s="69" t="s">
        <v>704</v>
      </c>
      <c r="D19" s="165" t="s">
        <v>708</v>
      </c>
      <c r="E19" s="322"/>
      <c r="F19" s="36"/>
      <c r="G19" s="36"/>
      <c r="H19" s="37"/>
    </row>
    <row r="20" spans="1:16" x14ac:dyDescent="0.3">
      <c r="A20" s="16"/>
      <c r="B20" s="129">
        <v>0.04</v>
      </c>
      <c r="C20" s="69" t="s">
        <v>705</v>
      </c>
      <c r="D20" s="165" t="s">
        <v>708</v>
      </c>
      <c r="E20" s="322"/>
      <c r="F20" s="36"/>
      <c r="G20" s="36"/>
      <c r="H20" s="37"/>
      <c r="I20" t="s">
        <v>38</v>
      </c>
      <c r="J20" t="s">
        <v>404</v>
      </c>
      <c r="K20" s="327">
        <f>75%*AVERAGE(0,300000)+25%*AVERAGE(300000,700000)</f>
        <v>237500</v>
      </c>
    </row>
    <row r="21" spans="1:16" x14ac:dyDescent="0.3">
      <c r="A21" s="16"/>
      <c r="B21" s="131">
        <v>-0.05</v>
      </c>
      <c r="C21" s="70" t="s">
        <v>706</v>
      </c>
      <c r="D21" s="323" t="s">
        <v>708</v>
      </c>
      <c r="E21" s="324"/>
      <c r="F21" s="36"/>
      <c r="G21" s="36"/>
      <c r="H21" s="37"/>
    </row>
    <row r="22" spans="1:16" x14ac:dyDescent="0.3">
      <c r="A22" s="16"/>
      <c r="B22" s="36"/>
      <c r="C22" s="36"/>
      <c r="D22" s="36"/>
      <c r="E22" s="36"/>
      <c r="F22" s="36"/>
      <c r="G22" s="36"/>
      <c r="H22" s="37"/>
      <c r="J22" t="s">
        <v>719</v>
      </c>
    </row>
    <row r="23" spans="1:16" x14ac:dyDescent="0.3">
      <c r="A23" s="63" t="s">
        <v>10</v>
      </c>
      <c r="B23" s="36" t="s">
        <v>709</v>
      </c>
      <c r="C23" s="36"/>
      <c r="D23" s="36"/>
      <c r="E23" s="36"/>
      <c r="F23" s="36"/>
      <c r="G23" s="36"/>
      <c r="H23" s="37"/>
      <c r="J23" s="280">
        <f>K2-K20</f>
        <v>162500</v>
      </c>
    </row>
    <row r="24" spans="1:16" x14ac:dyDescent="0.3">
      <c r="A24" s="16"/>
      <c r="B24" s="36"/>
      <c r="C24" s="36"/>
      <c r="D24" s="36"/>
      <c r="E24" s="36"/>
      <c r="F24" s="36"/>
      <c r="G24" s="36"/>
      <c r="H24" s="37"/>
      <c r="J24" t="s">
        <v>729</v>
      </c>
    </row>
    <row r="25" spans="1:16" x14ac:dyDescent="0.3">
      <c r="A25" s="16"/>
      <c r="B25" s="36" t="s">
        <v>711</v>
      </c>
      <c r="C25" s="36"/>
      <c r="D25" s="36"/>
      <c r="E25" s="36"/>
      <c r="F25" s="36"/>
      <c r="G25" s="36"/>
      <c r="H25" s="37"/>
      <c r="J25" t="s">
        <v>730</v>
      </c>
    </row>
    <row r="26" spans="1:16" x14ac:dyDescent="0.3">
      <c r="A26" s="16"/>
      <c r="B26" s="36" t="s">
        <v>712</v>
      </c>
      <c r="C26" s="36"/>
      <c r="D26" s="36"/>
      <c r="E26" s="36"/>
      <c r="F26" s="36"/>
      <c r="G26" s="36"/>
      <c r="H26" s="37"/>
      <c r="J26" t="s">
        <v>731</v>
      </c>
      <c r="P26" s="327">
        <f>AVERAGE(300000,700000)-300000</f>
        <v>200000</v>
      </c>
    </row>
    <row r="27" spans="1:16" x14ac:dyDescent="0.3">
      <c r="A27" s="16"/>
      <c r="B27" s="36" t="s">
        <v>713</v>
      </c>
      <c r="C27" s="36"/>
      <c r="D27" s="36"/>
      <c r="E27" s="36"/>
      <c r="F27" s="36"/>
      <c r="G27" s="36"/>
      <c r="H27" s="37"/>
    </row>
    <row r="28" spans="1:16" x14ac:dyDescent="0.3">
      <c r="A28" s="16"/>
      <c r="B28" s="36" t="s">
        <v>714</v>
      </c>
      <c r="C28" s="36"/>
      <c r="D28" s="36"/>
      <c r="E28" s="36"/>
      <c r="F28" s="36"/>
      <c r="G28" s="36"/>
      <c r="H28" s="37"/>
      <c r="J28" t="s">
        <v>732</v>
      </c>
      <c r="P28" s="280">
        <f>75%*0+25%*P26</f>
        <v>50000</v>
      </c>
    </row>
    <row r="29" spans="1:16" x14ac:dyDescent="0.3">
      <c r="A29" s="16"/>
      <c r="B29" s="36" t="s">
        <v>715</v>
      </c>
      <c r="C29" s="36"/>
      <c r="D29" s="36"/>
      <c r="E29" s="36"/>
      <c r="F29" s="36"/>
      <c r="G29" s="36"/>
      <c r="H29" s="37"/>
    </row>
    <row r="30" spans="1:16" x14ac:dyDescent="0.3">
      <c r="A30" s="16"/>
      <c r="B30" s="36" t="s">
        <v>716</v>
      </c>
      <c r="C30" s="36"/>
      <c r="D30" s="36"/>
      <c r="E30" s="36"/>
      <c r="F30" s="36"/>
      <c r="G30" s="36"/>
      <c r="H30" s="37"/>
      <c r="J30" t="s">
        <v>733</v>
      </c>
    </row>
    <row r="31" spans="1:16" x14ac:dyDescent="0.3">
      <c r="A31" s="16"/>
      <c r="B31" s="36"/>
      <c r="C31" s="36"/>
      <c r="D31" s="36"/>
      <c r="E31" s="36"/>
      <c r="F31" s="36"/>
      <c r="G31" s="36"/>
      <c r="H31" s="37"/>
      <c r="J31" s="280">
        <f>J23+P28</f>
        <v>212500</v>
      </c>
    </row>
    <row r="32" spans="1:16" ht="15" thickBot="1" x14ac:dyDescent="0.35">
      <c r="A32" s="17"/>
      <c r="B32" s="41" t="s">
        <v>717</v>
      </c>
      <c r="C32" s="41"/>
      <c r="D32" s="41"/>
      <c r="E32" s="41"/>
      <c r="F32" s="41"/>
      <c r="G32" s="41"/>
      <c r="H32" s="42"/>
    </row>
    <row r="33" spans="10:10" x14ac:dyDescent="0.3">
      <c r="J33" t="s">
        <v>734</v>
      </c>
    </row>
  </sheetData>
  <mergeCells count="1">
    <mergeCell ref="G1:H1"/>
  </mergeCells>
  <hyperlinks>
    <hyperlink ref="G1" location="TOC!A1" display="Return to TOC" xr:uid="{491C3DF7-8C94-44CC-A166-F562A1A06D85}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A535C-5069-4F07-88E4-DCB048538688}">
  <dimension ref="A1:J29"/>
  <sheetViews>
    <sheetView workbookViewId="0"/>
  </sheetViews>
  <sheetFormatPr defaultRowHeight="14.4" x14ac:dyDescent="0.3"/>
  <cols>
    <col min="1" max="1" width="13.33203125" bestFit="1" customWidth="1"/>
    <col min="7" max="7" width="12.21875" customWidth="1"/>
    <col min="8" max="8" width="3.77734375" customWidth="1"/>
    <col min="10" max="10" width="11.5546875" bestFit="1" customWidth="1"/>
  </cols>
  <sheetData>
    <row r="1" spans="1:10" x14ac:dyDescent="0.3">
      <c r="A1" s="6" t="s">
        <v>4</v>
      </c>
      <c r="B1" s="7" t="s">
        <v>710</v>
      </c>
      <c r="C1" s="7"/>
      <c r="D1" s="8"/>
      <c r="E1" s="8"/>
      <c r="F1" s="490" t="s">
        <v>5</v>
      </c>
      <c r="G1" s="491"/>
      <c r="I1" s="10" t="s">
        <v>6</v>
      </c>
    </row>
    <row r="2" spans="1:10" x14ac:dyDescent="0.3">
      <c r="A2" s="11" t="s">
        <v>7</v>
      </c>
      <c r="B2" s="33" t="s">
        <v>1072</v>
      </c>
      <c r="C2" s="33"/>
      <c r="D2" s="33"/>
      <c r="E2" s="33"/>
      <c r="F2" s="33"/>
      <c r="G2" s="12"/>
      <c r="H2" t="s">
        <v>28</v>
      </c>
      <c r="I2" t="s">
        <v>1082</v>
      </c>
    </row>
    <row r="3" spans="1:10" x14ac:dyDescent="0.3">
      <c r="A3" s="11" t="s">
        <v>8</v>
      </c>
      <c r="B3" s="33" t="s">
        <v>1089</v>
      </c>
      <c r="C3" s="33"/>
      <c r="D3" s="33"/>
      <c r="E3" s="33"/>
      <c r="F3" s="33"/>
      <c r="G3" s="12"/>
      <c r="H3" s="185"/>
    </row>
    <row r="4" spans="1:10" ht="15.6" x14ac:dyDescent="0.35">
      <c r="A4" s="13"/>
      <c r="B4" s="34"/>
      <c r="C4" s="34"/>
      <c r="D4" s="34"/>
      <c r="E4" s="34"/>
      <c r="F4" s="34"/>
      <c r="G4" s="14"/>
      <c r="H4" s="185"/>
      <c r="I4" t="s">
        <v>1084</v>
      </c>
    </row>
    <row r="5" spans="1:10" ht="15.6" x14ac:dyDescent="0.35">
      <c r="A5" s="15" t="s">
        <v>9</v>
      </c>
      <c r="B5" s="33" t="s">
        <v>1080</v>
      </c>
      <c r="C5" s="36"/>
      <c r="D5" s="36"/>
      <c r="E5" s="36"/>
      <c r="F5" s="36"/>
      <c r="G5" s="37"/>
      <c r="H5" s="185"/>
      <c r="I5" t="s">
        <v>1083</v>
      </c>
    </row>
    <row r="6" spans="1:10" x14ac:dyDescent="0.3">
      <c r="A6" s="16"/>
      <c r="B6" s="36" t="s">
        <v>1081</v>
      </c>
      <c r="C6" s="36"/>
      <c r="D6" s="36"/>
      <c r="E6" s="36"/>
      <c r="F6" s="36"/>
      <c r="G6" s="37"/>
    </row>
    <row r="7" spans="1:10" ht="15.6" x14ac:dyDescent="0.35">
      <c r="A7" s="16"/>
      <c r="B7" s="116">
        <v>100000</v>
      </c>
      <c r="C7" s="43" t="s">
        <v>963</v>
      </c>
      <c r="D7" s="117"/>
      <c r="E7" s="117"/>
      <c r="F7" s="118"/>
      <c r="G7" s="37"/>
      <c r="I7" t="s">
        <v>646</v>
      </c>
      <c r="J7" s="328">
        <f>B8/B7</f>
        <v>2</v>
      </c>
    </row>
    <row r="8" spans="1:10" ht="15.6" x14ac:dyDescent="0.35">
      <c r="A8" s="16"/>
      <c r="B8" s="71">
        <v>200000</v>
      </c>
      <c r="C8" s="267" t="s">
        <v>1073</v>
      </c>
      <c r="D8" s="36"/>
      <c r="E8" s="36"/>
      <c r="F8" s="119"/>
      <c r="G8" s="37"/>
      <c r="I8" t="s">
        <v>1085</v>
      </c>
      <c r="J8" s="328">
        <f>B9/B7</f>
        <v>0.5</v>
      </c>
    </row>
    <row r="9" spans="1:10" x14ac:dyDescent="0.3">
      <c r="A9" s="16"/>
      <c r="B9" s="71">
        <v>50000</v>
      </c>
      <c r="C9" s="267" t="s">
        <v>1074</v>
      </c>
      <c r="D9" s="36"/>
      <c r="E9" s="36"/>
      <c r="F9" s="119"/>
      <c r="G9" s="37"/>
    </row>
    <row r="10" spans="1:10" x14ac:dyDescent="0.3">
      <c r="A10" s="16"/>
      <c r="B10" s="71">
        <v>20000</v>
      </c>
      <c r="C10" s="267" t="s">
        <v>1075</v>
      </c>
      <c r="D10" s="36"/>
      <c r="E10" s="36"/>
      <c r="F10" s="119"/>
      <c r="G10" s="37"/>
      <c r="I10" t="s">
        <v>1086</v>
      </c>
    </row>
    <row r="11" spans="1:10" ht="15.6" x14ac:dyDescent="0.35">
      <c r="A11" s="16"/>
      <c r="B11" s="357">
        <v>1.35</v>
      </c>
      <c r="C11" s="268" t="s">
        <v>440</v>
      </c>
      <c r="D11" s="120"/>
      <c r="E11" s="120"/>
      <c r="F11" s="121"/>
      <c r="G11" s="37"/>
      <c r="I11" t="s">
        <v>1087</v>
      </c>
    </row>
    <row r="12" spans="1:10" x14ac:dyDescent="0.3">
      <c r="A12" s="16"/>
      <c r="B12" s="36"/>
      <c r="C12" s="36"/>
      <c r="D12" s="36"/>
      <c r="E12" s="36"/>
      <c r="F12" s="36"/>
      <c r="G12" s="37"/>
    </row>
    <row r="13" spans="1:10" x14ac:dyDescent="0.3">
      <c r="A13" s="16"/>
      <c r="B13" s="36" t="s">
        <v>1076</v>
      </c>
      <c r="C13" s="36"/>
      <c r="D13" s="36"/>
      <c r="E13" s="36"/>
      <c r="F13" s="36"/>
      <c r="G13" s="37"/>
      <c r="I13" s="440" t="s">
        <v>898</v>
      </c>
    </row>
    <row r="14" spans="1:10" x14ac:dyDescent="0.3">
      <c r="A14" s="16"/>
      <c r="B14" s="68" t="s">
        <v>1053</v>
      </c>
      <c r="C14" s="45" t="s">
        <v>1078</v>
      </c>
      <c r="D14" s="36"/>
      <c r="E14" s="36"/>
      <c r="F14" s="36"/>
      <c r="G14" s="37"/>
      <c r="I14" s="440" t="s">
        <v>1088</v>
      </c>
      <c r="J14" s="439">
        <f>C17+B17-1</f>
        <v>0.26</v>
      </c>
    </row>
    <row r="15" spans="1:10" x14ac:dyDescent="0.3">
      <c r="A15" s="16"/>
      <c r="B15" s="70" t="s">
        <v>1052</v>
      </c>
      <c r="C15" s="65" t="s">
        <v>1077</v>
      </c>
      <c r="D15" s="36"/>
      <c r="E15" s="36"/>
      <c r="F15" s="36"/>
      <c r="G15" s="37"/>
    </row>
    <row r="16" spans="1:10" x14ac:dyDescent="0.3">
      <c r="A16" s="16"/>
      <c r="B16" s="184">
        <v>0.25</v>
      </c>
      <c r="C16" s="184">
        <v>0.85</v>
      </c>
      <c r="D16" s="36"/>
      <c r="E16" s="36"/>
      <c r="F16" s="36"/>
      <c r="G16" s="37"/>
      <c r="I16" t="s">
        <v>603</v>
      </c>
      <c r="J16" s="62">
        <f>B7*(C23-J14)</f>
        <v>23000</v>
      </c>
    </row>
    <row r="17" spans="1:10" x14ac:dyDescent="0.3">
      <c r="A17" s="16"/>
      <c r="B17" s="73">
        <v>0.5</v>
      </c>
      <c r="C17" s="73">
        <v>0.76</v>
      </c>
      <c r="D17" s="36"/>
      <c r="E17" s="36"/>
      <c r="F17" s="36"/>
      <c r="G17" s="37"/>
    </row>
    <row r="18" spans="1:10" x14ac:dyDescent="0.3">
      <c r="A18" s="16"/>
      <c r="B18" s="73">
        <v>0.75</v>
      </c>
      <c r="C18" s="73">
        <v>0.69</v>
      </c>
      <c r="D18" s="36"/>
      <c r="E18" s="36"/>
      <c r="F18" s="36"/>
      <c r="G18" s="37"/>
      <c r="I18" t="s">
        <v>563</v>
      </c>
      <c r="J18" s="428">
        <f>B10-(B11-1)*B7+B11*J16</f>
        <v>16049.999999999996</v>
      </c>
    </row>
    <row r="19" spans="1:10" x14ac:dyDescent="0.3">
      <c r="A19" s="16"/>
      <c r="B19" s="73">
        <v>1</v>
      </c>
      <c r="C19" s="73">
        <v>0.64</v>
      </c>
      <c r="D19" s="36"/>
      <c r="E19" s="36"/>
      <c r="F19" s="36"/>
      <c r="G19" s="37"/>
    </row>
    <row r="20" spans="1:10" x14ac:dyDescent="0.3">
      <c r="A20" s="16"/>
      <c r="B20" s="73">
        <v>1.25</v>
      </c>
      <c r="C20" s="73">
        <v>0.59</v>
      </c>
      <c r="D20" s="36"/>
      <c r="E20" s="36"/>
      <c r="F20" s="36"/>
      <c r="G20" s="37"/>
    </row>
    <row r="21" spans="1:10" x14ac:dyDescent="0.3">
      <c r="A21" s="16"/>
      <c r="B21" s="73">
        <v>1.5</v>
      </c>
      <c r="C21" s="73">
        <v>0.56000000000000005</v>
      </c>
      <c r="D21" s="36"/>
      <c r="E21" s="36"/>
      <c r="F21" s="36"/>
      <c r="G21" s="37"/>
    </row>
    <row r="22" spans="1:10" x14ac:dyDescent="0.3">
      <c r="A22" s="16"/>
      <c r="B22" s="73">
        <v>1.75</v>
      </c>
      <c r="C22" s="73">
        <v>0.52</v>
      </c>
      <c r="D22" s="36"/>
      <c r="E22" s="36"/>
      <c r="F22" s="36"/>
      <c r="G22" s="37"/>
    </row>
    <row r="23" spans="1:10" x14ac:dyDescent="0.3">
      <c r="A23" s="16"/>
      <c r="B23" s="73">
        <v>2</v>
      </c>
      <c r="C23" s="73">
        <v>0.49</v>
      </c>
      <c r="D23" s="36"/>
      <c r="E23" s="36"/>
      <c r="F23" s="36"/>
      <c r="G23" s="37"/>
    </row>
    <row r="24" spans="1:10" x14ac:dyDescent="0.3">
      <c r="A24" s="16"/>
      <c r="B24" s="73">
        <v>2.25</v>
      </c>
      <c r="C24" s="73">
        <v>0.46</v>
      </c>
      <c r="D24" s="36"/>
      <c r="E24" s="36"/>
      <c r="F24" s="36"/>
      <c r="G24" s="37"/>
    </row>
    <row r="25" spans="1:10" x14ac:dyDescent="0.3">
      <c r="A25" s="16"/>
      <c r="B25" s="73">
        <v>2.5</v>
      </c>
      <c r="C25" s="73">
        <v>0.44</v>
      </c>
      <c r="D25" s="36"/>
      <c r="E25" s="36"/>
      <c r="F25" s="36"/>
      <c r="G25" s="37"/>
    </row>
    <row r="26" spans="1:10" x14ac:dyDescent="0.3">
      <c r="A26" s="16"/>
      <c r="B26" s="73">
        <v>2.75</v>
      </c>
      <c r="C26" s="73">
        <v>0.42</v>
      </c>
      <c r="D26" s="36"/>
      <c r="E26" s="36"/>
      <c r="F26" s="36"/>
      <c r="G26" s="37"/>
    </row>
    <row r="27" spans="1:10" x14ac:dyDescent="0.3">
      <c r="A27" s="16"/>
      <c r="B27" s="74">
        <v>3</v>
      </c>
      <c r="C27" s="74">
        <v>0.4</v>
      </c>
      <c r="D27" s="36"/>
      <c r="E27" s="36"/>
      <c r="F27" s="36"/>
      <c r="G27" s="37"/>
    </row>
    <row r="28" spans="1:10" x14ac:dyDescent="0.3">
      <c r="A28" s="16"/>
      <c r="B28" s="36"/>
      <c r="C28" s="36"/>
      <c r="D28" s="36"/>
      <c r="E28" s="36"/>
      <c r="F28" s="36"/>
      <c r="G28" s="37"/>
    </row>
    <row r="29" spans="1:10" ht="15" thickBot="1" x14ac:dyDescent="0.35">
      <c r="A29" s="122" t="s">
        <v>10</v>
      </c>
      <c r="B29" s="41" t="s">
        <v>1079</v>
      </c>
      <c r="C29" s="41"/>
      <c r="D29" s="41"/>
      <c r="E29" s="41"/>
      <c r="F29" s="41"/>
      <c r="G29" s="42"/>
    </row>
  </sheetData>
  <mergeCells count="1">
    <mergeCell ref="F1:G1"/>
  </mergeCells>
  <hyperlinks>
    <hyperlink ref="F1" location="TOC!A1" display="Return to TOC" xr:uid="{23230190-C2AC-4D31-90EF-5369B8A65086}"/>
  </hyperlink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39F4C-33FD-4C9B-AFD5-CB7A5A317644}">
  <dimension ref="A1:M55"/>
  <sheetViews>
    <sheetView workbookViewId="0"/>
  </sheetViews>
  <sheetFormatPr defaultRowHeight="14.4" x14ac:dyDescent="0.3"/>
  <cols>
    <col min="1" max="1" width="13.33203125" bestFit="1" customWidth="1"/>
    <col min="2" max="2" width="10.44140625" bestFit="1" customWidth="1"/>
    <col min="6" max="6" width="9.5546875" customWidth="1"/>
    <col min="7" max="7" width="6.77734375" customWidth="1"/>
    <col min="8" max="8" width="3.77734375" customWidth="1"/>
    <col min="9" max="9" width="11.5546875" bestFit="1" customWidth="1"/>
  </cols>
  <sheetData>
    <row r="1" spans="1:11" x14ac:dyDescent="0.3">
      <c r="A1" s="6" t="s">
        <v>4</v>
      </c>
      <c r="B1" s="7" t="s">
        <v>710</v>
      </c>
      <c r="C1" s="7"/>
      <c r="D1" s="8"/>
      <c r="E1" s="8"/>
      <c r="F1" s="490" t="s">
        <v>5</v>
      </c>
      <c r="G1" s="491"/>
      <c r="I1" s="10" t="s">
        <v>6</v>
      </c>
    </row>
    <row r="2" spans="1:11" x14ac:dyDescent="0.3">
      <c r="A2" s="11" t="s">
        <v>7</v>
      </c>
      <c r="B2" s="33" t="s">
        <v>1090</v>
      </c>
      <c r="C2" s="33"/>
      <c r="D2" s="33"/>
      <c r="E2" s="33"/>
      <c r="F2" s="33"/>
      <c r="G2" s="12"/>
      <c r="H2" t="s">
        <v>28</v>
      </c>
      <c r="I2" t="s">
        <v>1115</v>
      </c>
    </row>
    <row r="3" spans="1:11" x14ac:dyDescent="0.3">
      <c r="A3" s="11" t="s">
        <v>8</v>
      </c>
      <c r="B3" s="33" t="s">
        <v>1152</v>
      </c>
      <c r="C3" s="33"/>
      <c r="D3" s="33"/>
      <c r="E3" s="33"/>
      <c r="F3" s="33"/>
      <c r="G3" s="12"/>
      <c r="H3" s="185"/>
      <c r="I3" t="s">
        <v>1116</v>
      </c>
    </row>
    <row r="4" spans="1:11" x14ac:dyDescent="0.3">
      <c r="A4" s="13"/>
      <c r="B4" s="34"/>
      <c r="C4" s="34"/>
      <c r="D4" s="34"/>
      <c r="E4" s="34"/>
      <c r="F4" s="34"/>
      <c r="G4" s="14"/>
      <c r="H4" s="185"/>
    </row>
    <row r="5" spans="1:11" x14ac:dyDescent="0.3">
      <c r="A5" s="15" t="s">
        <v>9</v>
      </c>
      <c r="B5" s="33" t="s">
        <v>1091</v>
      </c>
      <c r="C5" s="36"/>
      <c r="D5" s="36"/>
      <c r="E5" s="36"/>
      <c r="F5" s="36"/>
      <c r="G5" s="37"/>
      <c r="H5" s="185"/>
      <c r="I5" t="s">
        <v>1119</v>
      </c>
    </row>
    <row r="6" spans="1:11" x14ac:dyDescent="0.3">
      <c r="A6" s="16"/>
      <c r="B6" s="33" t="s">
        <v>1092</v>
      </c>
      <c r="C6" s="36"/>
      <c r="D6" s="36"/>
      <c r="E6" s="36"/>
      <c r="F6" s="36"/>
      <c r="G6" s="37"/>
      <c r="I6" t="s">
        <v>1120</v>
      </c>
      <c r="J6" s="5">
        <f>C23</f>
        <v>0.2</v>
      </c>
    </row>
    <row r="7" spans="1:11" x14ac:dyDescent="0.3">
      <c r="A7" s="16"/>
      <c r="B7" s="36"/>
      <c r="C7" s="36"/>
      <c r="D7" s="36"/>
      <c r="E7" s="36"/>
      <c r="F7" s="36"/>
      <c r="G7" s="37"/>
    </row>
    <row r="8" spans="1:11" x14ac:dyDescent="0.3">
      <c r="A8" s="16"/>
      <c r="B8" s="116">
        <v>1000000</v>
      </c>
      <c r="C8" s="43" t="s">
        <v>547</v>
      </c>
      <c r="D8" s="117"/>
      <c r="E8" s="117"/>
      <c r="F8" s="118"/>
      <c r="G8" s="37"/>
      <c r="I8" t="s">
        <v>396</v>
      </c>
      <c r="K8" s="62">
        <f>B9</f>
        <v>900000</v>
      </c>
    </row>
    <row r="9" spans="1:11" x14ac:dyDescent="0.3">
      <c r="A9" s="16"/>
      <c r="B9" s="71">
        <v>900000</v>
      </c>
      <c r="C9" s="267" t="s">
        <v>1093</v>
      </c>
      <c r="D9" s="36"/>
      <c r="E9" s="36"/>
      <c r="F9" s="119"/>
      <c r="G9" s="37"/>
      <c r="I9" t="s">
        <v>1117</v>
      </c>
      <c r="K9" s="62">
        <f>B9*J6</f>
        <v>180000</v>
      </c>
    </row>
    <row r="10" spans="1:11" x14ac:dyDescent="0.3">
      <c r="A10" s="16"/>
      <c r="B10" s="71">
        <v>250000</v>
      </c>
      <c r="C10" s="267" t="s">
        <v>1094</v>
      </c>
      <c r="D10" s="36"/>
      <c r="E10" s="36"/>
      <c r="F10" s="119"/>
      <c r="G10" s="37"/>
      <c r="I10" t="s">
        <v>404</v>
      </c>
      <c r="K10" s="62">
        <f>K8-K9</f>
        <v>720000</v>
      </c>
    </row>
    <row r="11" spans="1:11" x14ac:dyDescent="0.3">
      <c r="A11" s="16"/>
      <c r="B11" s="71">
        <v>1000000</v>
      </c>
      <c r="C11" s="267" t="s">
        <v>1095</v>
      </c>
      <c r="D11" s="36"/>
      <c r="E11" s="36"/>
      <c r="F11" s="119"/>
      <c r="G11" s="37"/>
      <c r="I11" t="s">
        <v>1118</v>
      </c>
    </row>
    <row r="12" spans="1:11" x14ac:dyDescent="0.3">
      <c r="A12" s="16"/>
      <c r="B12" s="433">
        <v>7.0000000000000007E-2</v>
      </c>
      <c r="C12" s="267" t="s">
        <v>1096</v>
      </c>
      <c r="D12" s="36"/>
      <c r="E12" s="36"/>
      <c r="F12" s="119"/>
      <c r="G12" s="37"/>
    </row>
    <row r="13" spans="1:11" x14ac:dyDescent="0.3">
      <c r="A13" s="16"/>
      <c r="B13" s="433">
        <v>0.05</v>
      </c>
      <c r="C13" s="267" t="s">
        <v>1097</v>
      </c>
      <c r="D13" s="36"/>
      <c r="E13" s="36"/>
      <c r="F13" s="119"/>
      <c r="G13" s="37"/>
      <c r="I13" t="s">
        <v>1121</v>
      </c>
    </row>
    <row r="14" spans="1:11" x14ac:dyDescent="0.3">
      <c r="A14" s="16"/>
      <c r="B14" s="433">
        <v>0.05</v>
      </c>
      <c r="C14" s="267" t="s">
        <v>1098</v>
      </c>
      <c r="D14" s="36"/>
      <c r="E14" s="36"/>
      <c r="F14" s="119"/>
      <c r="G14" s="37"/>
      <c r="I14" s="439">
        <f>B8/(K8-K9)</f>
        <v>1.3888888888888888</v>
      </c>
      <c r="J14" t="s">
        <v>1123</v>
      </c>
    </row>
    <row r="15" spans="1:11" x14ac:dyDescent="0.3">
      <c r="A15" s="16"/>
      <c r="B15" s="433">
        <v>0.04</v>
      </c>
      <c r="C15" s="267" t="s">
        <v>1099</v>
      </c>
      <c r="D15" s="36"/>
      <c r="E15" s="36"/>
      <c r="F15" s="119"/>
      <c r="G15" s="37"/>
    </row>
    <row r="16" spans="1:11" x14ac:dyDescent="0.3">
      <c r="A16" s="16"/>
      <c r="B16" s="433">
        <v>0.05</v>
      </c>
      <c r="C16" s="267" t="s">
        <v>1100</v>
      </c>
      <c r="D16" s="36"/>
      <c r="E16" s="36"/>
      <c r="F16" s="119"/>
      <c r="G16" s="37"/>
      <c r="I16">
        <f>F25</f>
        <v>0.09</v>
      </c>
      <c r="J16" t="s">
        <v>1122</v>
      </c>
    </row>
    <row r="17" spans="1:13" x14ac:dyDescent="0.3">
      <c r="A17" s="16"/>
      <c r="B17" s="433">
        <v>2.5000000000000001E-2</v>
      </c>
      <c r="C17" s="267" t="s">
        <v>1101</v>
      </c>
      <c r="D17" s="36"/>
      <c r="E17" s="36"/>
      <c r="F17" s="119"/>
      <c r="G17" s="37"/>
    </row>
    <row r="18" spans="1:13" x14ac:dyDescent="0.3">
      <c r="A18" s="16"/>
      <c r="B18" s="434">
        <v>0.08</v>
      </c>
      <c r="C18" s="268" t="s">
        <v>1102</v>
      </c>
      <c r="D18" s="120"/>
      <c r="E18" s="120"/>
      <c r="F18" s="121"/>
      <c r="G18" s="37"/>
      <c r="I18" t="s">
        <v>1124</v>
      </c>
    </row>
    <row r="19" spans="1:13" x14ac:dyDescent="0.3">
      <c r="A19" s="16"/>
      <c r="B19" s="36"/>
      <c r="C19" s="36"/>
      <c r="D19" s="36"/>
      <c r="E19" s="36"/>
      <c r="F19" s="36"/>
      <c r="G19" s="37"/>
    </row>
    <row r="20" spans="1:13" x14ac:dyDescent="0.3">
      <c r="A20" s="16"/>
      <c r="B20" s="36"/>
      <c r="C20" s="36"/>
      <c r="D20" s="36"/>
      <c r="E20" s="68"/>
      <c r="F20" s="45" t="s">
        <v>1078</v>
      </c>
      <c r="G20" s="37"/>
      <c r="I20" t="s">
        <v>1125</v>
      </c>
    </row>
    <row r="21" spans="1:13" x14ac:dyDescent="0.3">
      <c r="A21" s="16"/>
      <c r="B21" s="36"/>
      <c r="C21" s="36"/>
      <c r="D21" s="36"/>
      <c r="E21" s="69" t="s">
        <v>1053</v>
      </c>
      <c r="F21" s="65" t="s">
        <v>1105</v>
      </c>
      <c r="G21" s="37"/>
      <c r="I21" s="62">
        <f>K9</f>
        <v>180000</v>
      </c>
      <c r="J21" t="s">
        <v>1126</v>
      </c>
    </row>
    <row r="22" spans="1:13" x14ac:dyDescent="0.3">
      <c r="A22" s="16"/>
      <c r="B22" s="168" t="s">
        <v>1103</v>
      </c>
      <c r="C22" s="115" t="s">
        <v>1104</v>
      </c>
      <c r="D22" s="36"/>
      <c r="E22" s="70" t="s">
        <v>1052</v>
      </c>
      <c r="F22" s="48" t="s">
        <v>1077</v>
      </c>
      <c r="G22" s="37"/>
      <c r="I22" s="62">
        <f>K10*I16</f>
        <v>64800</v>
      </c>
      <c r="J22" t="s">
        <v>1127</v>
      </c>
      <c r="M22" t="s">
        <v>1128</v>
      </c>
    </row>
    <row r="23" spans="1:13" x14ac:dyDescent="0.3">
      <c r="A23" s="16"/>
      <c r="B23" s="71">
        <v>250000</v>
      </c>
      <c r="C23" s="65">
        <v>0.2</v>
      </c>
      <c r="D23" s="36"/>
      <c r="E23" s="68">
        <v>1.1100000000000001</v>
      </c>
      <c r="F23" s="65">
        <v>0.18</v>
      </c>
      <c r="G23" s="37"/>
      <c r="I23" s="62">
        <f>K8*B12</f>
        <v>63000.000000000007</v>
      </c>
      <c r="J23" t="s">
        <v>1129</v>
      </c>
    </row>
    <row r="24" spans="1:13" x14ac:dyDescent="0.3">
      <c r="A24" s="16"/>
      <c r="B24" s="71">
        <v>500000</v>
      </c>
      <c r="C24" s="65">
        <v>0.09</v>
      </c>
      <c r="D24" s="36"/>
      <c r="E24" s="69">
        <v>1.25</v>
      </c>
      <c r="F24" s="65">
        <v>0.13</v>
      </c>
      <c r="G24" s="37"/>
      <c r="I24" s="62">
        <f>K8*B13</f>
        <v>45000</v>
      </c>
      <c r="J24" t="s">
        <v>1130</v>
      </c>
    </row>
    <row r="25" spans="1:13" x14ac:dyDescent="0.3">
      <c r="A25" s="16"/>
      <c r="B25" s="71">
        <v>750000</v>
      </c>
      <c r="C25" s="65">
        <v>0.06</v>
      </c>
      <c r="D25" s="36"/>
      <c r="E25" s="69">
        <v>1.39</v>
      </c>
      <c r="F25" s="65">
        <v>0.09</v>
      </c>
      <c r="G25" s="37"/>
      <c r="I25" s="62">
        <f>B8*B14</f>
        <v>50000</v>
      </c>
      <c r="J25" t="s">
        <v>1131</v>
      </c>
    </row>
    <row r="26" spans="1:13" x14ac:dyDescent="0.3">
      <c r="A26" s="16"/>
      <c r="B26" s="72">
        <v>1000000</v>
      </c>
      <c r="C26" s="48">
        <v>0.03</v>
      </c>
      <c r="D26" s="36"/>
      <c r="E26" s="70">
        <v>1.5</v>
      </c>
      <c r="F26" s="48">
        <v>0.06</v>
      </c>
      <c r="G26" s="37"/>
      <c r="I26" s="62">
        <f>B8*B15</f>
        <v>40000</v>
      </c>
      <c r="J26" t="s">
        <v>1132</v>
      </c>
    </row>
    <row r="27" spans="1:13" x14ac:dyDescent="0.3">
      <c r="A27" s="16"/>
      <c r="B27" s="36"/>
      <c r="C27" s="36"/>
      <c r="D27" s="36"/>
      <c r="E27" s="36"/>
      <c r="F27" s="36"/>
      <c r="G27" s="37"/>
    </row>
    <row r="28" spans="1:13" x14ac:dyDescent="0.3">
      <c r="A28" s="63" t="s">
        <v>10</v>
      </c>
      <c r="B28" s="36" t="s">
        <v>1106</v>
      </c>
      <c r="C28" s="36"/>
      <c r="D28" s="36"/>
      <c r="E28" s="36"/>
      <c r="F28" s="36"/>
      <c r="G28" s="37"/>
      <c r="I28" s="356">
        <f>SUM(B16:B18)</f>
        <v>0.15500000000000003</v>
      </c>
      <c r="J28" t="s">
        <v>1133</v>
      </c>
    </row>
    <row r="29" spans="1:13" x14ac:dyDescent="0.3">
      <c r="A29" s="16"/>
      <c r="B29" s="36"/>
      <c r="C29" s="36"/>
      <c r="D29" s="36"/>
      <c r="E29" s="36"/>
      <c r="F29" s="36"/>
      <c r="G29" s="37"/>
    </row>
    <row r="30" spans="1:13" x14ac:dyDescent="0.3">
      <c r="A30" s="16"/>
      <c r="B30" s="36" t="s">
        <v>1108</v>
      </c>
      <c r="C30" s="36"/>
      <c r="D30" s="36"/>
      <c r="E30" s="36"/>
      <c r="F30" s="36"/>
      <c r="G30" s="37"/>
      <c r="I30" s="271">
        <f>SUM(I21:I26)/(1-I28)</f>
        <v>524023.6686390533</v>
      </c>
      <c r="J30" t="s">
        <v>1134</v>
      </c>
    </row>
    <row r="31" spans="1:13" x14ac:dyDescent="0.3">
      <c r="A31" s="16"/>
      <c r="B31" s="36" t="s">
        <v>1107</v>
      </c>
      <c r="C31" s="36"/>
      <c r="D31" s="36"/>
      <c r="E31" s="36"/>
      <c r="F31" s="36"/>
      <c r="G31" s="37"/>
    </row>
    <row r="32" spans="1:13" x14ac:dyDescent="0.3">
      <c r="A32" s="16"/>
      <c r="B32" s="36"/>
      <c r="C32" s="36"/>
      <c r="D32" s="36"/>
      <c r="E32" s="36"/>
      <c r="F32" s="36"/>
      <c r="G32" s="37"/>
      <c r="H32" t="s">
        <v>38</v>
      </c>
      <c r="I32" t="s">
        <v>1135</v>
      </c>
    </row>
    <row r="33" spans="1:10" x14ac:dyDescent="0.3">
      <c r="A33" s="16"/>
      <c r="B33" s="36" t="s">
        <v>1114</v>
      </c>
      <c r="C33" s="36"/>
      <c r="D33" s="36"/>
      <c r="E33" s="36"/>
      <c r="F33" s="36"/>
      <c r="G33" s="37"/>
      <c r="I33" t="s">
        <v>1136</v>
      </c>
    </row>
    <row r="34" spans="1:10" x14ac:dyDescent="0.3">
      <c r="A34" s="16"/>
      <c r="B34" s="36" t="s">
        <v>1109</v>
      </c>
      <c r="C34" s="36"/>
      <c r="D34" s="36"/>
      <c r="E34" s="36"/>
      <c r="F34" s="36"/>
      <c r="G34" s="37"/>
      <c r="I34" t="s">
        <v>1137</v>
      </c>
    </row>
    <row r="35" spans="1:10" x14ac:dyDescent="0.3">
      <c r="A35" s="16"/>
      <c r="B35" s="36"/>
      <c r="C35" s="36"/>
      <c r="D35" s="36"/>
      <c r="E35" s="36"/>
      <c r="F35" s="36"/>
      <c r="G35" s="37"/>
      <c r="I35" t="s">
        <v>1138</v>
      </c>
    </row>
    <row r="36" spans="1:10" x14ac:dyDescent="0.3">
      <c r="A36" s="16"/>
      <c r="B36" s="441">
        <v>-1.4999999999999999E-2</v>
      </c>
      <c r="C36" s="117" t="s">
        <v>706</v>
      </c>
      <c r="D36" s="118"/>
      <c r="E36" s="36"/>
      <c r="F36" s="36"/>
      <c r="G36" s="37"/>
      <c r="I36" t="s">
        <v>1139</v>
      </c>
    </row>
    <row r="37" spans="1:10" x14ac:dyDescent="0.3">
      <c r="A37" s="16"/>
      <c r="B37" s="434">
        <v>0.03</v>
      </c>
      <c r="C37" s="120" t="s">
        <v>1110</v>
      </c>
      <c r="D37" s="121"/>
      <c r="E37" s="36"/>
      <c r="F37" s="36"/>
      <c r="G37" s="37"/>
      <c r="I37" t="s">
        <v>1140</v>
      </c>
    </row>
    <row r="38" spans="1:10" x14ac:dyDescent="0.3">
      <c r="A38" s="16"/>
      <c r="B38" s="36"/>
      <c r="C38" s="36"/>
      <c r="D38" s="36"/>
      <c r="E38" s="36"/>
      <c r="F38" s="36"/>
      <c r="G38" s="37"/>
      <c r="I38" t="s">
        <v>1141</v>
      </c>
    </row>
    <row r="39" spans="1:10" x14ac:dyDescent="0.3">
      <c r="A39" s="16"/>
      <c r="B39" s="36" t="s">
        <v>1111</v>
      </c>
      <c r="C39" s="36"/>
      <c r="D39" s="36"/>
      <c r="E39" s="36"/>
      <c r="F39" s="36"/>
      <c r="G39" s="37"/>
      <c r="I39" t="s">
        <v>1142</v>
      </c>
    </row>
    <row r="40" spans="1:10" x14ac:dyDescent="0.3">
      <c r="A40" s="16"/>
      <c r="B40" s="36"/>
      <c r="C40" s="36"/>
      <c r="D40" s="36"/>
      <c r="E40" s="36"/>
      <c r="F40" s="36"/>
      <c r="G40" s="37"/>
    </row>
    <row r="41" spans="1:10" x14ac:dyDescent="0.3">
      <c r="A41" s="16"/>
      <c r="B41" s="36" t="s">
        <v>1112</v>
      </c>
      <c r="C41" s="36"/>
      <c r="D41" s="36"/>
      <c r="E41" s="36"/>
      <c r="F41" s="36"/>
      <c r="G41" s="37"/>
      <c r="H41" t="s">
        <v>240</v>
      </c>
      <c r="I41" s="62">
        <f>I21</f>
        <v>180000</v>
      </c>
      <c r="J41" t="s">
        <v>1126</v>
      </c>
    </row>
    <row r="42" spans="1:10" ht="15" thickBot="1" x14ac:dyDescent="0.35">
      <c r="A42" s="17"/>
      <c r="B42" s="41" t="s">
        <v>1113</v>
      </c>
      <c r="C42" s="41"/>
      <c r="D42" s="41"/>
      <c r="E42" s="41"/>
      <c r="F42" s="41"/>
      <c r="G42" s="42"/>
      <c r="I42" s="62">
        <f>I22</f>
        <v>64800</v>
      </c>
      <c r="J42" t="s">
        <v>1127</v>
      </c>
    </row>
    <row r="43" spans="1:10" x14ac:dyDescent="0.3">
      <c r="I43" s="62">
        <f>(I41+I42)*B12</f>
        <v>17136</v>
      </c>
      <c r="J43" t="s">
        <v>1144</v>
      </c>
    </row>
    <row r="44" spans="1:10" x14ac:dyDescent="0.3">
      <c r="I44" s="62">
        <v>0</v>
      </c>
      <c r="J44" t="s">
        <v>1145</v>
      </c>
    </row>
    <row r="45" spans="1:10" x14ac:dyDescent="0.3">
      <c r="I45" s="62">
        <f>B8*B14</f>
        <v>50000</v>
      </c>
      <c r="J45" t="s">
        <v>1131</v>
      </c>
    </row>
    <row r="46" spans="1:10" x14ac:dyDescent="0.3">
      <c r="I46" s="62">
        <v>0</v>
      </c>
      <c r="J46" t="s">
        <v>1146</v>
      </c>
    </row>
    <row r="48" spans="1:10" x14ac:dyDescent="0.3">
      <c r="I48" s="356">
        <f>B16+SUM(B36:B37)</f>
        <v>6.5000000000000002E-2</v>
      </c>
      <c r="J48" t="s">
        <v>1143</v>
      </c>
    </row>
    <row r="50" spans="8:10" x14ac:dyDescent="0.3">
      <c r="I50" s="271">
        <f>SUM(I41:I46)/(1-I48)</f>
        <v>333621.39037433156</v>
      </c>
      <c r="J50" t="s">
        <v>1147</v>
      </c>
    </row>
    <row r="52" spans="8:10" x14ac:dyDescent="0.3">
      <c r="H52" t="s">
        <v>1148</v>
      </c>
      <c r="I52" t="s">
        <v>1149</v>
      </c>
    </row>
    <row r="53" spans="8:10" x14ac:dyDescent="0.3">
      <c r="I53" t="s">
        <v>1150</v>
      </c>
    </row>
    <row r="55" spans="8:10" x14ac:dyDescent="0.3">
      <c r="I55" t="s">
        <v>1151</v>
      </c>
    </row>
  </sheetData>
  <mergeCells count="1">
    <mergeCell ref="F1:G1"/>
  </mergeCells>
  <hyperlinks>
    <hyperlink ref="F1" location="TOC!A1" display="Return to TOC" xr:uid="{4073B9C5-DFFC-47EF-9783-8C8536A8F4FE}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41E3A-82D5-409C-9BE2-8424B23BE9B2}">
  <dimension ref="A1:O70"/>
  <sheetViews>
    <sheetView workbookViewId="0"/>
  </sheetViews>
  <sheetFormatPr defaultRowHeight="14.4" x14ac:dyDescent="0.3"/>
  <cols>
    <col min="1" max="1" width="13.33203125" bestFit="1" customWidth="1"/>
    <col min="2" max="2" width="10.44140625" bestFit="1" customWidth="1"/>
    <col min="3" max="4" width="9.33203125" customWidth="1"/>
    <col min="6" max="6" width="10.33203125" bestFit="1" customWidth="1"/>
    <col min="9" max="9" width="3.44140625" customWidth="1"/>
    <col min="10" max="10" width="3.77734375" customWidth="1"/>
    <col min="11" max="11" width="16.88671875" customWidth="1"/>
    <col min="12" max="12" width="11.5546875" bestFit="1" customWidth="1"/>
  </cols>
  <sheetData>
    <row r="1" spans="1:14" x14ac:dyDescent="0.3">
      <c r="A1" s="6" t="s">
        <v>4</v>
      </c>
      <c r="B1" s="7" t="s">
        <v>710</v>
      </c>
      <c r="C1" s="7"/>
      <c r="D1" s="8"/>
      <c r="E1" s="8"/>
      <c r="F1" s="8"/>
      <c r="G1" s="8"/>
      <c r="H1" s="490" t="s">
        <v>5</v>
      </c>
      <c r="I1" s="491"/>
      <c r="K1" s="10" t="s">
        <v>6</v>
      </c>
    </row>
    <row r="2" spans="1:14" x14ac:dyDescent="0.3">
      <c r="A2" s="11" t="s">
        <v>7</v>
      </c>
      <c r="B2" s="33" t="s">
        <v>1153</v>
      </c>
      <c r="C2" s="33"/>
      <c r="D2" s="33"/>
      <c r="E2" s="33"/>
      <c r="F2" s="33"/>
      <c r="G2" s="33"/>
      <c r="H2" s="33"/>
      <c r="I2" s="12"/>
      <c r="J2" t="s">
        <v>28</v>
      </c>
      <c r="K2" t="s">
        <v>1173</v>
      </c>
    </row>
    <row r="3" spans="1:14" x14ac:dyDescent="0.3">
      <c r="A3" s="11" t="s">
        <v>8</v>
      </c>
      <c r="B3" s="33" t="s">
        <v>1211</v>
      </c>
      <c r="C3" s="33"/>
      <c r="D3" s="33"/>
      <c r="E3" s="33"/>
      <c r="F3" s="33"/>
      <c r="G3" s="33"/>
      <c r="H3" s="33"/>
      <c r="I3" s="12"/>
      <c r="J3" s="185"/>
    </row>
    <row r="4" spans="1:14" x14ac:dyDescent="0.3">
      <c r="A4" s="13"/>
      <c r="B4" s="34"/>
      <c r="C4" s="34"/>
      <c r="D4" s="34"/>
      <c r="E4" s="34"/>
      <c r="F4" s="34"/>
      <c r="G4" s="34"/>
      <c r="H4" s="34"/>
      <c r="I4" s="14"/>
      <c r="J4" s="185"/>
      <c r="K4" t="s">
        <v>396</v>
      </c>
      <c r="L4" s="62">
        <f>B7*B8</f>
        <v>650000</v>
      </c>
    </row>
    <row r="5" spans="1:14" x14ac:dyDescent="0.3">
      <c r="A5" s="15" t="s">
        <v>9</v>
      </c>
      <c r="B5" s="33" t="s">
        <v>1154</v>
      </c>
      <c r="C5" s="36"/>
      <c r="D5" s="36"/>
      <c r="E5" s="36"/>
      <c r="F5" s="36"/>
      <c r="G5" s="36"/>
      <c r="H5" s="36"/>
      <c r="I5" s="37"/>
      <c r="J5" s="185"/>
      <c r="K5" t="s">
        <v>1034</v>
      </c>
      <c r="L5" s="62">
        <f>B7*B9</f>
        <v>200000</v>
      </c>
    </row>
    <row r="6" spans="1:14" x14ac:dyDescent="0.3">
      <c r="A6" s="16"/>
      <c r="B6" s="33" t="s">
        <v>1155</v>
      </c>
      <c r="C6" s="36"/>
      <c r="D6" s="36"/>
      <c r="E6" s="36"/>
      <c r="F6" s="36"/>
      <c r="G6" s="36"/>
      <c r="H6" s="36"/>
      <c r="I6" s="37"/>
      <c r="K6" t="s">
        <v>1174</v>
      </c>
      <c r="L6">
        <f>1/(1-B11)</f>
        <v>1.0416666666666667</v>
      </c>
    </row>
    <row r="7" spans="1:14" x14ac:dyDescent="0.3">
      <c r="A7" s="16"/>
      <c r="B7" s="116">
        <v>1000000</v>
      </c>
      <c r="C7" s="43" t="s">
        <v>547</v>
      </c>
      <c r="D7" s="117"/>
      <c r="E7" s="118"/>
      <c r="F7" s="36"/>
      <c r="G7" s="36"/>
      <c r="H7" s="36"/>
      <c r="I7" s="37"/>
    </row>
    <row r="8" spans="1:14" x14ac:dyDescent="0.3">
      <c r="A8" s="16"/>
      <c r="B8" s="235">
        <v>0.65</v>
      </c>
      <c r="C8" s="267" t="s">
        <v>1156</v>
      </c>
      <c r="D8" s="36"/>
      <c r="E8" s="119"/>
      <c r="F8" s="36"/>
      <c r="G8" s="36"/>
      <c r="H8" s="36"/>
      <c r="I8" s="37"/>
      <c r="K8" t="s">
        <v>1175</v>
      </c>
      <c r="L8" s="271">
        <f>(L4+L5)*L6</f>
        <v>885416.66666666674</v>
      </c>
    </row>
    <row r="9" spans="1:14" x14ac:dyDescent="0.3">
      <c r="A9" s="16"/>
      <c r="B9" s="235">
        <v>0.2</v>
      </c>
      <c r="C9" s="267" t="s">
        <v>596</v>
      </c>
      <c r="D9" s="36"/>
      <c r="E9" s="119"/>
      <c r="F9" s="36"/>
      <c r="G9" s="36"/>
      <c r="H9" s="36"/>
      <c r="I9" s="37"/>
    </row>
    <row r="10" spans="1:14" x14ac:dyDescent="0.3">
      <c r="A10" s="16"/>
      <c r="B10" s="69">
        <v>1.1000000000000001</v>
      </c>
      <c r="C10" s="267" t="s">
        <v>440</v>
      </c>
      <c r="D10" s="36"/>
      <c r="E10" s="119"/>
      <c r="F10" s="36"/>
      <c r="G10" s="36"/>
      <c r="H10" s="36"/>
      <c r="I10" s="37"/>
      <c r="J10" t="s">
        <v>38</v>
      </c>
      <c r="K10" t="s">
        <v>1176</v>
      </c>
    </row>
    <row r="11" spans="1:14" x14ac:dyDescent="0.3">
      <c r="A11" s="16"/>
      <c r="B11" s="235">
        <v>0.04</v>
      </c>
      <c r="C11" s="267" t="s">
        <v>705</v>
      </c>
      <c r="D11" s="36"/>
      <c r="E11" s="119"/>
      <c r="F11" s="36"/>
      <c r="G11" s="36"/>
      <c r="H11" s="36"/>
      <c r="I11" s="37"/>
      <c r="K11" s="185"/>
      <c r="L11" s="185"/>
      <c r="M11" s="185"/>
      <c r="N11" s="185"/>
    </row>
    <row r="12" spans="1:14" x14ac:dyDescent="0.3">
      <c r="A12" s="16"/>
      <c r="B12" s="71">
        <v>1200000</v>
      </c>
      <c r="C12" s="267" t="s">
        <v>549</v>
      </c>
      <c r="D12" s="36"/>
      <c r="E12" s="119"/>
      <c r="F12" s="36"/>
      <c r="G12" s="36"/>
      <c r="H12" s="36"/>
      <c r="I12" s="37"/>
      <c r="K12" s="185"/>
      <c r="L12" s="185"/>
      <c r="M12" s="185"/>
      <c r="N12" s="185"/>
    </row>
    <row r="13" spans="1:14" x14ac:dyDescent="0.3">
      <c r="A13" s="16"/>
      <c r="B13" s="72">
        <v>750000</v>
      </c>
      <c r="C13" s="268" t="s">
        <v>548</v>
      </c>
      <c r="D13" s="120"/>
      <c r="E13" s="121"/>
      <c r="F13" s="36"/>
      <c r="G13" s="36"/>
      <c r="H13" s="36"/>
      <c r="I13" s="37"/>
      <c r="K13" t="s">
        <v>1177</v>
      </c>
      <c r="N13" s="185"/>
    </row>
    <row r="14" spans="1:14" x14ac:dyDescent="0.3">
      <c r="A14" s="16"/>
      <c r="B14" s="36"/>
      <c r="C14" s="36"/>
      <c r="D14" s="36"/>
      <c r="E14" s="36"/>
      <c r="F14" s="36"/>
      <c r="G14" s="36"/>
      <c r="H14" s="36"/>
      <c r="I14" s="37"/>
      <c r="K14" s="62">
        <f>G32*B7</f>
        <v>214000</v>
      </c>
      <c r="L14" t="s">
        <v>1178</v>
      </c>
      <c r="N14" s="185"/>
    </row>
    <row r="15" spans="1:14" x14ac:dyDescent="0.3">
      <c r="A15" s="16"/>
      <c r="B15" s="36" t="s">
        <v>1157</v>
      </c>
      <c r="C15" s="36"/>
      <c r="D15" s="36"/>
      <c r="E15" s="36"/>
      <c r="F15" s="36"/>
      <c r="G15" s="36"/>
      <c r="H15" s="36"/>
      <c r="I15" s="37"/>
      <c r="K15" t="s">
        <v>1179</v>
      </c>
      <c r="N15" s="185"/>
    </row>
    <row r="16" spans="1:14" x14ac:dyDescent="0.3">
      <c r="A16" s="16"/>
      <c r="B16" s="68" t="s">
        <v>1053</v>
      </c>
      <c r="C16" s="44" t="s">
        <v>1158</v>
      </c>
      <c r="D16" s="44"/>
      <c r="E16" s="44"/>
      <c r="F16" s="44"/>
      <c r="G16" s="44"/>
      <c r="H16" s="58"/>
      <c r="I16" s="37"/>
      <c r="K16" t="s">
        <v>404</v>
      </c>
      <c r="L16" s="62">
        <f>L4-K14</f>
        <v>436000</v>
      </c>
      <c r="N16" s="185"/>
    </row>
    <row r="17" spans="1:14" x14ac:dyDescent="0.3">
      <c r="A17" s="16"/>
      <c r="B17" s="70" t="s">
        <v>1052</v>
      </c>
      <c r="C17" s="47">
        <v>31</v>
      </c>
      <c r="D17" s="47">
        <v>30</v>
      </c>
      <c r="E17" s="47">
        <v>29</v>
      </c>
      <c r="F17" s="47">
        <v>28</v>
      </c>
      <c r="G17" s="47">
        <v>27</v>
      </c>
      <c r="H17" s="48">
        <v>26</v>
      </c>
      <c r="I17" s="37"/>
      <c r="N17" s="185"/>
    </row>
    <row r="18" spans="1:14" x14ac:dyDescent="0.3">
      <c r="A18" s="16"/>
      <c r="B18" s="73">
        <v>0.7</v>
      </c>
      <c r="C18" s="417">
        <v>0.40260000000000001</v>
      </c>
      <c r="D18" s="418">
        <v>0.4</v>
      </c>
      <c r="E18" s="418">
        <v>0.39750000000000002</v>
      </c>
      <c r="F18" s="418">
        <v>0.39489999999999997</v>
      </c>
      <c r="G18" s="418">
        <v>0.39240000000000003</v>
      </c>
      <c r="H18" s="419">
        <v>0.38979999999999998</v>
      </c>
      <c r="I18" s="37"/>
      <c r="K18" s="185" t="s">
        <v>1180</v>
      </c>
      <c r="L18" s="188">
        <f>(L4-L16)/L4</f>
        <v>0.32923076923076922</v>
      </c>
      <c r="M18" s="185"/>
    </row>
    <row r="19" spans="1:14" x14ac:dyDescent="0.3">
      <c r="A19" s="16"/>
      <c r="B19" s="73">
        <v>0.8</v>
      </c>
      <c r="C19" s="420">
        <v>0.39119999999999999</v>
      </c>
      <c r="D19" s="421">
        <v>0.3826</v>
      </c>
      <c r="E19" s="421">
        <v>0.374</v>
      </c>
      <c r="F19" s="421">
        <v>0.36559999999999998</v>
      </c>
      <c r="G19" s="421">
        <v>0.35809999999999997</v>
      </c>
      <c r="H19" s="422">
        <v>0.34889999999999999</v>
      </c>
      <c r="I19" s="37"/>
      <c r="K19" s="185"/>
      <c r="L19" s="185"/>
      <c r="M19" s="185"/>
    </row>
    <row r="20" spans="1:14" x14ac:dyDescent="0.3">
      <c r="A20" s="16"/>
      <c r="B20" s="73">
        <v>0.9</v>
      </c>
      <c r="C20" s="420">
        <v>0.35189999999999999</v>
      </c>
      <c r="D20" s="421">
        <v>0.34260000000000002</v>
      </c>
      <c r="E20" s="421">
        <v>0.33339999999999997</v>
      </c>
      <c r="F20" s="421">
        <v>0.32419999999999999</v>
      </c>
      <c r="G20" s="421">
        <v>0.31890000000000002</v>
      </c>
      <c r="H20" s="422">
        <v>0.30599999999999999</v>
      </c>
      <c r="I20" s="37"/>
      <c r="K20" s="185"/>
      <c r="L20" s="185"/>
      <c r="M20" s="185"/>
    </row>
    <row r="21" spans="1:14" x14ac:dyDescent="0.3">
      <c r="A21" s="16"/>
      <c r="B21" s="73">
        <v>1</v>
      </c>
      <c r="C21" s="420">
        <v>0.3135</v>
      </c>
      <c r="D21" s="421">
        <v>0.30370000000000003</v>
      </c>
      <c r="E21" s="421">
        <v>0.29380000000000001</v>
      </c>
      <c r="F21" s="421">
        <v>0.28389999999999999</v>
      </c>
      <c r="G21" s="421">
        <v>0.28089999999999998</v>
      </c>
      <c r="H21" s="422">
        <v>0.26419999999999999</v>
      </c>
      <c r="I21" s="37"/>
      <c r="K21" s="185"/>
      <c r="L21" s="185"/>
      <c r="M21" s="185"/>
    </row>
    <row r="22" spans="1:14" x14ac:dyDescent="0.3">
      <c r="A22" s="16"/>
      <c r="B22" s="73">
        <v>1.1000000000000001</v>
      </c>
      <c r="C22" s="420">
        <v>0.2777</v>
      </c>
      <c r="D22" s="421">
        <v>0.26729999999999998</v>
      </c>
      <c r="E22" s="421">
        <v>0.25700000000000001</v>
      </c>
      <c r="F22" s="421">
        <v>0.24640000000000001</v>
      </c>
      <c r="G22" s="421">
        <v>0.24160000000000001</v>
      </c>
      <c r="H22" s="422">
        <v>0.22539999999999999</v>
      </c>
      <c r="I22" s="37"/>
      <c r="K22" s="185" t="s">
        <v>1059</v>
      </c>
      <c r="L22" s="295">
        <f>(1+0.8*L18)/(1-L18)</f>
        <v>1.8834862385321101</v>
      </c>
      <c r="M22" s="185"/>
    </row>
    <row r="23" spans="1:14" x14ac:dyDescent="0.3">
      <c r="A23" s="16"/>
      <c r="B23" s="73">
        <v>1.2</v>
      </c>
      <c r="C23" s="420">
        <v>0.25190000000000001</v>
      </c>
      <c r="D23" s="421">
        <v>0.24129999999999999</v>
      </c>
      <c r="E23" s="421">
        <v>0.23069999999999999</v>
      </c>
      <c r="F23" s="421">
        <v>0.22</v>
      </c>
      <c r="G23" s="421">
        <v>0.20930000000000001</v>
      </c>
      <c r="H23" s="422">
        <v>0.1986</v>
      </c>
      <c r="I23" s="37"/>
    </row>
    <row r="24" spans="1:14" x14ac:dyDescent="0.3">
      <c r="A24" s="16"/>
      <c r="B24" s="73">
        <v>1.3</v>
      </c>
      <c r="C24" s="420">
        <v>0.23</v>
      </c>
      <c r="D24" s="421">
        <v>0.21940000000000001</v>
      </c>
      <c r="E24" s="421">
        <v>0.20880000000000001</v>
      </c>
      <c r="F24" s="421">
        <v>0.1981</v>
      </c>
      <c r="G24" s="421">
        <v>0.18740000000000001</v>
      </c>
      <c r="H24" s="422">
        <v>0.17660000000000001</v>
      </c>
      <c r="I24" s="37"/>
      <c r="K24" t="s">
        <v>1181</v>
      </c>
    </row>
    <row r="25" spans="1:14" x14ac:dyDescent="0.3">
      <c r="A25" s="16"/>
      <c r="B25" s="73">
        <v>1.4</v>
      </c>
      <c r="C25" s="420">
        <v>0.20810000000000001</v>
      </c>
      <c r="D25" s="421">
        <v>0.19750000000000001</v>
      </c>
      <c r="E25" s="421">
        <v>0.18679999999999999</v>
      </c>
      <c r="F25" s="421">
        <v>0.17610000000000001</v>
      </c>
      <c r="G25" s="421">
        <v>0.16539999999999999</v>
      </c>
      <c r="H25" s="422">
        <v>0.1547</v>
      </c>
      <c r="I25" s="37"/>
    </row>
    <row r="26" spans="1:14" x14ac:dyDescent="0.3">
      <c r="A26" s="16"/>
      <c r="B26" s="73">
        <v>1.5</v>
      </c>
      <c r="C26" s="420">
        <v>0.18629999999999999</v>
      </c>
      <c r="D26" s="421">
        <v>0.17560000000000001</v>
      </c>
      <c r="E26" s="421">
        <v>0.16489999999999999</v>
      </c>
      <c r="F26" s="421">
        <v>0.1542</v>
      </c>
      <c r="G26" s="421">
        <v>0.14349999999999999</v>
      </c>
      <c r="H26" s="422">
        <v>0.13270000000000001</v>
      </c>
      <c r="I26" s="37"/>
      <c r="K26" s="270">
        <f>L4*L22*1</f>
        <v>1224266.0550458715</v>
      </c>
      <c r="L26" t="s">
        <v>1182</v>
      </c>
    </row>
    <row r="27" spans="1:14" x14ac:dyDescent="0.3">
      <c r="A27" s="16"/>
      <c r="B27" s="74">
        <v>1.6</v>
      </c>
      <c r="C27" s="423">
        <v>0.16439999999999999</v>
      </c>
      <c r="D27" s="424">
        <v>0.1537</v>
      </c>
      <c r="E27" s="424">
        <v>0.1429</v>
      </c>
      <c r="F27" s="424">
        <v>0.13220000000000001</v>
      </c>
      <c r="G27" s="424">
        <v>0.1215</v>
      </c>
      <c r="H27" s="425">
        <v>0.11070000000000001</v>
      </c>
      <c r="I27" s="37"/>
      <c r="K27" t="s">
        <v>1183</v>
      </c>
    </row>
    <row r="28" spans="1:14" x14ac:dyDescent="0.3">
      <c r="A28" s="16"/>
      <c r="B28" s="36"/>
      <c r="C28" s="36"/>
      <c r="D28" s="36"/>
      <c r="E28" s="36"/>
      <c r="F28" s="36"/>
      <c r="G28" s="36"/>
      <c r="H28" s="36"/>
      <c r="I28" s="37"/>
    </row>
    <row r="29" spans="1:14" x14ac:dyDescent="0.3">
      <c r="A29" s="16"/>
      <c r="B29" s="168" t="s">
        <v>1049</v>
      </c>
      <c r="C29" s="414" t="s">
        <v>1159</v>
      </c>
      <c r="D29" s="416"/>
      <c r="E29" s="36"/>
      <c r="F29" s="68" t="s">
        <v>1167</v>
      </c>
      <c r="G29" s="45" t="s">
        <v>1166</v>
      </c>
      <c r="H29" s="36"/>
      <c r="I29" s="37"/>
      <c r="K29" t="s">
        <v>1186</v>
      </c>
    </row>
    <row r="30" spans="1:14" x14ac:dyDescent="0.3">
      <c r="A30" s="16"/>
      <c r="B30" s="69">
        <v>31</v>
      </c>
      <c r="C30" s="167" t="s">
        <v>1160</v>
      </c>
      <c r="D30" s="108"/>
      <c r="E30" s="36"/>
      <c r="F30" s="69" t="s">
        <v>1168</v>
      </c>
      <c r="G30" s="65" t="s">
        <v>80</v>
      </c>
      <c r="H30" s="36"/>
      <c r="I30" s="37"/>
      <c r="K30" t="s">
        <v>1187</v>
      </c>
    </row>
    <row r="31" spans="1:14" x14ac:dyDescent="0.3">
      <c r="A31" s="16"/>
      <c r="B31" s="69">
        <v>30</v>
      </c>
      <c r="C31" s="167" t="s">
        <v>1161</v>
      </c>
      <c r="D31" s="108"/>
      <c r="E31" s="36"/>
      <c r="F31" s="70" t="s">
        <v>1103</v>
      </c>
      <c r="G31" s="48" t="s">
        <v>50</v>
      </c>
      <c r="H31" s="36"/>
      <c r="I31" s="37"/>
    </row>
    <row r="32" spans="1:14" x14ac:dyDescent="0.3">
      <c r="A32" s="16"/>
      <c r="B32" s="69">
        <v>29</v>
      </c>
      <c r="C32" s="167" t="s">
        <v>1162</v>
      </c>
      <c r="D32" s="108"/>
      <c r="E32" s="36"/>
      <c r="F32" s="239">
        <v>50000</v>
      </c>
      <c r="G32" s="115">
        <v>0.214</v>
      </c>
      <c r="H32" s="36"/>
      <c r="I32" s="37"/>
      <c r="K32" t="s">
        <v>1184</v>
      </c>
    </row>
    <row r="33" spans="1:15" x14ac:dyDescent="0.3">
      <c r="A33" s="16"/>
      <c r="B33" s="69">
        <v>28</v>
      </c>
      <c r="C33" s="167" t="s">
        <v>1163</v>
      </c>
      <c r="D33" s="108"/>
      <c r="E33" s="36"/>
      <c r="F33" s="36"/>
      <c r="G33" s="36"/>
      <c r="H33" s="36"/>
      <c r="I33" s="37"/>
    </row>
    <row r="34" spans="1:15" x14ac:dyDescent="0.3">
      <c r="A34" s="16"/>
      <c r="B34" s="69">
        <v>27</v>
      </c>
      <c r="C34" s="167" t="s">
        <v>1164</v>
      </c>
      <c r="D34" s="108"/>
      <c r="E34" s="36"/>
      <c r="F34" s="36"/>
      <c r="G34" s="36"/>
      <c r="H34" s="36"/>
      <c r="I34" s="37"/>
      <c r="K34" s="312" t="s">
        <v>632</v>
      </c>
    </row>
    <row r="35" spans="1:15" x14ac:dyDescent="0.3">
      <c r="A35" s="16"/>
      <c r="B35" s="70">
        <v>26</v>
      </c>
      <c r="C35" s="407" t="s">
        <v>1165</v>
      </c>
      <c r="D35" s="409"/>
      <c r="E35" s="36"/>
      <c r="F35" s="36"/>
      <c r="G35" s="36"/>
      <c r="H35" s="36"/>
      <c r="I35" s="37"/>
    </row>
    <row r="36" spans="1:15" x14ac:dyDescent="0.3">
      <c r="A36" s="16"/>
      <c r="B36" s="36"/>
      <c r="C36" s="36"/>
      <c r="D36" s="36"/>
      <c r="E36" s="36"/>
      <c r="F36" s="36"/>
      <c r="G36" s="36"/>
      <c r="H36" s="36"/>
      <c r="I36" s="37"/>
    </row>
    <row r="37" spans="1:15" x14ac:dyDescent="0.3">
      <c r="A37" s="63" t="s">
        <v>10</v>
      </c>
      <c r="B37" s="36" t="s">
        <v>1026</v>
      </c>
      <c r="C37" s="36"/>
      <c r="D37" s="36"/>
      <c r="E37" s="36"/>
      <c r="F37" s="36"/>
      <c r="G37" s="36"/>
      <c r="H37" s="36"/>
      <c r="I37" s="37"/>
      <c r="O37" s="439"/>
    </row>
    <row r="38" spans="1:15" x14ac:dyDescent="0.3">
      <c r="A38" s="16"/>
      <c r="B38" s="36"/>
      <c r="C38" s="36"/>
      <c r="D38" s="36"/>
      <c r="E38" s="36"/>
      <c r="F38" s="36"/>
      <c r="G38" s="36"/>
      <c r="H38" s="36"/>
      <c r="I38" s="37"/>
    </row>
    <row r="39" spans="1:15" x14ac:dyDescent="0.3">
      <c r="A39" s="16"/>
      <c r="B39" s="36" t="s">
        <v>1196</v>
      </c>
      <c r="C39" s="36"/>
      <c r="D39" s="36"/>
      <c r="E39" s="36"/>
      <c r="F39" s="36"/>
      <c r="G39" s="36"/>
      <c r="H39" s="36"/>
      <c r="I39" s="37"/>
    </row>
    <row r="40" spans="1:15" x14ac:dyDescent="0.3">
      <c r="A40" s="16"/>
      <c r="B40" s="36" t="s">
        <v>1197</v>
      </c>
      <c r="C40" s="36"/>
      <c r="D40" s="36"/>
      <c r="E40" s="36"/>
      <c r="F40" s="36"/>
      <c r="G40" s="36"/>
      <c r="H40" s="36"/>
      <c r="I40" s="37"/>
      <c r="K40" t="s">
        <v>1185</v>
      </c>
    </row>
    <row r="41" spans="1:15" x14ac:dyDescent="0.3">
      <c r="A41" s="16"/>
      <c r="B41" s="36"/>
      <c r="C41" s="36"/>
      <c r="D41" s="36"/>
      <c r="E41" s="36"/>
      <c r="F41" s="36"/>
      <c r="G41" s="36"/>
      <c r="H41" s="36"/>
      <c r="I41" s="37"/>
    </row>
    <row r="42" spans="1:15" ht="15.6" x14ac:dyDescent="0.35">
      <c r="A42" s="16"/>
      <c r="B42" s="36" t="s">
        <v>1172</v>
      </c>
      <c r="C42" s="36"/>
      <c r="D42" s="36"/>
      <c r="E42" s="36"/>
      <c r="F42" s="36"/>
      <c r="G42" s="36"/>
      <c r="H42" s="36"/>
      <c r="I42" s="37"/>
      <c r="K42" t="s">
        <v>1188</v>
      </c>
      <c r="L42">
        <f>((L5+L4)*L6-B13)/(B10*L16*L6)</f>
        <v>0.27105921601334454</v>
      </c>
    </row>
    <row r="43" spans="1:15" x14ac:dyDescent="0.3">
      <c r="A43" s="16"/>
      <c r="B43" s="36" t="s">
        <v>1169</v>
      </c>
      <c r="C43" s="36"/>
      <c r="D43" s="36"/>
      <c r="E43" s="36"/>
      <c r="F43" s="36"/>
      <c r="G43" s="36"/>
      <c r="H43" s="36"/>
      <c r="I43" s="37"/>
    </row>
    <row r="44" spans="1:15" ht="15.6" x14ac:dyDescent="0.35">
      <c r="A44" s="16"/>
      <c r="B44" s="36" t="s">
        <v>1170</v>
      </c>
      <c r="C44" s="36"/>
      <c r="D44" s="36"/>
      <c r="E44" s="36"/>
      <c r="F44" s="36"/>
      <c r="G44" s="36"/>
      <c r="H44" s="36"/>
      <c r="I44" s="37"/>
      <c r="K44" t="s">
        <v>1189</v>
      </c>
      <c r="L44">
        <f>(B12-B13)/(B10*L16*L6)</f>
        <v>0.9007506255212675</v>
      </c>
    </row>
    <row r="45" spans="1:15" x14ac:dyDescent="0.3">
      <c r="A45" s="16"/>
      <c r="B45" s="36"/>
      <c r="C45" s="36"/>
      <c r="D45" s="36"/>
      <c r="E45" s="36"/>
      <c r="F45" s="36"/>
      <c r="G45" s="36"/>
      <c r="H45" s="36"/>
      <c r="I45" s="37"/>
    </row>
    <row r="46" spans="1:15" ht="15" thickBot="1" x14ac:dyDescent="0.35">
      <c r="A46" s="17"/>
      <c r="B46" s="41" t="s">
        <v>1171</v>
      </c>
      <c r="C46" s="41"/>
      <c r="D46" s="41"/>
      <c r="E46" s="41"/>
      <c r="F46" s="41"/>
      <c r="G46" s="41"/>
      <c r="H46" s="41"/>
      <c r="I46" s="42"/>
      <c r="K46" t="s">
        <v>1190</v>
      </c>
    </row>
    <row r="47" spans="1:15" ht="15.6" x14ac:dyDescent="0.35">
      <c r="K47" t="s">
        <v>1191</v>
      </c>
    </row>
    <row r="48" spans="1:15" x14ac:dyDescent="0.3">
      <c r="K48" t="s">
        <v>1192</v>
      </c>
      <c r="O48" s="360">
        <f>G18-G27</f>
        <v>0.27090000000000003</v>
      </c>
    </row>
    <row r="49" spans="10:12" x14ac:dyDescent="0.3">
      <c r="K49" t="s">
        <v>1193</v>
      </c>
    </row>
    <row r="51" spans="10:12" ht="15.6" x14ac:dyDescent="0.35">
      <c r="K51" t="s">
        <v>1198</v>
      </c>
    </row>
    <row r="52" spans="10:12" x14ac:dyDescent="0.3">
      <c r="K52" t="s">
        <v>1201</v>
      </c>
    </row>
    <row r="54" spans="10:12" ht="15.6" x14ac:dyDescent="0.35">
      <c r="K54" t="s">
        <v>1199</v>
      </c>
    </row>
    <row r="55" spans="10:12" ht="15.6" x14ac:dyDescent="0.35">
      <c r="K55" s="440" t="s">
        <v>1194</v>
      </c>
      <c r="L55" s="360">
        <f>G18+B18-1</f>
        <v>9.2400000000000038E-2</v>
      </c>
    </row>
    <row r="56" spans="10:12" ht="15.6" x14ac:dyDescent="0.35">
      <c r="K56" s="440" t="s">
        <v>1195</v>
      </c>
      <c r="L56" s="360">
        <f>G27</f>
        <v>0.1215</v>
      </c>
    </row>
    <row r="57" spans="10:12" ht="15.6" x14ac:dyDescent="0.35">
      <c r="K57" s="440" t="s">
        <v>1200</v>
      </c>
      <c r="L57" s="270">
        <f>(L56-L55)*L16</f>
        <v>12687.599999999982</v>
      </c>
    </row>
    <row r="59" spans="10:12" x14ac:dyDescent="0.3">
      <c r="K59" t="s">
        <v>563</v>
      </c>
      <c r="L59" s="271">
        <f>L5-(B10-1)*L4+B10*L57</f>
        <v>148956.35999999993</v>
      </c>
    </row>
    <row r="60" spans="10:12" x14ac:dyDescent="0.3">
      <c r="L60" s="270"/>
    </row>
    <row r="61" spans="10:12" x14ac:dyDescent="0.3">
      <c r="J61" t="s">
        <v>240</v>
      </c>
      <c r="K61" t="s">
        <v>1202</v>
      </c>
      <c r="L61" s="62"/>
    </row>
    <row r="62" spans="10:12" x14ac:dyDescent="0.3">
      <c r="K62" t="s">
        <v>1203</v>
      </c>
      <c r="L62" s="270"/>
    </row>
    <row r="63" spans="10:12" x14ac:dyDescent="0.3">
      <c r="K63" t="s">
        <v>1204</v>
      </c>
    </row>
    <row r="64" spans="10:12" x14ac:dyDescent="0.3">
      <c r="K64" t="s">
        <v>1205</v>
      </c>
    </row>
    <row r="66" spans="11:11" x14ac:dyDescent="0.3">
      <c r="K66" t="s">
        <v>1206</v>
      </c>
    </row>
    <row r="67" spans="11:11" x14ac:dyDescent="0.3">
      <c r="K67" t="s">
        <v>1207</v>
      </c>
    </row>
    <row r="68" spans="11:11" x14ac:dyDescent="0.3">
      <c r="K68" t="s">
        <v>1208</v>
      </c>
    </row>
    <row r="69" spans="11:11" x14ac:dyDescent="0.3">
      <c r="K69" t="s">
        <v>1209</v>
      </c>
    </row>
    <row r="70" spans="11:11" x14ac:dyDescent="0.3">
      <c r="K70" t="s">
        <v>1210</v>
      </c>
    </row>
  </sheetData>
  <mergeCells count="1">
    <mergeCell ref="H1:I1"/>
  </mergeCells>
  <hyperlinks>
    <hyperlink ref="H1" location="TOC!A1" display="Return to TOC" xr:uid="{65FE0681-AE77-446F-8BBC-99D373B08574}"/>
  </hyperlinks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CFE1A-3D2C-4742-B25D-CE8E94063210}">
  <dimension ref="A1:J23"/>
  <sheetViews>
    <sheetView workbookViewId="0"/>
  </sheetViews>
  <sheetFormatPr defaultRowHeight="14.4" x14ac:dyDescent="0.3"/>
  <cols>
    <col min="1" max="1" width="13.33203125" bestFit="1" customWidth="1"/>
    <col min="2" max="2" width="10.44140625" bestFit="1" customWidth="1"/>
    <col min="7" max="7" width="9.21875" customWidth="1"/>
    <col min="8" max="8" width="3.77734375" customWidth="1"/>
  </cols>
  <sheetData>
    <row r="1" spans="1:10" x14ac:dyDescent="0.3">
      <c r="A1" s="6" t="s">
        <v>4</v>
      </c>
      <c r="B1" s="7" t="s">
        <v>710</v>
      </c>
      <c r="C1" s="7"/>
      <c r="D1" s="8"/>
      <c r="E1" s="8"/>
      <c r="F1" s="490" t="s">
        <v>5</v>
      </c>
      <c r="G1" s="491"/>
      <c r="I1" s="10" t="s">
        <v>6</v>
      </c>
    </row>
    <row r="2" spans="1:10" x14ac:dyDescent="0.3">
      <c r="A2" s="11" t="s">
        <v>7</v>
      </c>
      <c r="B2" s="33" t="s">
        <v>1212</v>
      </c>
      <c r="C2" s="33"/>
      <c r="D2" s="33"/>
      <c r="E2" s="33"/>
      <c r="F2" s="33"/>
      <c r="G2" s="12"/>
      <c r="H2" t="s">
        <v>28</v>
      </c>
      <c r="I2" s="62">
        <f>B9*B10</f>
        <v>650000</v>
      </c>
      <c r="J2" t="s">
        <v>1229</v>
      </c>
    </row>
    <row r="3" spans="1:10" x14ac:dyDescent="0.3">
      <c r="A3" s="11" t="s">
        <v>8</v>
      </c>
      <c r="B3" s="33" t="s">
        <v>1243</v>
      </c>
      <c r="C3" s="33"/>
      <c r="D3" s="33"/>
      <c r="E3" s="33"/>
      <c r="F3" s="33"/>
      <c r="G3" s="12"/>
      <c r="H3" s="185"/>
      <c r="I3" s="62">
        <f>B11*I2</f>
        <v>65000</v>
      </c>
      <c r="J3" t="s">
        <v>1228</v>
      </c>
    </row>
    <row r="4" spans="1:10" x14ac:dyDescent="0.3">
      <c r="A4" s="13"/>
      <c r="B4" s="34"/>
      <c r="C4" s="34"/>
      <c r="D4" s="34"/>
      <c r="E4" s="34"/>
      <c r="F4" s="34"/>
      <c r="G4" s="14"/>
      <c r="H4" s="185"/>
      <c r="I4" s="62">
        <f>I2-I3</f>
        <v>585000</v>
      </c>
      <c r="J4" t="s">
        <v>1230</v>
      </c>
    </row>
    <row r="5" spans="1:10" x14ac:dyDescent="0.3">
      <c r="A5" s="15" t="s">
        <v>9</v>
      </c>
      <c r="B5" s="33" t="s">
        <v>1213</v>
      </c>
      <c r="C5" s="36"/>
      <c r="D5" s="36"/>
      <c r="E5" s="36"/>
      <c r="F5" s="36"/>
      <c r="G5" s="37"/>
      <c r="H5" s="185"/>
    </row>
    <row r="6" spans="1:10" x14ac:dyDescent="0.3">
      <c r="A6" s="16"/>
      <c r="B6" s="33" t="s">
        <v>1214</v>
      </c>
      <c r="C6" s="36"/>
      <c r="D6" s="36"/>
      <c r="E6" s="36"/>
      <c r="F6" s="36"/>
      <c r="G6" s="37"/>
      <c r="I6" s="62">
        <f>I2*B12</f>
        <v>52000</v>
      </c>
      <c r="J6" t="s">
        <v>700</v>
      </c>
    </row>
    <row r="7" spans="1:10" x14ac:dyDescent="0.3">
      <c r="A7" s="16"/>
      <c r="B7" s="33" t="s">
        <v>1215</v>
      </c>
      <c r="C7" s="36"/>
      <c r="D7" s="36"/>
      <c r="E7" s="36"/>
      <c r="F7" s="36"/>
      <c r="G7" s="37"/>
      <c r="I7" s="62">
        <f>B13*B9</f>
        <v>50000</v>
      </c>
      <c r="J7" t="s">
        <v>1231</v>
      </c>
    </row>
    <row r="8" spans="1:10" x14ac:dyDescent="0.3">
      <c r="A8" s="16"/>
      <c r="B8" s="36"/>
      <c r="C8" s="36"/>
      <c r="D8" s="36"/>
      <c r="E8" s="36"/>
      <c r="F8" s="36"/>
      <c r="G8" s="37"/>
      <c r="I8" s="62"/>
    </row>
    <row r="9" spans="1:10" x14ac:dyDescent="0.3">
      <c r="A9" s="16"/>
      <c r="B9" s="116">
        <v>1000000</v>
      </c>
      <c r="C9" s="43" t="s">
        <v>547</v>
      </c>
      <c r="D9" s="117"/>
      <c r="E9" s="117"/>
      <c r="F9" s="118"/>
      <c r="G9" s="37"/>
      <c r="I9" s="298">
        <f>SUM(B15:B17)</f>
        <v>0.17</v>
      </c>
      <c r="J9" t="s">
        <v>1232</v>
      </c>
    </row>
    <row r="10" spans="1:10" x14ac:dyDescent="0.3">
      <c r="A10" s="16"/>
      <c r="B10" s="235">
        <v>0.65</v>
      </c>
      <c r="C10" s="267" t="s">
        <v>1216</v>
      </c>
      <c r="D10" s="36"/>
      <c r="E10" s="36"/>
      <c r="F10" s="119"/>
      <c r="G10" s="37"/>
    </row>
    <row r="11" spans="1:10" x14ac:dyDescent="0.3">
      <c r="A11" s="16"/>
      <c r="B11" s="235">
        <v>0.1</v>
      </c>
      <c r="C11" s="267" t="s">
        <v>1217</v>
      </c>
      <c r="D11" s="36"/>
      <c r="E11" s="36"/>
      <c r="F11" s="119"/>
      <c r="G11" s="37"/>
      <c r="I11" s="313">
        <v>273500</v>
      </c>
      <c r="J11" t="s">
        <v>1233</v>
      </c>
    </row>
    <row r="12" spans="1:10" x14ac:dyDescent="0.3">
      <c r="A12" s="16"/>
      <c r="B12" s="235">
        <v>0.08</v>
      </c>
      <c r="C12" s="267" t="s">
        <v>1218</v>
      </c>
      <c r="D12" s="36"/>
      <c r="E12" s="36"/>
      <c r="F12" s="119"/>
      <c r="G12" s="37"/>
    </row>
    <row r="13" spans="1:10" x14ac:dyDescent="0.3">
      <c r="A13" s="16"/>
      <c r="B13" s="235">
        <v>0.05</v>
      </c>
      <c r="C13" s="267" t="s">
        <v>1220</v>
      </c>
      <c r="D13" s="36"/>
      <c r="E13" s="36"/>
      <c r="F13" s="119"/>
      <c r="G13" s="37"/>
      <c r="I13" t="s">
        <v>1234</v>
      </c>
    </row>
    <row r="14" spans="1:10" x14ac:dyDescent="0.3">
      <c r="A14" s="16"/>
      <c r="B14" s="69" t="s">
        <v>812</v>
      </c>
      <c r="C14" s="267" t="s">
        <v>1219</v>
      </c>
      <c r="D14" s="36"/>
      <c r="E14" s="36"/>
      <c r="F14" s="119"/>
      <c r="G14" s="37"/>
      <c r="I14" s="62">
        <f>I11*(1-I9)-SUM(I6:I7)-I3</f>
        <v>60005</v>
      </c>
      <c r="J14" t="s">
        <v>1235</v>
      </c>
    </row>
    <row r="15" spans="1:10" x14ac:dyDescent="0.3">
      <c r="A15" s="16"/>
      <c r="B15" s="235">
        <v>0.05</v>
      </c>
      <c r="C15" s="267" t="s">
        <v>1221</v>
      </c>
      <c r="D15" s="36"/>
      <c r="E15" s="36"/>
      <c r="F15" s="119"/>
      <c r="G15" s="37"/>
      <c r="I15" s="310">
        <f>I14/B9</f>
        <v>6.0005000000000003E-2</v>
      </c>
      <c r="J15" t="s">
        <v>1236</v>
      </c>
    </row>
    <row r="16" spans="1:10" x14ac:dyDescent="0.3">
      <c r="A16" s="16"/>
      <c r="B16" s="235">
        <v>7.0000000000000007E-2</v>
      </c>
      <c r="C16" s="267" t="s">
        <v>1222</v>
      </c>
      <c r="D16" s="36"/>
      <c r="E16" s="36"/>
      <c r="F16" s="119"/>
      <c r="G16" s="37"/>
    </row>
    <row r="17" spans="1:9" x14ac:dyDescent="0.3">
      <c r="A17" s="16"/>
      <c r="B17" s="269">
        <v>0.05</v>
      </c>
      <c r="C17" s="268" t="s">
        <v>1223</v>
      </c>
      <c r="D17" s="120"/>
      <c r="E17" s="120"/>
      <c r="F17" s="121"/>
      <c r="G17" s="37"/>
      <c r="H17" t="s">
        <v>38</v>
      </c>
      <c r="I17" t="s">
        <v>1237</v>
      </c>
    </row>
    <row r="18" spans="1:9" x14ac:dyDescent="0.3">
      <c r="A18" s="16"/>
      <c r="B18" s="36"/>
      <c r="C18" s="36"/>
      <c r="D18" s="36"/>
      <c r="E18" s="36"/>
      <c r="F18" s="36"/>
      <c r="G18" s="37"/>
      <c r="I18" t="s">
        <v>1238</v>
      </c>
    </row>
    <row r="19" spans="1:9" x14ac:dyDescent="0.3">
      <c r="A19" s="63" t="s">
        <v>10</v>
      </c>
      <c r="B19" s="36" t="s">
        <v>1224</v>
      </c>
      <c r="C19" s="36"/>
      <c r="D19" s="36"/>
      <c r="E19" s="36"/>
      <c r="F19" s="36"/>
      <c r="G19" s="37"/>
      <c r="I19" t="s">
        <v>1239</v>
      </c>
    </row>
    <row r="20" spans="1:9" x14ac:dyDescent="0.3">
      <c r="A20" s="16"/>
      <c r="B20" s="36" t="s">
        <v>1225</v>
      </c>
      <c r="C20" s="36"/>
      <c r="D20" s="36"/>
      <c r="E20" s="36"/>
      <c r="F20" s="36"/>
      <c r="G20" s="37"/>
      <c r="I20" t="s">
        <v>1240</v>
      </c>
    </row>
    <row r="21" spans="1:9" x14ac:dyDescent="0.3">
      <c r="A21" s="16"/>
      <c r="B21" s="36"/>
      <c r="C21" s="36"/>
      <c r="D21" s="36"/>
      <c r="E21" s="36"/>
      <c r="F21" s="36"/>
      <c r="G21" s="37"/>
      <c r="I21" t="s">
        <v>1241</v>
      </c>
    </row>
    <row r="22" spans="1:9" x14ac:dyDescent="0.3">
      <c r="A22" s="16"/>
      <c r="B22" s="36" t="s">
        <v>1226</v>
      </c>
      <c r="C22" s="36"/>
      <c r="D22" s="36"/>
      <c r="E22" s="36"/>
      <c r="F22" s="36"/>
      <c r="G22" s="37"/>
      <c r="I22" t="s">
        <v>1242</v>
      </c>
    </row>
    <row r="23" spans="1:9" ht="15" thickBot="1" x14ac:dyDescent="0.35">
      <c r="A23" s="17"/>
      <c r="B23" s="41" t="s">
        <v>1227</v>
      </c>
      <c r="C23" s="41"/>
      <c r="D23" s="41"/>
      <c r="E23" s="41"/>
      <c r="F23" s="41"/>
      <c r="G23" s="42"/>
    </row>
  </sheetData>
  <mergeCells count="1">
    <mergeCell ref="F1:G1"/>
  </mergeCells>
  <hyperlinks>
    <hyperlink ref="F1" location="TOC!A1" display="Return to TOC" xr:uid="{D0740962-AEEB-4599-97C0-71064154ADF5}"/>
  </hyperlink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D2598-655D-4EF0-BFA4-72748D9DA818}">
  <dimension ref="A1:P42"/>
  <sheetViews>
    <sheetView workbookViewId="0"/>
  </sheetViews>
  <sheetFormatPr defaultRowHeight="14.4" x14ac:dyDescent="0.3"/>
  <cols>
    <col min="1" max="1" width="13.33203125" bestFit="1" customWidth="1"/>
    <col min="2" max="2" width="13.109375" bestFit="1" customWidth="1"/>
    <col min="3" max="6" width="13.6640625" customWidth="1"/>
    <col min="7" max="7" width="7.77734375" customWidth="1"/>
    <col min="8" max="8" width="3.77734375" customWidth="1"/>
    <col min="12" max="12" width="11.5546875" bestFit="1" customWidth="1"/>
  </cols>
  <sheetData>
    <row r="1" spans="1:16" x14ac:dyDescent="0.3">
      <c r="A1" s="6" t="s">
        <v>4</v>
      </c>
      <c r="B1" s="7" t="s">
        <v>710</v>
      </c>
      <c r="C1" s="7"/>
      <c r="D1" s="8"/>
      <c r="E1" s="8"/>
      <c r="F1" s="490" t="s">
        <v>5</v>
      </c>
      <c r="G1" s="491"/>
      <c r="I1" s="10" t="s">
        <v>6</v>
      </c>
    </row>
    <row r="2" spans="1:16" x14ac:dyDescent="0.3">
      <c r="A2" s="11" t="s">
        <v>7</v>
      </c>
      <c r="B2" s="33" t="s">
        <v>1262</v>
      </c>
      <c r="C2" s="33"/>
      <c r="D2" s="33"/>
      <c r="E2" s="33"/>
      <c r="F2" s="33"/>
      <c r="G2" s="12"/>
      <c r="H2" t="s">
        <v>28</v>
      </c>
      <c r="I2" s="236" t="s">
        <v>1265</v>
      </c>
      <c r="J2" s="185"/>
      <c r="K2" s="185"/>
      <c r="L2" s="185"/>
      <c r="M2" s="185"/>
      <c r="N2" s="185"/>
      <c r="O2" s="185"/>
      <c r="P2" s="185"/>
    </row>
    <row r="3" spans="1:16" x14ac:dyDescent="0.3">
      <c r="A3" s="11" t="s">
        <v>8</v>
      </c>
      <c r="B3" s="33" t="s">
        <v>1290</v>
      </c>
      <c r="C3" s="33"/>
      <c r="D3" s="33"/>
      <c r="E3" s="33"/>
      <c r="F3" s="33"/>
      <c r="G3" s="12"/>
      <c r="H3" s="185"/>
      <c r="I3" s="185"/>
      <c r="J3" s="185"/>
      <c r="K3" s="185"/>
      <c r="L3" s="185"/>
      <c r="M3" s="185"/>
      <c r="N3" s="185"/>
      <c r="O3" s="185"/>
      <c r="P3" s="185"/>
    </row>
    <row r="4" spans="1:16" x14ac:dyDescent="0.3">
      <c r="A4" s="13"/>
      <c r="B4" s="34"/>
      <c r="C4" s="34"/>
      <c r="D4" s="34"/>
      <c r="E4" s="34"/>
      <c r="F4" s="34"/>
      <c r="G4" s="14"/>
      <c r="H4" s="185"/>
      <c r="I4" s="185"/>
      <c r="J4" s="185"/>
      <c r="K4" s="185"/>
      <c r="L4" s="185"/>
      <c r="M4" s="185"/>
      <c r="N4" s="185"/>
      <c r="O4" s="185"/>
      <c r="P4" s="185"/>
    </row>
    <row r="5" spans="1:16" x14ac:dyDescent="0.3">
      <c r="A5" s="15" t="s">
        <v>9</v>
      </c>
      <c r="B5" s="36" t="s">
        <v>1244</v>
      </c>
      <c r="C5" s="36"/>
      <c r="D5" s="36"/>
      <c r="E5" s="36"/>
      <c r="F5" s="36"/>
      <c r="G5" s="37"/>
      <c r="H5" s="185"/>
      <c r="I5" s="185"/>
      <c r="J5" s="185"/>
      <c r="K5" s="185"/>
      <c r="L5" s="185"/>
      <c r="M5" s="185"/>
      <c r="N5" s="185"/>
      <c r="O5" s="185"/>
      <c r="P5" s="185"/>
    </row>
    <row r="6" spans="1:16" x14ac:dyDescent="0.3">
      <c r="A6" s="16"/>
      <c r="B6" s="36" t="s">
        <v>1245</v>
      </c>
      <c r="C6" s="36"/>
      <c r="D6" s="36"/>
      <c r="E6" s="36"/>
      <c r="F6" s="36"/>
      <c r="G6" s="37"/>
      <c r="I6" s="185" t="s">
        <v>1266</v>
      </c>
      <c r="J6" s="185"/>
      <c r="K6" s="185"/>
      <c r="L6" s="185"/>
      <c r="M6" s="185"/>
      <c r="N6" s="185"/>
      <c r="O6" s="185"/>
      <c r="P6" s="185"/>
    </row>
    <row r="7" spans="1:16" x14ac:dyDescent="0.3">
      <c r="A7" s="16"/>
      <c r="B7" s="239">
        <v>500000</v>
      </c>
      <c r="C7" s="243" t="s">
        <v>1246</v>
      </c>
      <c r="D7" s="289"/>
      <c r="E7" s="244"/>
      <c r="F7" s="36"/>
      <c r="G7" s="37"/>
      <c r="I7" s="185"/>
      <c r="J7" s="185"/>
      <c r="K7" s="185"/>
      <c r="L7" s="185"/>
      <c r="M7" s="185"/>
      <c r="N7" s="185"/>
      <c r="O7" s="185"/>
      <c r="P7" s="185"/>
    </row>
    <row r="8" spans="1:16" x14ac:dyDescent="0.3">
      <c r="A8" s="16"/>
      <c r="B8" s="239">
        <v>100000</v>
      </c>
      <c r="C8" s="243" t="s">
        <v>400</v>
      </c>
      <c r="D8" s="289"/>
      <c r="E8" s="244"/>
      <c r="F8" s="36"/>
      <c r="G8" s="37"/>
      <c r="I8" s="185" t="s">
        <v>1267</v>
      </c>
      <c r="J8" s="185"/>
      <c r="K8" s="185"/>
      <c r="L8" s="185"/>
      <c r="M8" s="185"/>
      <c r="N8" s="185"/>
      <c r="O8" s="185"/>
      <c r="P8" s="185"/>
    </row>
    <row r="9" spans="1:16" x14ac:dyDescent="0.3">
      <c r="A9" s="16"/>
      <c r="B9" s="224">
        <v>0.4</v>
      </c>
      <c r="C9" s="243" t="s">
        <v>1247</v>
      </c>
      <c r="D9" s="289"/>
      <c r="E9" s="244"/>
      <c r="F9" s="36"/>
      <c r="G9" s="37"/>
      <c r="I9" s="185" t="s">
        <v>1268</v>
      </c>
      <c r="J9" s="185"/>
      <c r="K9" s="185"/>
      <c r="L9" s="331">
        <f>B9*B7</f>
        <v>200000</v>
      </c>
      <c r="M9" s="185"/>
      <c r="N9" s="185"/>
      <c r="O9" s="185"/>
      <c r="P9" s="185"/>
    </row>
    <row r="10" spans="1:16" x14ac:dyDescent="0.3">
      <c r="A10" s="16"/>
      <c r="B10" s="224">
        <v>0.2</v>
      </c>
      <c r="C10" s="243" t="s">
        <v>1248</v>
      </c>
      <c r="D10" s="289"/>
      <c r="E10" s="244"/>
      <c r="F10" s="36"/>
      <c r="G10" s="37"/>
      <c r="I10" s="185"/>
      <c r="J10" s="185"/>
      <c r="K10" s="185"/>
      <c r="L10" s="185"/>
      <c r="M10" s="185"/>
      <c r="N10" s="185"/>
      <c r="O10" s="185"/>
      <c r="P10" s="185"/>
    </row>
    <row r="11" spans="1:16" x14ac:dyDescent="0.3">
      <c r="A11" s="16"/>
      <c r="B11" s="224">
        <v>0.05</v>
      </c>
      <c r="C11" s="243" t="s">
        <v>700</v>
      </c>
      <c r="D11" s="289"/>
      <c r="E11" s="244"/>
      <c r="F11" s="36"/>
      <c r="G11" s="37"/>
      <c r="I11" s="185" t="s">
        <v>1269</v>
      </c>
      <c r="J11" s="185"/>
      <c r="K11" s="185"/>
      <c r="L11" s="185"/>
      <c r="M11" s="331">
        <f>B7-L9</f>
        <v>300000</v>
      </c>
      <c r="N11" s="185"/>
      <c r="O11" s="185"/>
      <c r="P11" s="185"/>
    </row>
    <row r="12" spans="1:16" x14ac:dyDescent="0.3">
      <c r="A12" s="16"/>
      <c r="B12" s="224">
        <v>0.03</v>
      </c>
      <c r="C12" s="243" t="s">
        <v>1249</v>
      </c>
      <c r="D12" s="289"/>
      <c r="E12" s="244"/>
      <c r="F12" s="36"/>
      <c r="G12" s="37"/>
      <c r="I12" s="185"/>
      <c r="J12" s="185"/>
      <c r="K12" s="185"/>
      <c r="L12" s="185"/>
      <c r="M12" s="185"/>
      <c r="N12" s="185"/>
      <c r="O12" s="185"/>
      <c r="P12" s="185"/>
    </row>
    <row r="13" spans="1:16" x14ac:dyDescent="0.3">
      <c r="A13" s="16"/>
      <c r="B13" s="224">
        <v>0.17</v>
      </c>
      <c r="C13" s="243" t="s">
        <v>1250</v>
      </c>
      <c r="D13" s="289"/>
      <c r="E13" s="244"/>
      <c r="F13" s="36"/>
      <c r="G13" s="37"/>
      <c r="I13" s="185" t="s">
        <v>1270</v>
      </c>
      <c r="J13" s="185"/>
      <c r="K13" s="185"/>
      <c r="L13" s="185"/>
      <c r="M13" s="185"/>
      <c r="N13" s="185"/>
      <c r="O13" s="185"/>
      <c r="P13" s="185"/>
    </row>
    <row r="14" spans="1:16" x14ac:dyDescent="0.3">
      <c r="A14" s="16"/>
      <c r="B14" s="239">
        <v>15000</v>
      </c>
      <c r="C14" s="243" t="s">
        <v>389</v>
      </c>
      <c r="D14" s="289"/>
      <c r="E14" s="244"/>
      <c r="F14" s="36"/>
      <c r="G14" s="37"/>
      <c r="I14" s="185" t="s">
        <v>1271</v>
      </c>
      <c r="J14" s="185"/>
      <c r="K14" s="185"/>
      <c r="L14" s="185"/>
      <c r="M14" s="185"/>
      <c r="N14" s="185"/>
      <c r="O14" s="185"/>
      <c r="P14" s="185"/>
    </row>
    <row r="15" spans="1:16" x14ac:dyDescent="0.3">
      <c r="A15" s="16"/>
      <c r="B15" s="239">
        <v>300000</v>
      </c>
      <c r="C15" s="243" t="s">
        <v>1251</v>
      </c>
      <c r="D15" s="289"/>
      <c r="E15" s="244"/>
      <c r="F15" s="36"/>
      <c r="G15" s="37"/>
      <c r="I15" s="185"/>
      <c r="J15" s="185"/>
      <c r="K15" s="185"/>
      <c r="L15" s="185"/>
      <c r="M15" s="185"/>
      <c r="N15" s="185"/>
      <c r="O15" s="185"/>
      <c r="P15" s="185"/>
    </row>
    <row r="16" spans="1:16" x14ac:dyDescent="0.3">
      <c r="A16" s="16"/>
      <c r="B16" s="36"/>
      <c r="C16" s="36"/>
      <c r="D16" s="36"/>
      <c r="E16" s="36"/>
      <c r="F16" s="36"/>
      <c r="G16" s="37"/>
      <c r="I16" s="185" t="s">
        <v>1272</v>
      </c>
      <c r="J16" s="185"/>
      <c r="K16" s="185"/>
      <c r="L16" s="295">
        <f>B15/M11</f>
        <v>1</v>
      </c>
      <c r="M16" s="185"/>
      <c r="N16" s="185"/>
      <c r="O16" s="185"/>
      <c r="P16" s="185"/>
    </row>
    <row r="17" spans="1:16" x14ac:dyDescent="0.3">
      <c r="A17" s="16"/>
      <c r="B17" s="36" t="s">
        <v>1252</v>
      </c>
      <c r="C17" s="36"/>
      <c r="D17" s="36"/>
      <c r="E17" s="36"/>
      <c r="F17" s="36"/>
      <c r="G17" s="37"/>
      <c r="I17" s="185"/>
      <c r="J17" s="185"/>
      <c r="K17" s="185"/>
      <c r="L17" s="185"/>
      <c r="M17" s="185"/>
      <c r="N17" s="185"/>
      <c r="O17" s="185"/>
      <c r="P17" s="185"/>
    </row>
    <row r="18" spans="1:16" x14ac:dyDescent="0.3">
      <c r="A18" s="16"/>
      <c r="B18" s="36" t="s">
        <v>1253</v>
      </c>
      <c r="C18" s="36"/>
      <c r="D18" s="36"/>
      <c r="E18" s="36"/>
      <c r="F18" s="36"/>
      <c r="G18" s="37"/>
      <c r="I18" s="185" t="s">
        <v>1273</v>
      </c>
      <c r="J18" s="185"/>
      <c r="K18" s="185"/>
      <c r="L18" s="185"/>
      <c r="M18" s="185"/>
      <c r="N18" s="185"/>
      <c r="O18" s="185"/>
      <c r="P18" s="185"/>
    </row>
    <row r="19" spans="1:16" x14ac:dyDescent="0.3">
      <c r="A19" s="16"/>
      <c r="B19" s="227" t="s">
        <v>1254</v>
      </c>
      <c r="C19" s="38"/>
      <c r="D19" s="38"/>
      <c r="E19" s="38"/>
      <c r="F19" s="38"/>
      <c r="G19" s="37"/>
      <c r="I19" s="185" t="s">
        <v>1274</v>
      </c>
      <c r="J19" s="185"/>
      <c r="K19" s="185"/>
      <c r="L19" s="295">
        <f>C23</f>
        <v>0.33</v>
      </c>
      <c r="M19" s="185"/>
      <c r="N19" s="185"/>
      <c r="O19" s="185"/>
      <c r="P19" s="185"/>
    </row>
    <row r="20" spans="1:16" x14ac:dyDescent="0.3">
      <c r="A20" s="16"/>
      <c r="B20" s="36"/>
      <c r="C20" s="291" t="s">
        <v>400</v>
      </c>
      <c r="D20" s="292"/>
      <c r="E20" s="292"/>
      <c r="F20" s="293"/>
      <c r="G20" s="37"/>
      <c r="I20" s="185"/>
      <c r="J20" s="185"/>
      <c r="K20" s="185"/>
      <c r="L20" s="185"/>
      <c r="M20" s="185"/>
      <c r="N20" s="185"/>
      <c r="O20" s="185"/>
      <c r="P20" s="185"/>
    </row>
    <row r="21" spans="1:16" x14ac:dyDescent="0.3">
      <c r="A21" s="16"/>
      <c r="B21" s="170" t="s">
        <v>801</v>
      </c>
      <c r="C21" s="442">
        <v>100000</v>
      </c>
      <c r="D21" s="442">
        <v>200000</v>
      </c>
      <c r="E21" s="442">
        <v>300000</v>
      </c>
      <c r="F21" s="442">
        <v>400000</v>
      </c>
      <c r="G21" s="37"/>
      <c r="I21" s="185" t="s">
        <v>1275</v>
      </c>
      <c r="J21" s="185"/>
      <c r="K21" s="185"/>
      <c r="L21" s="297">
        <f>((L9+L19*M11)+B7*(B11+B12)+B14)/(1-B13)</f>
        <v>426506.02409638558</v>
      </c>
      <c r="M21" s="185"/>
      <c r="N21" s="185"/>
      <c r="O21" s="185"/>
      <c r="P21" s="185"/>
    </row>
    <row r="22" spans="1:16" x14ac:dyDescent="0.3">
      <c r="A22" s="16"/>
      <c r="B22" s="443">
        <v>0.5</v>
      </c>
      <c r="C22" s="330">
        <v>0.45</v>
      </c>
      <c r="D22" s="330">
        <v>0.48</v>
      </c>
      <c r="E22" s="330">
        <v>0.495</v>
      </c>
      <c r="F22" s="330">
        <v>0.505</v>
      </c>
      <c r="G22" s="37"/>
      <c r="I22" s="185"/>
      <c r="J22" s="185"/>
      <c r="K22" s="185"/>
      <c r="L22" s="185"/>
      <c r="M22" s="185"/>
      <c r="N22" s="185"/>
      <c r="O22" s="185"/>
      <c r="P22" s="185"/>
    </row>
    <row r="23" spans="1:16" x14ac:dyDescent="0.3">
      <c r="A23" s="16"/>
      <c r="B23" s="443">
        <v>1</v>
      </c>
      <c r="C23" s="330">
        <v>0.33</v>
      </c>
      <c r="D23" s="330">
        <v>0.35</v>
      </c>
      <c r="E23" s="330">
        <v>0.36499999999999999</v>
      </c>
      <c r="F23" s="330">
        <v>0.37</v>
      </c>
      <c r="G23" s="37"/>
      <c r="I23" s="236" t="s">
        <v>1276</v>
      </c>
      <c r="J23" s="185"/>
      <c r="K23" s="185"/>
      <c r="L23" s="185"/>
      <c r="M23" s="185"/>
      <c r="N23" s="185"/>
      <c r="O23" s="185"/>
      <c r="P23" s="185"/>
    </row>
    <row r="24" spans="1:16" x14ac:dyDescent="0.3">
      <c r="A24" s="16"/>
      <c r="B24" s="443">
        <v>1.5</v>
      </c>
      <c r="C24" s="330">
        <v>0.27</v>
      </c>
      <c r="D24" s="330">
        <v>0.30299999999999999</v>
      </c>
      <c r="E24" s="330">
        <v>0.32500000000000001</v>
      </c>
      <c r="F24" s="330">
        <v>0.35</v>
      </c>
      <c r="G24" s="37"/>
      <c r="I24" s="185" t="s">
        <v>1277</v>
      </c>
      <c r="J24" s="185"/>
      <c r="K24" s="185"/>
      <c r="L24" s="185"/>
      <c r="M24" s="185"/>
      <c r="N24" s="331">
        <f>B10*B7</f>
        <v>100000</v>
      </c>
      <c r="O24" s="185"/>
      <c r="P24" s="185"/>
    </row>
    <row r="25" spans="1:16" x14ac:dyDescent="0.3">
      <c r="A25" s="16"/>
      <c r="B25" s="443">
        <v>2</v>
      </c>
      <c r="C25" s="330">
        <v>0.185</v>
      </c>
      <c r="D25" s="330">
        <v>0.24</v>
      </c>
      <c r="E25" s="330">
        <v>0.26</v>
      </c>
      <c r="F25" s="330">
        <v>0.28599999999999998</v>
      </c>
      <c r="G25" s="37"/>
      <c r="I25" s="185" t="s">
        <v>1278</v>
      </c>
      <c r="J25" s="185"/>
      <c r="K25" s="185"/>
      <c r="L25" s="296">
        <f>B7-N24</f>
        <v>400000</v>
      </c>
      <c r="M25" s="185"/>
      <c r="N25" s="185"/>
      <c r="O25" s="185"/>
      <c r="P25" s="185"/>
    </row>
    <row r="26" spans="1:16" x14ac:dyDescent="0.3">
      <c r="A26" s="16"/>
      <c r="B26" s="39"/>
      <c r="C26" s="39"/>
      <c r="D26" s="39"/>
      <c r="E26" s="39"/>
      <c r="F26" s="39"/>
      <c r="G26" s="37"/>
      <c r="I26" s="185"/>
      <c r="J26" s="185"/>
      <c r="K26" s="185"/>
      <c r="L26" s="185"/>
      <c r="M26" s="185"/>
      <c r="N26" s="185"/>
      <c r="O26" s="185"/>
      <c r="P26" s="185"/>
    </row>
    <row r="27" spans="1:16" x14ac:dyDescent="0.3">
      <c r="A27" s="16"/>
      <c r="B27" s="165" t="s">
        <v>1255</v>
      </c>
      <c r="C27" s="39"/>
      <c r="D27" s="39"/>
      <c r="E27" s="39"/>
      <c r="F27" s="39"/>
      <c r="G27" s="37"/>
      <c r="I27" s="185" t="s">
        <v>1279</v>
      </c>
      <c r="J27" s="185"/>
      <c r="K27" s="185"/>
      <c r="L27" s="296">
        <v>400000</v>
      </c>
      <c r="M27" s="185"/>
      <c r="N27" s="185"/>
      <c r="O27" s="185"/>
      <c r="P27" s="185"/>
    </row>
    <row r="28" spans="1:16" x14ac:dyDescent="0.3">
      <c r="A28" s="16"/>
      <c r="B28" s="444" t="s">
        <v>1256</v>
      </c>
      <c r="C28" s="36"/>
      <c r="D28" s="36"/>
      <c r="E28" s="36"/>
      <c r="F28" s="36"/>
      <c r="G28" s="37"/>
      <c r="I28" s="185" t="s">
        <v>1280</v>
      </c>
      <c r="J28" s="185"/>
      <c r="K28" s="185"/>
      <c r="L28" s="295">
        <f>L27/L25</f>
        <v>1</v>
      </c>
      <c r="M28" s="185"/>
      <c r="N28" s="185"/>
      <c r="O28" s="185"/>
      <c r="P28" s="185"/>
    </row>
    <row r="29" spans="1:16" x14ac:dyDescent="0.3">
      <c r="A29" s="16"/>
      <c r="B29" s="36"/>
      <c r="C29" s="36"/>
      <c r="D29" s="36"/>
      <c r="E29" s="36"/>
      <c r="F29" s="36"/>
      <c r="G29" s="37"/>
      <c r="I29" s="185" t="s">
        <v>1281</v>
      </c>
      <c r="J29" s="185"/>
      <c r="K29" s="185"/>
      <c r="L29" s="185"/>
      <c r="M29" s="185"/>
      <c r="N29" s="185"/>
      <c r="O29" s="332">
        <f>D23</f>
        <v>0.35</v>
      </c>
      <c r="P29" s="185"/>
    </row>
    <row r="30" spans="1:16" x14ac:dyDescent="0.3">
      <c r="A30" s="16"/>
      <c r="B30" s="444" t="s">
        <v>1257</v>
      </c>
      <c r="C30" s="36"/>
      <c r="D30" s="36"/>
      <c r="E30" s="36"/>
      <c r="F30" s="36"/>
      <c r="G30" s="37"/>
      <c r="I30" s="185"/>
      <c r="J30" s="185"/>
      <c r="K30" s="185"/>
      <c r="L30" s="185"/>
      <c r="M30" s="185"/>
      <c r="N30" s="185"/>
      <c r="O30" s="185"/>
      <c r="P30" s="185"/>
    </row>
    <row r="31" spans="1:16" x14ac:dyDescent="0.3">
      <c r="A31" s="16"/>
      <c r="B31" s="36"/>
      <c r="C31" s="36"/>
      <c r="D31" s="36"/>
      <c r="E31" s="36"/>
      <c r="F31" s="36"/>
      <c r="G31" s="37"/>
      <c r="I31" s="185" t="s">
        <v>1282</v>
      </c>
      <c r="J31" s="185"/>
      <c r="K31" s="185"/>
      <c r="L31" s="297">
        <f>((N24+O29*L25)+B7*(B11+B12)+B14)/(1-B13)</f>
        <v>355421.68674698798</v>
      </c>
      <c r="M31" s="185"/>
      <c r="N31" s="185"/>
      <c r="O31" s="185"/>
      <c r="P31" s="185"/>
    </row>
    <row r="32" spans="1:16" x14ac:dyDescent="0.3">
      <c r="A32" s="63" t="s">
        <v>10</v>
      </c>
      <c r="B32" s="36" t="s">
        <v>1263</v>
      </c>
      <c r="C32" s="36"/>
      <c r="D32" s="36"/>
      <c r="E32" s="36"/>
      <c r="F32" s="36"/>
      <c r="G32" s="37"/>
      <c r="I32" s="185"/>
      <c r="J32" s="185"/>
      <c r="K32" s="185"/>
      <c r="L32" s="185"/>
      <c r="M32" s="185"/>
      <c r="N32" s="185"/>
      <c r="O32" s="185"/>
      <c r="P32" s="185"/>
    </row>
    <row r="33" spans="1:16" x14ac:dyDescent="0.3">
      <c r="A33" s="16"/>
      <c r="B33" s="36" t="s">
        <v>1258</v>
      </c>
      <c r="C33" s="36"/>
      <c r="D33" s="36"/>
      <c r="E33" s="36"/>
      <c r="F33" s="36"/>
      <c r="G33" s="37"/>
      <c r="I33" s="266" t="str">
        <f>"So Option 1 is " &amp;TEXT(L21-L31,"$0,000.00")&amp;" cheaper than the expiring policy."</f>
        <v>So Option 1 is $71,084.34 cheaper than the expiring policy.</v>
      </c>
      <c r="J33" s="266"/>
      <c r="K33" s="266"/>
      <c r="L33" s="266"/>
      <c r="M33" s="266"/>
      <c r="N33" s="266"/>
      <c r="O33" s="185"/>
      <c r="P33" s="185"/>
    </row>
    <row r="34" spans="1:16" x14ac:dyDescent="0.3">
      <c r="A34" s="16"/>
      <c r="B34" s="36"/>
      <c r="C34" s="36"/>
      <c r="D34" s="36"/>
      <c r="E34" s="36"/>
      <c r="F34" s="36"/>
      <c r="G34" s="37"/>
      <c r="I34" s="185"/>
      <c r="J34" s="185"/>
      <c r="K34" s="185"/>
      <c r="L34" s="185"/>
      <c r="M34" s="185"/>
      <c r="N34" s="185"/>
      <c r="O34" s="185"/>
      <c r="P34" s="185"/>
    </row>
    <row r="35" spans="1:16" x14ac:dyDescent="0.3">
      <c r="A35" s="16"/>
      <c r="B35" s="36" t="s">
        <v>1264</v>
      </c>
      <c r="C35" s="36"/>
      <c r="D35" s="36"/>
      <c r="E35" s="36"/>
      <c r="F35" s="36"/>
      <c r="G35" s="37"/>
      <c r="H35" t="s">
        <v>38</v>
      </c>
      <c r="I35" s="185" t="s">
        <v>1283</v>
      </c>
      <c r="J35" s="185"/>
      <c r="K35" s="185"/>
      <c r="L35" s="185"/>
      <c r="M35" s="185"/>
      <c r="N35" s="185"/>
      <c r="O35" s="185"/>
      <c r="P35" s="185"/>
    </row>
    <row r="36" spans="1:16" x14ac:dyDescent="0.3">
      <c r="A36" s="16"/>
      <c r="B36" s="36" t="s">
        <v>1259</v>
      </c>
      <c r="C36" s="36"/>
      <c r="D36" s="36"/>
      <c r="E36" s="36"/>
      <c r="F36" s="36"/>
      <c r="G36" s="37"/>
      <c r="I36" s="185" t="s">
        <v>1284</v>
      </c>
      <c r="J36" s="185"/>
      <c r="K36" s="185"/>
      <c r="L36" s="185"/>
      <c r="M36" s="185"/>
      <c r="N36" s="185"/>
      <c r="O36" s="185"/>
      <c r="P36" s="185"/>
    </row>
    <row r="37" spans="1:16" x14ac:dyDescent="0.3">
      <c r="A37" s="16"/>
      <c r="B37" s="36" t="s">
        <v>1260</v>
      </c>
      <c r="C37" s="36"/>
      <c r="D37" s="36"/>
      <c r="E37" s="36"/>
      <c r="F37" s="36"/>
      <c r="G37" s="37"/>
      <c r="I37" s="185" t="s">
        <v>1285</v>
      </c>
      <c r="J37" s="185"/>
      <c r="K37" s="185"/>
      <c r="L37" s="185"/>
      <c r="M37" s="185"/>
      <c r="N37" s="185"/>
      <c r="O37" s="185"/>
      <c r="P37" s="185"/>
    </row>
    <row r="38" spans="1:16" ht="15" thickBot="1" x14ac:dyDescent="0.35">
      <c r="A38" s="17"/>
      <c r="B38" s="41" t="s">
        <v>1261</v>
      </c>
      <c r="C38" s="41"/>
      <c r="D38" s="41"/>
      <c r="E38" s="41"/>
      <c r="F38" s="41"/>
      <c r="G38" s="42"/>
      <c r="I38" s="185" t="s">
        <v>1286</v>
      </c>
      <c r="J38" s="185"/>
      <c r="K38" s="185"/>
      <c r="L38" s="185"/>
      <c r="M38" s="185"/>
      <c r="N38" s="185"/>
      <c r="O38" s="185"/>
      <c r="P38" s="185"/>
    </row>
    <row r="39" spans="1:16" x14ac:dyDescent="0.3">
      <c r="I39" s="185" t="s">
        <v>1287</v>
      </c>
      <c r="J39" s="185"/>
      <c r="K39" s="185"/>
      <c r="L39" s="185"/>
      <c r="M39" s="185"/>
      <c r="N39" s="185"/>
      <c r="O39" s="185"/>
      <c r="P39" s="185"/>
    </row>
    <row r="40" spans="1:16" x14ac:dyDescent="0.3">
      <c r="I40" s="185" t="s">
        <v>1288</v>
      </c>
      <c r="J40" s="185"/>
      <c r="K40" s="185"/>
      <c r="L40" s="185"/>
      <c r="M40" s="185"/>
      <c r="N40" s="185"/>
      <c r="O40" s="185"/>
      <c r="P40" s="185"/>
    </row>
    <row r="41" spans="1:16" x14ac:dyDescent="0.3">
      <c r="I41" s="185" t="s">
        <v>1289</v>
      </c>
      <c r="J41" s="185"/>
      <c r="K41" s="185"/>
      <c r="L41" s="185"/>
      <c r="M41" s="185"/>
      <c r="N41" s="185"/>
      <c r="O41" s="185"/>
      <c r="P41" s="185"/>
    </row>
    <row r="42" spans="1:16" x14ac:dyDescent="0.3">
      <c r="I42" s="185"/>
      <c r="J42" s="185"/>
      <c r="K42" s="185"/>
      <c r="L42" s="185"/>
      <c r="M42" s="185"/>
      <c r="N42" s="185"/>
      <c r="O42" s="185"/>
      <c r="P42" s="185"/>
    </row>
  </sheetData>
  <mergeCells count="1">
    <mergeCell ref="F1:G1"/>
  </mergeCells>
  <hyperlinks>
    <hyperlink ref="F1" location="TOC!A1" display="Return to TOC" xr:uid="{ED7B24BF-0EF5-49F8-B713-C5D7BBD2A00F}"/>
  </hyperlinks>
  <pageMargins left="0.7" right="0.7" top="0.75" bottom="0.75" header="0.3" footer="0.3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42648-D44F-4554-8AA1-F5649249D2B1}">
  <dimension ref="A1:S52"/>
  <sheetViews>
    <sheetView workbookViewId="0"/>
  </sheetViews>
  <sheetFormatPr defaultRowHeight="14.4" x14ac:dyDescent="0.3"/>
  <cols>
    <col min="1" max="1" width="13.33203125" bestFit="1" customWidth="1"/>
    <col min="7" max="7" width="10.44140625" customWidth="1"/>
    <col min="8" max="8" width="3.77734375" customWidth="1"/>
  </cols>
  <sheetData>
    <row r="1" spans="1:19" x14ac:dyDescent="0.3">
      <c r="A1" s="6" t="s">
        <v>4</v>
      </c>
      <c r="B1" s="7" t="s">
        <v>710</v>
      </c>
      <c r="C1" s="7"/>
      <c r="D1" s="8"/>
      <c r="E1" s="8"/>
      <c r="F1" s="490" t="s">
        <v>5</v>
      </c>
      <c r="G1" s="491"/>
      <c r="I1" s="10" t="s">
        <v>6</v>
      </c>
    </row>
    <row r="2" spans="1:19" x14ac:dyDescent="0.3">
      <c r="A2" s="11" t="s">
        <v>7</v>
      </c>
      <c r="B2" s="33" t="s">
        <v>1300</v>
      </c>
      <c r="C2" s="33"/>
      <c r="D2" s="33"/>
      <c r="E2" s="33"/>
      <c r="F2" s="33"/>
      <c r="G2" s="12"/>
      <c r="H2" t="s">
        <v>28</v>
      </c>
      <c r="I2" s="185" t="s">
        <v>1307</v>
      </c>
      <c r="J2" s="185"/>
      <c r="K2" s="185"/>
      <c r="L2" s="185"/>
      <c r="M2" s="185"/>
      <c r="N2" s="185"/>
      <c r="O2" s="185"/>
      <c r="P2" s="185"/>
      <c r="Q2" s="185"/>
      <c r="R2" s="185"/>
      <c r="S2" s="185"/>
    </row>
    <row r="3" spans="1:19" x14ac:dyDescent="0.3">
      <c r="A3" s="11" t="s">
        <v>8</v>
      </c>
      <c r="B3" s="33" t="s">
        <v>1306</v>
      </c>
      <c r="C3" s="33"/>
      <c r="D3" s="33"/>
      <c r="E3" s="33"/>
      <c r="F3" s="33"/>
      <c r="G3" s="12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</row>
    <row r="4" spans="1:19" x14ac:dyDescent="0.3">
      <c r="A4" s="13"/>
      <c r="B4" s="34"/>
      <c r="C4" s="34"/>
      <c r="D4" s="34"/>
      <c r="E4" s="34"/>
      <c r="F4" s="34"/>
      <c r="G4" s="14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</row>
    <row r="5" spans="1:19" x14ac:dyDescent="0.3">
      <c r="A5" s="15" t="s">
        <v>9</v>
      </c>
      <c r="B5" s="36" t="s">
        <v>1298</v>
      </c>
      <c r="C5" s="36"/>
      <c r="D5" s="36"/>
      <c r="E5" s="36"/>
      <c r="F5" s="36"/>
      <c r="G5" s="37"/>
      <c r="I5" s="185"/>
      <c r="J5" s="185"/>
      <c r="K5" s="185"/>
      <c r="L5" s="185"/>
      <c r="M5" s="185"/>
      <c r="N5" s="185"/>
      <c r="O5" s="185"/>
      <c r="P5" s="185"/>
      <c r="Q5" s="185"/>
      <c r="R5" s="185"/>
      <c r="S5" s="185"/>
    </row>
    <row r="6" spans="1:19" x14ac:dyDescent="0.3">
      <c r="A6" s="16"/>
      <c r="B6" s="36" t="s">
        <v>1299</v>
      </c>
      <c r="C6" s="36"/>
      <c r="D6" s="36"/>
      <c r="E6" s="36"/>
      <c r="F6" s="36"/>
      <c r="G6" s="37"/>
      <c r="I6" s="185" t="s">
        <v>1308</v>
      </c>
      <c r="J6" s="185"/>
      <c r="K6" s="185"/>
      <c r="L6" s="185"/>
      <c r="M6" s="185"/>
      <c r="N6" s="185"/>
      <c r="O6" s="185"/>
      <c r="P6" s="185"/>
      <c r="Q6" s="185"/>
      <c r="R6" s="185"/>
      <c r="S6" s="185"/>
    </row>
    <row r="7" spans="1:19" x14ac:dyDescent="0.3">
      <c r="A7" s="16"/>
      <c r="B7" s="36"/>
      <c r="C7" s="36"/>
      <c r="D7" s="36"/>
      <c r="E7" s="36"/>
      <c r="F7" s="36"/>
      <c r="G7" s="37"/>
      <c r="I7" s="185"/>
      <c r="J7" s="185"/>
      <c r="K7" s="185"/>
      <c r="L7" s="185"/>
      <c r="M7" s="185"/>
      <c r="N7" s="185"/>
      <c r="O7" s="185"/>
      <c r="P7" s="185"/>
      <c r="Q7" s="185"/>
      <c r="R7" s="185"/>
      <c r="S7" s="185"/>
    </row>
    <row r="8" spans="1:19" x14ac:dyDescent="0.3">
      <c r="A8" s="16"/>
      <c r="B8" s="36"/>
      <c r="C8" s="36"/>
      <c r="D8" s="36"/>
      <c r="E8" s="36"/>
      <c r="F8" s="36"/>
      <c r="G8" s="37"/>
      <c r="I8" s="185" t="s">
        <v>1309</v>
      </c>
      <c r="J8" s="185"/>
      <c r="K8" s="185"/>
      <c r="L8" s="185"/>
      <c r="M8" s="185"/>
      <c r="N8" s="185"/>
      <c r="O8" s="185"/>
      <c r="P8" s="185"/>
      <c r="Q8" s="185"/>
      <c r="R8" s="185"/>
      <c r="S8" s="185"/>
    </row>
    <row r="9" spans="1:19" x14ac:dyDescent="0.3">
      <c r="A9" s="16"/>
      <c r="B9" s="36"/>
      <c r="C9" s="36"/>
      <c r="D9" s="36"/>
      <c r="E9" s="36"/>
      <c r="F9" s="36"/>
      <c r="G9" s="37"/>
      <c r="I9" s="185" t="s">
        <v>1310</v>
      </c>
      <c r="J9" s="185" t="s">
        <v>1311</v>
      </c>
      <c r="K9" s="185"/>
      <c r="L9" s="185"/>
      <c r="M9" s="185"/>
      <c r="N9" s="185"/>
      <c r="O9" s="185"/>
      <c r="P9" s="185"/>
      <c r="Q9" s="185"/>
      <c r="R9" s="185"/>
      <c r="S9" s="185"/>
    </row>
    <row r="10" spans="1:19" x14ac:dyDescent="0.3">
      <c r="A10" s="16"/>
      <c r="B10" s="36"/>
      <c r="C10" s="36"/>
      <c r="D10" s="36"/>
      <c r="E10" s="36"/>
      <c r="F10" s="36"/>
      <c r="G10" s="37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</row>
    <row r="11" spans="1:19" x14ac:dyDescent="0.3">
      <c r="A11" s="16"/>
      <c r="B11" s="36"/>
      <c r="C11" s="36"/>
      <c r="D11" s="36"/>
      <c r="E11" s="36"/>
      <c r="F11" s="36"/>
      <c r="G11" s="37"/>
      <c r="I11" s="185" t="s">
        <v>1312</v>
      </c>
      <c r="J11" s="185"/>
      <c r="K11" s="185"/>
      <c r="L11" s="185"/>
      <c r="M11" s="185"/>
      <c r="N11" s="185"/>
      <c r="O11" s="185"/>
      <c r="P11" s="185"/>
      <c r="Q11" s="185"/>
      <c r="R11" s="185"/>
      <c r="S11" s="185"/>
    </row>
    <row r="12" spans="1:19" x14ac:dyDescent="0.3">
      <c r="A12" s="16"/>
      <c r="B12" s="36"/>
      <c r="C12" s="36"/>
      <c r="D12" s="36"/>
      <c r="E12" s="36"/>
      <c r="F12" s="36"/>
      <c r="G12" s="37"/>
      <c r="I12" s="185" t="s">
        <v>1313</v>
      </c>
      <c r="J12" s="185"/>
      <c r="K12" s="185"/>
      <c r="L12" s="185"/>
      <c r="M12" s="296">
        <f>(100000*(1-B27-B28-B29)-B22*B25)/(1+B24)</f>
        <v>80000</v>
      </c>
      <c r="N12" s="185"/>
      <c r="O12" s="185"/>
      <c r="P12" s="185"/>
      <c r="Q12" s="185"/>
      <c r="R12" s="185"/>
      <c r="S12" s="185"/>
    </row>
    <row r="13" spans="1:19" x14ac:dyDescent="0.3">
      <c r="A13" s="16"/>
      <c r="B13" s="36"/>
      <c r="C13" s="36"/>
      <c r="D13" s="36"/>
      <c r="E13" s="36"/>
      <c r="F13" s="36"/>
      <c r="G13" s="37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</row>
    <row r="14" spans="1:19" x14ac:dyDescent="0.3">
      <c r="A14" s="16"/>
      <c r="B14" s="36"/>
      <c r="C14" s="36"/>
      <c r="D14" s="36"/>
      <c r="E14" s="36"/>
      <c r="F14" s="36"/>
      <c r="G14" s="37"/>
      <c r="I14" s="185" t="s">
        <v>1314</v>
      </c>
      <c r="J14" s="185"/>
      <c r="K14" s="185"/>
      <c r="L14" s="185"/>
      <c r="M14" s="185"/>
      <c r="N14" s="185"/>
      <c r="O14" s="185"/>
      <c r="P14" s="185"/>
      <c r="Q14" s="185"/>
      <c r="R14" s="185"/>
      <c r="S14" s="185"/>
    </row>
    <row r="15" spans="1:19" x14ac:dyDescent="0.3">
      <c r="A15" s="16"/>
      <c r="B15" s="36"/>
      <c r="C15" s="36"/>
      <c r="D15" s="36"/>
      <c r="E15" s="36"/>
      <c r="F15" s="36"/>
      <c r="G15" s="37"/>
      <c r="I15" s="185" t="s">
        <v>1315</v>
      </c>
      <c r="J15" s="185"/>
      <c r="K15" s="185"/>
      <c r="L15" s="185"/>
      <c r="M15" s="185"/>
      <c r="N15" s="185"/>
      <c r="O15" s="185"/>
      <c r="P15" s="185"/>
      <c r="Q15" s="185"/>
      <c r="R15" s="185"/>
      <c r="S15" s="185"/>
    </row>
    <row r="16" spans="1:19" x14ac:dyDescent="0.3">
      <c r="A16" s="16"/>
      <c r="B16" s="36"/>
      <c r="C16" s="36"/>
      <c r="D16" s="36"/>
      <c r="E16" s="36"/>
      <c r="F16" s="36"/>
      <c r="G16" s="37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</row>
    <row r="17" spans="1:19" x14ac:dyDescent="0.3">
      <c r="A17" s="16"/>
      <c r="B17" s="36"/>
      <c r="C17" s="36"/>
      <c r="D17" s="36"/>
      <c r="E17" s="36"/>
      <c r="F17" s="36"/>
      <c r="G17" s="37"/>
      <c r="I17" s="185" t="s">
        <v>1316</v>
      </c>
      <c r="J17" s="185"/>
      <c r="K17" s="185"/>
      <c r="L17" s="185"/>
      <c r="M17" s="296">
        <f>(100*(10%-0%)+200*(30%-10%)+300*(40%-30%)+500*(60%-40%)+600*(70%-60%)+800*(90%-70%)+1000*(100%-90%))*1000</f>
        <v>500000</v>
      </c>
      <c r="N17" s="185"/>
      <c r="O17" s="185"/>
      <c r="P17" s="185"/>
      <c r="Q17" s="185"/>
      <c r="R17" s="185"/>
      <c r="S17" s="185"/>
    </row>
    <row r="18" spans="1:19" x14ac:dyDescent="0.3">
      <c r="A18" s="16"/>
      <c r="B18" s="36"/>
      <c r="C18" s="36"/>
      <c r="D18" s="36"/>
      <c r="E18" s="36"/>
      <c r="F18" s="36"/>
      <c r="G18" s="37"/>
      <c r="I18" s="185"/>
      <c r="J18" s="185"/>
      <c r="K18" s="185"/>
      <c r="L18" s="185"/>
      <c r="M18" s="185"/>
      <c r="N18" s="185"/>
      <c r="O18" s="185"/>
      <c r="P18" s="185"/>
      <c r="Q18" s="185"/>
      <c r="R18" s="185"/>
      <c r="S18" s="185"/>
    </row>
    <row r="19" spans="1:19" x14ac:dyDescent="0.3">
      <c r="A19" s="16"/>
      <c r="B19" s="36"/>
      <c r="C19" s="36"/>
      <c r="D19" s="36"/>
      <c r="E19" s="36"/>
      <c r="F19" s="36"/>
      <c r="G19" s="37"/>
      <c r="I19" s="185" t="s">
        <v>1317</v>
      </c>
      <c r="J19" s="185"/>
      <c r="K19" s="185"/>
      <c r="L19" s="185"/>
      <c r="M19" s="185"/>
      <c r="N19" s="185"/>
      <c r="O19" s="185"/>
      <c r="P19" s="185"/>
      <c r="Q19" s="185"/>
      <c r="R19" s="185"/>
      <c r="S19" s="185"/>
    </row>
    <row r="20" spans="1:19" x14ac:dyDescent="0.3">
      <c r="A20" s="16"/>
      <c r="B20" s="36"/>
      <c r="C20" s="36"/>
      <c r="D20" s="36"/>
      <c r="E20" s="36"/>
      <c r="F20" s="36"/>
      <c r="G20" s="37"/>
      <c r="I20" s="188">
        <f>M12/M17</f>
        <v>0.16</v>
      </c>
      <c r="J20" s="185"/>
      <c r="K20" s="185"/>
      <c r="L20" s="185"/>
      <c r="M20" s="185"/>
      <c r="N20" s="185"/>
      <c r="O20" s="185"/>
      <c r="P20" s="185"/>
      <c r="Q20" s="185"/>
      <c r="R20" s="185"/>
      <c r="S20" s="185"/>
    </row>
    <row r="21" spans="1:19" x14ac:dyDescent="0.3">
      <c r="A21" s="16"/>
      <c r="B21" s="36"/>
      <c r="C21" s="36"/>
      <c r="D21" s="36"/>
      <c r="E21" s="36"/>
      <c r="F21" s="36"/>
      <c r="G21" s="37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</row>
    <row r="22" spans="1:19" x14ac:dyDescent="0.3">
      <c r="A22" s="16"/>
      <c r="B22" s="239">
        <v>840000</v>
      </c>
      <c r="C22" s="243" t="s">
        <v>547</v>
      </c>
      <c r="D22" s="289"/>
      <c r="E22" s="244"/>
      <c r="F22" s="36"/>
      <c r="G22" s="37"/>
      <c r="I22" s="185" t="s">
        <v>1318</v>
      </c>
      <c r="J22" s="185"/>
      <c r="K22" s="185"/>
      <c r="L22" s="185"/>
      <c r="M22" s="185"/>
      <c r="N22" s="185"/>
      <c r="O22" s="185"/>
      <c r="P22" s="185"/>
      <c r="Q22" s="185"/>
      <c r="R22" s="185"/>
      <c r="S22" s="185"/>
    </row>
    <row r="23" spans="1:19" x14ac:dyDescent="0.3">
      <c r="A23" s="16"/>
      <c r="B23" s="241">
        <v>0.02</v>
      </c>
      <c r="C23" s="243" t="s">
        <v>1291</v>
      </c>
      <c r="D23" s="289"/>
      <c r="E23" s="244"/>
      <c r="F23" s="36"/>
      <c r="G23" s="37"/>
      <c r="I23" s="185" t="s">
        <v>1319</v>
      </c>
      <c r="J23" s="185"/>
      <c r="K23" s="185"/>
      <c r="L23" s="185"/>
      <c r="M23" s="185"/>
      <c r="N23" s="185"/>
      <c r="O23" s="185"/>
      <c r="P23" s="185"/>
      <c r="Q23" s="185"/>
      <c r="R23" s="185"/>
      <c r="S23" s="185"/>
    </row>
    <row r="24" spans="1:19" x14ac:dyDescent="0.3">
      <c r="A24" s="16"/>
      <c r="B24" s="241">
        <v>0.05</v>
      </c>
      <c r="C24" s="243" t="s">
        <v>1292</v>
      </c>
      <c r="D24" s="289"/>
      <c r="E24" s="244"/>
      <c r="F24" s="36"/>
      <c r="G24" s="37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</row>
    <row r="25" spans="1:19" x14ac:dyDescent="0.3">
      <c r="A25" s="16"/>
      <c r="B25" s="241">
        <v>0.02</v>
      </c>
      <c r="C25" s="243" t="s">
        <v>1293</v>
      </c>
      <c r="D25" s="289"/>
      <c r="E25" s="244"/>
      <c r="F25" s="36"/>
      <c r="G25" s="37"/>
      <c r="I25" s="185" t="s">
        <v>1320</v>
      </c>
      <c r="J25" s="185"/>
      <c r="K25" s="185"/>
      <c r="L25" s="185"/>
      <c r="M25" s="185"/>
      <c r="N25" s="185"/>
      <c r="O25" s="185"/>
      <c r="P25" s="185"/>
      <c r="Q25" s="185"/>
      <c r="R25" s="185"/>
      <c r="S25" s="185"/>
    </row>
    <row r="26" spans="1:19" x14ac:dyDescent="0.3">
      <c r="A26" s="16"/>
      <c r="B26" s="241">
        <v>0.04</v>
      </c>
      <c r="C26" s="243" t="s">
        <v>1294</v>
      </c>
      <c r="D26" s="289"/>
      <c r="E26" s="244"/>
      <c r="F26" s="36"/>
      <c r="G26" s="37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</row>
    <row r="27" spans="1:19" x14ac:dyDescent="0.3">
      <c r="A27" s="16"/>
      <c r="B27" s="241">
        <v>0.05</v>
      </c>
      <c r="C27" s="243" t="s">
        <v>1295</v>
      </c>
      <c r="D27" s="289"/>
      <c r="E27" s="244"/>
      <c r="F27" s="36"/>
      <c r="G27" s="37"/>
      <c r="I27" s="185" t="s">
        <v>1321</v>
      </c>
      <c r="J27" s="185"/>
      <c r="K27" s="185"/>
      <c r="L27" s="185"/>
      <c r="M27" s="185"/>
      <c r="N27" s="185"/>
      <c r="O27" s="185"/>
      <c r="P27" s="185"/>
      <c r="Q27" s="185"/>
      <c r="R27" s="185"/>
      <c r="S27" s="185"/>
    </row>
    <row r="28" spans="1:19" x14ac:dyDescent="0.3">
      <c r="A28" s="16"/>
      <c r="B28" s="241">
        <v>0.03</v>
      </c>
      <c r="C28" s="243" t="s">
        <v>1296</v>
      </c>
      <c r="D28" s="289"/>
      <c r="E28" s="244"/>
      <c r="F28" s="36"/>
      <c r="G28" s="37"/>
      <c r="I28" s="185" t="s">
        <v>1322</v>
      </c>
      <c r="J28" s="185"/>
      <c r="K28" s="185"/>
      <c r="L28" s="438">
        <f>((800000-600000)*(90%-70%)+(1000000-600000)*(100%-90%))/M17</f>
        <v>0.16</v>
      </c>
      <c r="M28" s="185"/>
      <c r="N28" s="185"/>
      <c r="O28" s="185"/>
      <c r="P28" s="185"/>
      <c r="Q28" s="185"/>
      <c r="R28" s="185"/>
      <c r="S28" s="185"/>
    </row>
    <row r="29" spans="1:19" x14ac:dyDescent="0.3">
      <c r="A29" s="16"/>
      <c r="B29" s="241">
        <v>-8.7999999999999995E-2</v>
      </c>
      <c r="C29" s="243" t="s">
        <v>1297</v>
      </c>
      <c r="D29" s="289"/>
      <c r="E29" s="244"/>
      <c r="F29" s="36"/>
      <c r="G29" s="37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</row>
    <row r="30" spans="1:19" x14ac:dyDescent="0.3">
      <c r="A30" s="16"/>
      <c r="B30" s="36"/>
      <c r="C30" s="36"/>
      <c r="D30" s="36"/>
      <c r="E30" s="36"/>
      <c r="F30" s="36"/>
      <c r="G30" s="37"/>
      <c r="I30" s="185" t="s">
        <v>1323</v>
      </c>
      <c r="J30" s="185"/>
      <c r="K30" s="185"/>
      <c r="L30" s="185"/>
      <c r="M30" s="185"/>
      <c r="N30" s="185"/>
      <c r="O30" s="185"/>
      <c r="P30" s="185"/>
      <c r="Q30" s="185"/>
      <c r="R30" s="185"/>
      <c r="S30" s="185"/>
    </row>
    <row r="31" spans="1:19" x14ac:dyDescent="0.3">
      <c r="A31" s="63" t="s">
        <v>10</v>
      </c>
      <c r="B31" s="36" t="s">
        <v>1304</v>
      </c>
      <c r="C31" s="36"/>
      <c r="D31" s="36"/>
      <c r="E31" s="36"/>
      <c r="F31" s="36"/>
      <c r="G31" s="37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</row>
    <row r="32" spans="1:19" x14ac:dyDescent="0.3">
      <c r="A32" s="16"/>
      <c r="B32" s="36" t="s">
        <v>1301</v>
      </c>
      <c r="C32" s="36"/>
      <c r="D32" s="36"/>
      <c r="E32" s="36"/>
      <c r="F32" s="36"/>
      <c r="G32" s="37"/>
      <c r="H32" t="s">
        <v>38</v>
      </c>
      <c r="I32" s="185" t="s">
        <v>1324</v>
      </c>
      <c r="J32" s="185"/>
      <c r="K32" s="185"/>
      <c r="L32" s="185"/>
      <c r="M32" s="185"/>
      <c r="N32" s="185"/>
      <c r="O32" s="185"/>
      <c r="P32" s="185"/>
      <c r="Q32" s="185"/>
      <c r="R32" s="185"/>
      <c r="S32" s="185"/>
    </row>
    <row r="33" spans="1:19" x14ac:dyDescent="0.3">
      <c r="A33" s="16"/>
      <c r="B33" s="36" t="s">
        <v>1302</v>
      </c>
      <c r="C33" s="36"/>
      <c r="D33" s="36"/>
      <c r="E33" s="36"/>
      <c r="F33" s="36"/>
      <c r="G33" s="37"/>
      <c r="I33" s="185" t="s">
        <v>1325</v>
      </c>
      <c r="J33" s="185"/>
      <c r="K33" s="185"/>
      <c r="L33" s="185"/>
      <c r="M33" s="185"/>
      <c r="N33" s="185"/>
      <c r="O33" s="185"/>
      <c r="P33" s="185"/>
      <c r="Q33" s="185"/>
      <c r="R33" s="185"/>
      <c r="S33" s="185"/>
    </row>
    <row r="34" spans="1:19" x14ac:dyDescent="0.3">
      <c r="A34" s="16"/>
      <c r="B34" s="36"/>
      <c r="C34" s="36"/>
      <c r="D34" s="36"/>
      <c r="E34" s="36"/>
      <c r="F34" s="36"/>
      <c r="G34" s="37"/>
      <c r="I34" s="185" t="s">
        <v>1326</v>
      </c>
      <c r="J34" s="185"/>
      <c r="K34" s="185"/>
      <c r="L34" s="185"/>
      <c r="M34" s="185"/>
      <c r="N34" s="185"/>
      <c r="O34" s="185"/>
      <c r="P34" s="185"/>
      <c r="Q34" s="185"/>
      <c r="R34" s="185"/>
      <c r="S34" s="185"/>
    </row>
    <row r="35" spans="1:19" x14ac:dyDescent="0.3">
      <c r="A35" s="16"/>
      <c r="B35" s="36" t="s">
        <v>1305</v>
      </c>
      <c r="C35" s="36"/>
      <c r="D35" s="36"/>
      <c r="E35" s="36"/>
      <c r="F35" s="36"/>
      <c r="G35" s="37"/>
      <c r="I35" s="185"/>
      <c r="J35" s="185"/>
      <c r="K35" s="185"/>
      <c r="L35" s="185"/>
      <c r="M35" s="185"/>
      <c r="N35" s="185"/>
      <c r="O35" s="185"/>
      <c r="P35" s="185"/>
      <c r="Q35" s="185"/>
      <c r="R35" s="185"/>
      <c r="S35" s="185"/>
    </row>
    <row r="36" spans="1:19" ht="15" thickBot="1" x14ac:dyDescent="0.35">
      <c r="A36" s="17"/>
      <c r="B36" s="41" t="s">
        <v>1303</v>
      </c>
      <c r="C36" s="41"/>
      <c r="D36" s="41"/>
      <c r="E36" s="41"/>
      <c r="F36" s="41"/>
      <c r="G36" s="42"/>
      <c r="I36" s="445" t="s">
        <v>1327</v>
      </c>
      <c r="J36" s="185"/>
      <c r="K36" s="185"/>
      <c r="L36" s="185"/>
      <c r="M36" s="185"/>
      <c r="N36" s="185"/>
      <c r="O36" s="185"/>
      <c r="P36" s="185"/>
      <c r="Q36" s="185"/>
      <c r="R36" s="185"/>
      <c r="S36" s="185"/>
    </row>
    <row r="37" spans="1:19" x14ac:dyDescent="0.3">
      <c r="I37" s="445" t="s">
        <v>1328</v>
      </c>
      <c r="J37" s="185"/>
      <c r="K37" s="185"/>
      <c r="L37" s="185"/>
      <c r="M37" s="185"/>
      <c r="N37" s="185"/>
      <c r="O37" s="185"/>
      <c r="P37" s="185"/>
      <c r="Q37" s="185"/>
      <c r="R37" s="185"/>
      <c r="S37" s="185"/>
    </row>
    <row r="38" spans="1:19" x14ac:dyDescent="0.3">
      <c r="I38" s="445" t="s">
        <v>1329</v>
      </c>
      <c r="J38" s="185"/>
      <c r="K38" s="185"/>
      <c r="L38" s="185"/>
      <c r="M38" s="185"/>
      <c r="N38" s="185"/>
      <c r="O38" s="185"/>
      <c r="P38" s="185"/>
      <c r="Q38" s="185"/>
      <c r="R38" s="185"/>
      <c r="S38" s="185"/>
    </row>
    <row r="39" spans="1:19" x14ac:dyDescent="0.3">
      <c r="I39" s="185"/>
      <c r="J39" s="185"/>
      <c r="K39" s="185"/>
      <c r="L39" s="185"/>
      <c r="M39" s="185"/>
      <c r="N39" s="185"/>
      <c r="O39" s="185"/>
      <c r="P39" s="185"/>
      <c r="Q39" s="185"/>
      <c r="R39" s="185"/>
      <c r="S39" s="185"/>
    </row>
    <row r="40" spans="1:19" x14ac:dyDescent="0.3"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</row>
    <row r="41" spans="1:19" x14ac:dyDescent="0.3">
      <c r="I41" s="185"/>
      <c r="J41" s="185"/>
      <c r="K41" s="185"/>
      <c r="L41" s="185"/>
      <c r="M41" s="185"/>
      <c r="N41" s="185"/>
      <c r="O41" s="185"/>
      <c r="P41" s="185"/>
      <c r="Q41" s="185"/>
      <c r="R41" s="185"/>
      <c r="S41" s="185"/>
    </row>
    <row r="42" spans="1:19" x14ac:dyDescent="0.3"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</row>
    <row r="43" spans="1:19" x14ac:dyDescent="0.3"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</row>
    <row r="44" spans="1:19" x14ac:dyDescent="0.3"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</row>
    <row r="45" spans="1:19" x14ac:dyDescent="0.3"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</row>
    <row r="46" spans="1:19" x14ac:dyDescent="0.3"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</row>
    <row r="47" spans="1:19" x14ac:dyDescent="0.3">
      <c r="I47" s="185"/>
      <c r="J47" s="185"/>
      <c r="K47" s="185"/>
      <c r="L47" s="185"/>
      <c r="M47" s="185"/>
      <c r="N47" s="185"/>
      <c r="O47" s="185"/>
      <c r="P47" s="185"/>
      <c r="Q47" s="185"/>
      <c r="R47" s="185"/>
      <c r="S47" s="185"/>
    </row>
    <row r="48" spans="1:19" x14ac:dyDescent="0.3"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</row>
    <row r="49" spans="9:19" x14ac:dyDescent="0.3"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</row>
    <row r="50" spans="9:19" x14ac:dyDescent="0.3">
      <c r="I50" s="185"/>
      <c r="J50" s="185"/>
      <c r="K50" s="185"/>
      <c r="L50" s="185"/>
      <c r="M50" s="185"/>
      <c r="N50" s="185"/>
      <c r="O50" s="185"/>
      <c r="P50" s="185"/>
      <c r="Q50" s="185"/>
      <c r="R50" s="185"/>
      <c r="S50" s="185"/>
    </row>
    <row r="51" spans="9:19" x14ac:dyDescent="0.3"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</row>
    <row r="52" spans="9:19" x14ac:dyDescent="0.3"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</row>
  </sheetData>
  <mergeCells count="1">
    <mergeCell ref="F1:G1"/>
  </mergeCells>
  <hyperlinks>
    <hyperlink ref="F1" location="TOC!A1" display="Return to TOC" xr:uid="{FB17A32C-DC3C-4CEE-8AA6-4DBC7688CF1E}"/>
  </hyperlinks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11CE4-5029-48FB-B6AA-437C843D43EA}">
  <dimension ref="A1:S33"/>
  <sheetViews>
    <sheetView workbookViewId="0"/>
  </sheetViews>
  <sheetFormatPr defaultRowHeight="14.4" x14ac:dyDescent="0.3"/>
  <cols>
    <col min="1" max="1" width="13.33203125" bestFit="1" customWidth="1"/>
    <col min="10" max="10" width="3.77734375" customWidth="1"/>
  </cols>
  <sheetData>
    <row r="1" spans="1:14" x14ac:dyDescent="0.3">
      <c r="A1" s="6" t="s">
        <v>4</v>
      </c>
      <c r="B1" s="7" t="s">
        <v>710</v>
      </c>
      <c r="C1" s="7"/>
      <c r="D1" s="8"/>
      <c r="E1" s="8"/>
      <c r="F1" s="8"/>
      <c r="G1" s="8"/>
      <c r="H1" s="490" t="s">
        <v>5</v>
      </c>
      <c r="I1" s="491"/>
      <c r="K1" s="10" t="s">
        <v>6</v>
      </c>
    </row>
    <row r="2" spans="1:14" x14ac:dyDescent="0.3">
      <c r="A2" s="11" t="s">
        <v>7</v>
      </c>
      <c r="B2" s="33" t="s">
        <v>1348</v>
      </c>
      <c r="C2" s="33"/>
      <c r="D2" s="33"/>
      <c r="E2" s="33"/>
      <c r="F2" s="33"/>
      <c r="G2" s="33"/>
      <c r="H2" s="33"/>
      <c r="I2" s="12"/>
      <c r="J2" t="s">
        <v>28</v>
      </c>
      <c r="K2" s="236" t="s">
        <v>1330</v>
      </c>
      <c r="L2" s="185"/>
      <c r="M2" s="185"/>
      <c r="N2" s="185"/>
    </row>
    <row r="3" spans="1:14" x14ac:dyDescent="0.3">
      <c r="A3" s="11" t="s">
        <v>8</v>
      </c>
      <c r="B3" s="33" t="s">
        <v>1347</v>
      </c>
      <c r="C3" s="33"/>
      <c r="D3" s="33"/>
      <c r="E3" s="33"/>
      <c r="F3" s="33"/>
      <c r="G3" s="33"/>
      <c r="H3" s="33"/>
      <c r="I3" s="12"/>
      <c r="J3" s="185"/>
      <c r="K3" s="185" t="s">
        <v>1349</v>
      </c>
      <c r="L3" s="185"/>
      <c r="M3" s="185"/>
      <c r="N3" s="185"/>
    </row>
    <row r="4" spans="1:14" x14ac:dyDescent="0.3">
      <c r="A4" s="13"/>
      <c r="B4" s="34"/>
      <c r="C4" s="34"/>
      <c r="D4" s="34"/>
      <c r="E4" s="34"/>
      <c r="F4" s="34"/>
      <c r="G4" s="34"/>
      <c r="H4" s="34"/>
      <c r="I4" s="14"/>
      <c r="J4" s="185"/>
      <c r="K4" s="185" t="s">
        <v>1350</v>
      </c>
      <c r="L4" s="185"/>
      <c r="M4" s="185"/>
      <c r="N4" s="185"/>
    </row>
    <row r="5" spans="1:14" x14ac:dyDescent="0.3">
      <c r="A5" s="15" t="s">
        <v>9</v>
      </c>
      <c r="B5" s="36" t="s">
        <v>1339</v>
      </c>
      <c r="C5" s="36"/>
      <c r="D5" s="36"/>
      <c r="E5" s="36"/>
      <c r="F5" s="36"/>
      <c r="G5" s="36"/>
      <c r="H5" s="36"/>
      <c r="I5" s="37"/>
      <c r="K5" s="185" t="s">
        <v>1351</v>
      </c>
      <c r="L5" s="185"/>
      <c r="M5" s="185"/>
      <c r="N5" s="185"/>
    </row>
    <row r="6" spans="1:14" x14ac:dyDescent="0.3">
      <c r="A6" s="16"/>
      <c r="B6" s="36" t="s">
        <v>1340</v>
      </c>
      <c r="C6" s="36"/>
      <c r="D6" s="36"/>
      <c r="E6" s="36"/>
      <c r="F6" s="36"/>
      <c r="G6" s="36"/>
      <c r="H6" s="36"/>
      <c r="I6" s="37"/>
      <c r="K6" s="448">
        <f>(H17*(1+H23)+H21)*H24</f>
        <v>603580</v>
      </c>
      <c r="L6" s="185"/>
      <c r="M6" s="185"/>
      <c r="N6" s="185"/>
    </row>
    <row r="7" spans="1:14" x14ac:dyDescent="0.3">
      <c r="A7" s="16"/>
      <c r="B7" s="36"/>
      <c r="C7" s="36"/>
      <c r="D7" s="36"/>
      <c r="E7" s="36"/>
      <c r="F7" s="36"/>
      <c r="G7" s="36"/>
      <c r="H7" s="36"/>
      <c r="I7" s="37"/>
      <c r="K7" s="185"/>
      <c r="L7" s="185"/>
      <c r="M7" s="185"/>
      <c r="N7" s="185"/>
    </row>
    <row r="8" spans="1:14" x14ac:dyDescent="0.3">
      <c r="A8" s="16"/>
      <c r="B8" s="246" t="s">
        <v>1330</v>
      </c>
      <c r="C8" s="36"/>
      <c r="D8" s="36"/>
      <c r="E8" s="36"/>
      <c r="F8" s="36"/>
      <c r="G8" s="36"/>
      <c r="H8" s="36"/>
      <c r="I8" s="37"/>
      <c r="K8" s="236" t="s">
        <v>1332</v>
      </c>
      <c r="L8" s="185"/>
      <c r="M8" s="185"/>
      <c r="N8" s="185"/>
    </row>
    <row r="9" spans="1:14" x14ac:dyDescent="0.3">
      <c r="A9" s="16"/>
      <c r="B9" s="36" t="s">
        <v>1043</v>
      </c>
      <c r="C9" s="36"/>
      <c r="D9" s="36"/>
      <c r="E9" s="36"/>
      <c r="F9" s="36"/>
      <c r="G9" s="36"/>
      <c r="H9" s="294">
        <v>150000</v>
      </c>
      <c r="I9" s="37"/>
      <c r="K9" s="185" t="s">
        <v>1352</v>
      </c>
      <c r="L9" s="185"/>
      <c r="M9" s="185"/>
      <c r="N9" s="185"/>
    </row>
    <row r="10" spans="1:14" x14ac:dyDescent="0.3">
      <c r="A10" s="16"/>
      <c r="B10" s="36" t="s">
        <v>1331</v>
      </c>
      <c r="C10" s="36"/>
      <c r="D10" s="36"/>
      <c r="E10" s="36"/>
      <c r="F10" s="36"/>
      <c r="G10" s="36"/>
      <c r="H10" s="294">
        <v>500000</v>
      </c>
      <c r="I10" s="37"/>
      <c r="K10" s="185" t="s">
        <v>1353</v>
      </c>
      <c r="L10" s="185"/>
      <c r="M10" s="185"/>
      <c r="N10" s="185"/>
    </row>
    <row r="11" spans="1:14" x14ac:dyDescent="0.3">
      <c r="A11" s="16"/>
      <c r="B11" s="36"/>
      <c r="C11" s="36"/>
      <c r="D11" s="36"/>
      <c r="E11" s="36"/>
      <c r="F11" s="36"/>
      <c r="G11" s="36"/>
      <c r="H11" s="39"/>
      <c r="I11" s="37"/>
      <c r="K11" s="331">
        <f>H19</f>
        <v>325000</v>
      </c>
      <c r="L11" s="185"/>
      <c r="M11" s="185"/>
      <c r="N11" s="185"/>
    </row>
    <row r="12" spans="1:14" x14ac:dyDescent="0.3">
      <c r="A12" s="16"/>
      <c r="B12" s="246" t="s">
        <v>1332</v>
      </c>
      <c r="C12" s="36"/>
      <c r="D12" s="36"/>
      <c r="E12" s="36"/>
      <c r="F12" s="36"/>
      <c r="G12" s="36"/>
      <c r="H12" s="39"/>
      <c r="I12" s="37"/>
      <c r="K12" s="185"/>
      <c r="L12" s="185"/>
      <c r="M12" s="185"/>
      <c r="N12" s="185"/>
    </row>
    <row r="13" spans="1:14" x14ac:dyDescent="0.3">
      <c r="A13" s="16"/>
      <c r="B13" s="36" t="s">
        <v>1094</v>
      </c>
      <c r="C13" s="36"/>
      <c r="D13" s="36"/>
      <c r="E13" s="36"/>
      <c r="F13" s="36"/>
      <c r="G13" s="36"/>
      <c r="H13" s="294">
        <v>150000</v>
      </c>
      <c r="I13" s="37"/>
      <c r="K13" s="185" t="s">
        <v>1354</v>
      </c>
      <c r="L13" s="185"/>
      <c r="M13" s="185"/>
      <c r="N13" s="185"/>
    </row>
    <row r="14" spans="1:14" x14ac:dyDescent="0.3">
      <c r="A14" s="16"/>
      <c r="B14" s="36" t="s">
        <v>1251</v>
      </c>
      <c r="C14" s="36"/>
      <c r="D14" s="36"/>
      <c r="E14" s="36"/>
      <c r="F14" s="36"/>
      <c r="G14" s="36"/>
      <c r="H14" s="294">
        <v>500000</v>
      </c>
      <c r="I14" s="37"/>
      <c r="K14" s="331">
        <f>((H17-H19) +H17*H23+H21)*H24</f>
        <v>268830</v>
      </c>
      <c r="L14" s="185"/>
      <c r="M14" s="185"/>
      <c r="N14" s="185"/>
    </row>
    <row r="15" spans="1:14" x14ac:dyDescent="0.3">
      <c r="A15" s="16"/>
      <c r="B15" s="36"/>
      <c r="C15" s="36"/>
      <c r="D15" s="36"/>
      <c r="E15" s="36"/>
      <c r="F15" s="36"/>
      <c r="G15" s="36"/>
      <c r="H15" s="39"/>
      <c r="I15" s="37"/>
      <c r="K15" s="185"/>
      <c r="L15" s="185"/>
      <c r="M15" s="185"/>
      <c r="N15" s="185"/>
    </row>
    <row r="16" spans="1:14" x14ac:dyDescent="0.3">
      <c r="A16" s="16"/>
      <c r="B16" s="246" t="s">
        <v>1333</v>
      </c>
      <c r="C16" s="36"/>
      <c r="D16" s="36"/>
      <c r="E16" s="36"/>
      <c r="F16" s="36"/>
      <c r="G16" s="36"/>
      <c r="H16" s="39"/>
      <c r="I16" s="37"/>
      <c r="K16" s="185" t="s">
        <v>1355</v>
      </c>
      <c r="L16" s="432">
        <f>K11+K14</f>
        <v>593830</v>
      </c>
      <c r="M16" s="185"/>
      <c r="N16" s="185"/>
    </row>
    <row r="17" spans="1:19" x14ac:dyDescent="0.3">
      <c r="A17" s="16"/>
      <c r="B17" s="36" t="s">
        <v>1334</v>
      </c>
      <c r="C17" s="36"/>
      <c r="D17" s="36"/>
      <c r="E17" s="36"/>
      <c r="F17" s="36"/>
      <c r="G17" s="36"/>
      <c r="H17" s="294">
        <v>450000</v>
      </c>
      <c r="I17" s="37"/>
      <c r="K17" s="185"/>
      <c r="L17" s="185"/>
      <c r="M17" s="185"/>
      <c r="N17" s="185"/>
    </row>
    <row r="18" spans="1:19" x14ac:dyDescent="0.3">
      <c r="A18" s="16"/>
      <c r="B18" s="36" t="s">
        <v>1335</v>
      </c>
      <c r="C18" s="36"/>
      <c r="D18" s="36"/>
      <c r="E18" s="36"/>
      <c r="F18" s="36"/>
      <c r="G18" s="36"/>
      <c r="H18" s="294">
        <v>350000</v>
      </c>
      <c r="I18" s="37"/>
      <c r="K18" s="266" t="s">
        <v>1356</v>
      </c>
      <c r="L18" s="266"/>
      <c r="M18" s="266"/>
      <c r="N18" s="266"/>
      <c r="O18" s="290"/>
      <c r="P18" s="290"/>
      <c r="Q18" s="290"/>
      <c r="R18" s="290"/>
      <c r="S18" s="290"/>
    </row>
    <row r="19" spans="1:19" x14ac:dyDescent="0.3">
      <c r="A19" s="16"/>
      <c r="B19" s="36" t="s">
        <v>1336</v>
      </c>
      <c r="C19" s="36"/>
      <c r="D19" s="36"/>
      <c r="E19" s="36"/>
      <c r="F19" s="36"/>
      <c r="G19" s="36"/>
      <c r="H19" s="294">
        <v>325000</v>
      </c>
      <c r="I19" s="37"/>
      <c r="K19" s="185"/>
      <c r="L19" s="185"/>
      <c r="M19" s="185"/>
      <c r="N19" s="185"/>
    </row>
    <row r="20" spans="1:19" x14ac:dyDescent="0.3">
      <c r="A20" s="16"/>
      <c r="B20" s="36"/>
      <c r="C20" s="36"/>
      <c r="D20" s="36"/>
      <c r="E20" s="36"/>
      <c r="F20" s="36"/>
      <c r="G20" s="36"/>
      <c r="H20" s="39"/>
      <c r="I20" s="37"/>
      <c r="J20" t="s">
        <v>38</v>
      </c>
      <c r="K20" s="185" t="s">
        <v>1357</v>
      </c>
      <c r="L20" s="185"/>
      <c r="M20" s="185"/>
      <c r="N20" s="185"/>
    </row>
    <row r="21" spans="1:19" x14ac:dyDescent="0.3">
      <c r="A21" s="16"/>
      <c r="B21" s="36" t="s">
        <v>1337</v>
      </c>
      <c r="C21" s="36"/>
      <c r="D21" s="36"/>
      <c r="E21" s="36"/>
      <c r="F21" s="36"/>
      <c r="G21" s="36"/>
      <c r="H21" s="294">
        <v>100000</v>
      </c>
      <c r="I21" s="37"/>
      <c r="K21" s="185" t="s">
        <v>1358</v>
      </c>
      <c r="L21" s="185"/>
      <c r="M21" s="185"/>
      <c r="N21" s="185"/>
    </row>
    <row r="22" spans="1:19" x14ac:dyDescent="0.3">
      <c r="A22" s="16"/>
      <c r="B22" s="36"/>
      <c r="C22" s="36"/>
      <c r="D22" s="36"/>
      <c r="E22" s="36"/>
      <c r="F22" s="36"/>
      <c r="G22" s="36"/>
      <c r="H22" s="39"/>
      <c r="I22" s="37"/>
      <c r="K22" s="185" t="s">
        <v>1359</v>
      </c>
      <c r="L22" s="185"/>
      <c r="M22" s="185"/>
      <c r="N22" s="185"/>
    </row>
    <row r="23" spans="1:19" x14ac:dyDescent="0.3">
      <c r="A23" s="16"/>
      <c r="B23" s="36" t="s">
        <v>1338</v>
      </c>
      <c r="C23" s="36"/>
      <c r="D23" s="36"/>
      <c r="E23" s="36"/>
      <c r="F23" s="36"/>
      <c r="G23" s="36"/>
      <c r="H23" s="446">
        <v>0.08</v>
      </c>
      <c r="I23" s="37"/>
      <c r="K23" s="185" t="s">
        <v>1360</v>
      </c>
      <c r="L23" s="185"/>
      <c r="M23" s="185"/>
      <c r="N23" s="185"/>
    </row>
    <row r="24" spans="1:19" x14ac:dyDescent="0.3">
      <c r="A24" s="16"/>
      <c r="B24" s="36" t="s">
        <v>439</v>
      </c>
      <c r="C24" s="36"/>
      <c r="D24" s="36"/>
      <c r="E24" s="36"/>
      <c r="F24" s="36"/>
      <c r="G24" s="36"/>
      <c r="H24" s="447">
        <v>1.03</v>
      </c>
      <c r="I24" s="37"/>
      <c r="K24" s="185"/>
      <c r="L24" s="185"/>
      <c r="M24" s="185"/>
      <c r="N24" s="185"/>
    </row>
    <row r="25" spans="1:19" x14ac:dyDescent="0.3">
      <c r="A25" s="16"/>
      <c r="B25" s="36"/>
      <c r="C25" s="36"/>
      <c r="D25" s="36"/>
      <c r="E25" s="36"/>
      <c r="F25" s="36"/>
      <c r="G25" s="36"/>
      <c r="H25" s="36"/>
      <c r="I25" s="37"/>
      <c r="J25" t="s">
        <v>240</v>
      </c>
      <c r="K25" s="185" t="s">
        <v>1362</v>
      </c>
      <c r="L25" s="185"/>
      <c r="M25" s="185"/>
      <c r="N25" s="185"/>
    </row>
    <row r="26" spans="1:19" x14ac:dyDescent="0.3">
      <c r="A26" s="63" t="s">
        <v>10</v>
      </c>
      <c r="B26" s="36" t="s">
        <v>1346</v>
      </c>
      <c r="C26" s="36"/>
      <c r="D26" s="36"/>
      <c r="E26" s="36"/>
      <c r="F26" s="36"/>
      <c r="G26" s="36"/>
      <c r="H26" s="36"/>
      <c r="I26" s="37"/>
      <c r="K26" s="185" t="s">
        <v>1363</v>
      </c>
      <c r="L26" s="185"/>
      <c r="M26" s="185"/>
      <c r="N26" s="185"/>
    </row>
    <row r="27" spans="1:19" x14ac:dyDescent="0.3">
      <c r="A27" s="16"/>
      <c r="B27" s="36" t="s">
        <v>1341</v>
      </c>
      <c r="C27" s="36"/>
      <c r="D27" s="36"/>
      <c r="E27" s="36"/>
      <c r="F27" s="36"/>
      <c r="G27" s="36"/>
      <c r="H27" s="36"/>
      <c r="I27" s="37"/>
      <c r="K27" s="185" t="s">
        <v>1361</v>
      </c>
      <c r="L27" s="185"/>
      <c r="M27" s="185"/>
      <c r="N27" s="185"/>
    </row>
    <row r="28" spans="1:19" x14ac:dyDescent="0.3">
      <c r="A28" s="16"/>
      <c r="B28" s="36"/>
      <c r="C28" s="36"/>
      <c r="D28" s="36"/>
      <c r="E28" s="36"/>
      <c r="F28" s="36"/>
      <c r="G28" s="36"/>
      <c r="H28" s="36"/>
      <c r="I28" s="37"/>
      <c r="K28" s="185"/>
      <c r="L28" s="185"/>
      <c r="M28" s="185"/>
      <c r="N28" s="185"/>
    </row>
    <row r="29" spans="1:19" x14ac:dyDescent="0.3">
      <c r="A29" s="16"/>
      <c r="B29" s="36" t="s">
        <v>1345</v>
      </c>
      <c r="C29" s="36"/>
      <c r="D29" s="36"/>
      <c r="E29" s="36"/>
      <c r="F29" s="36"/>
      <c r="G29" s="36"/>
      <c r="H29" s="36"/>
      <c r="I29" s="37"/>
    </row>
    <row r="30" spans="1:19" x14ac:dyDescent="0.3">
      <c r="A30" s="16"/>
      <c r="B30" s="36" t="s">
        <v>1342</v>
      </c>
      <c r="C30" s="36"/>
      <c r="D30" s="36"/>
      <c r="E30" s="36"/>
      <c r="F30" s="36"/>
      <c r="G30" s="36"/>
      <c r="H30" s="36"/>
      <c r="I30" s="37"/>
    </row>
    <row r="31" spans="1:19" x14ac:dyDescent="0.3">
      <c r="A31" s="16"/>
      <c r="B31" s="36"/>
      <c r="C31" s="36"/>
      <c r="D31" s="36"/>
      <c r="E31" s="36"/>
      <c r="F31" s="36"/>
      <c r="G31" s="36"/>
      <c r="H31" s="36"/>
      <c r="I31" s="37"/>
    </row>
    <row r="32" spans="1:19" x14ac:dyDescent="0.3">
      <c r="A32" s="16"/>
      <c r="B32" s="36" t="s">
        <v>1344</v>
      </c>
      <c r="C32" s="36"/>
      <c r="D32" s="36"/>
      <c r="E32" s="36"/>
      <c r="F32" s="36"/>
      <c r="G32" s="36"/>
      <c r="H32" s="36"/>
      <c r="I32" s="37"/>
    </row>
    <row r="33" spans="1:9" ht="15" thickBot="1" x14ac:dyDescent="0.35">
      <c r="A33" s="17"/>
      <c r="B33" s="41" t="s">
        <v>1343</v>
      </c>
      <c r="C33" s="41"/>
      <c r="D33" s="41"/>
      <c r="E33" s="41"/>
      <c r="F33" s="41"/>
      <c r="G33" s="41"/>
      <c r="H33" s="41"/>
      <c r="I33" s="42"/>
    </row>
  </sheetData>
  <mergeCells count="1">
    <mergeCell ref="H1:I1"/>
  </mergeCells>
  <hyperlinks>
    <hyperlink ref="H1" location="TOC!A1" display="Return to TOC" xr:uid="{9903340D-0649-4D03-BD1D-2CB2A463302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AC31A-9C33-4355-9D2F-168A1317B480}">
  <dimension ref="A1:L24"/>
  <sheetViews>
    <sheetView workbookViewId="0"/>
  </sheetViews>
  <sheetFormatPr defaultRowHeight="14.4" x14ac:dyDescent="0.3"/>
  <cols>
    <col min="1" max="1" width="14" bestFit="1" customWidth="1"/>
    <col min="2" max="2" width="12.44140625" customWidth="1"/>
    <col min="10" max="10" width="4.109375" customWidth="1"/>
    <col min="11" max="11" width="3.6640625" customWidth="1"/>
  </cols>
  <sheetData>
    <row r="1" spans="1:12" x14ac:dyDescent="0.3">
      <c r="A1" s="6" t="s">
        <v>4</v>
      </c>
      <c r="B1" s="7" t="s">
        <v>12</v>
      </c>
      <c r="C1" s="7"/>
      <c r="D1" s="8"/>
      <c r="E1" s="8"/>
      <c r="F1" s="8"/>
      <c r="G1" s="8"/>
      <c r="H1" s="107"/>
      <c r="I1" s="490" t="s">
        <v>5</v>
      </c>
      <c r="J1" s="491"/>
      <c r="L1" s="10" t="s">
        <v>6</v>
      </c>
    </row>
    <row r="2" spans="1:12" x14ac:dyDescent="0.3">
      <c r="A2" s="11" t="s">
        <v>7</v>
      </c>
      <c r="B2" s="33" t="s">
        <v>104</v>
      </c>
      <c r="C2" s="33"/>
      <c r="D2" s="33"/>
      <c r="E2" s="33"/>
      <c r="F2" s="33"/>
      <c r="G2" s="33"/>
      <c r="H2" s="36"/>
      <c r="I2" s="36"/>
      <c r="J2" s="12"/>
      <c r="K2" t="s">
        <v>28</v>
      </c>
      <c r="L2" t="s">
        <v>124</v>
      </c>
    </row>
    <row r="3" spans="1:12" x14ac:dyDescent="0.3">
      <c r="A3" s="11" t="s">
        <v>8</v>
      </c>
      <c r="B3" s="33" t="s">
        <v>63</v>
      </c>
      <c r="C3" s="33"/>
      <c r="D3" s="33"/>
      <c r="E3" s="33"/>
      <c r="F3" s="33"/>
      <c r="G3" s="33"/>
      <c r="H3" s="33"/>
      <c r="I3" s="33"/>
      <c r="J3" s="12"/>
      <c r="L3" t="s">
        <v>125</v>
      </c>
    </row>
    <row r="4" spans="1:12" x14ac:dyDescent="0.3">
      <c r="A4" s="13"/>
      <c r="B4" s="34"/>
      <c r="C4" s="34"/>
      <c r="D4" s="34"/>
      <c r="E4" s="34"/>
      <c r="F4" s="34"/>
      <c r="G4" s="34"/>
      <c r="H4" s="34"/>
      <c r="I4" s="34"/>
      <c r="J4" s="14"/>
      <c r="L4" t="s">
        <v>126</v>
      </c>
    </row>
    <row r="5" spans="1:12" x14ac:dyDescent="0.3">
      <c r="A5" s="15" t="s">
        <v>9</v>
      </c>
      <c r="B5" s="33" t="s">
        <v>105</v>
      </c>
      <c r="C5" s="36"/>
      <c r="D5" s="36"/>
      <c r="E5" s="36"/>
      <c r="F5" s="36"/>
      <c r="G5" s="36"/>
      <c r="H5" s="36"/>
      <c r="I5" s="36"/>
      <c r="J5" s="37"/>
    </row>
    <row r="6" spans="1:12" x14ac:dyDescent="0.3">
      <c r="A6" s="16"/>
      <c r="B6" s="33" t="s">
        <v>106</v>
      </c>
      <c r="C6" s="36"/>
      <c r="D6" s="36"/>
      <c r="E6" s="36"/>
      <c r="F6" s="36"/>
      <c r="G6" s="36"/>
      <c r="H6" s="36"/>
      <c r="I6" s="36"/>
      <c r="J6" s="37"/>
      <c r="K6" t="s">
        <v>38</v>
      </c>
      <c r="L6" t="s">
        <v>128</v>
      </c>
    </row>
    <row r="7" spans="1:12" x14ac:dyDescent="0.3">
      <c r="A7" s="16"/>
      <c r="B7" s="33" t="s">
        <v>46</v>
      </c>
      <c r="C7" s="36"/>
      <c r="D7" s="36"/>
      <c r="E7" s="36"/>
      <c r="F7" s="36"/>
      <c r="G7" s="36"/>
      <c r="H7" s="36"/>
      <c r="I7" s="36"/>
      <c r="J7" s="37"/>
      <c r="L7" t="s">
        <v>127</v>
      </c>
    </row>
    <row r="8" spans="1:12" x14ac:dyDescent="0.3">
      <c r="A8" s="16"/>
      <c r="B8" s="36"/>
      <c r="C8" s="36"/>
      <c r="D8" s="36"/>
      <c r="E8" s="36"/>
      <c r="F8" s="36"/>
      <c r="G8" s="36"/>
      <c r="H8" s="36"/>
      <c r="I8" s="36"/>
      <c r="J8" s="37"/>
    </row>
    <row r="9" spans="1:12" x14ac:dyDescent="0.3">
      <c r="A9" s="16"/>
      <c r="B9" s="98"/>
      <c r="C9" s="64"/>
      <c r="D9" s="57" t="s">
        <v>117</v>
      </c>
      <c r="E9" s="44"/>
      <c r="F9" s="58"/>
      <c r="G9" s="44" t="s">
        <v>116</v>
      </c>
      <c r="H9" s="44"/>
      <c r="I9" s="58"/>
      <c r="J9" s="37"/>
      <c r="L9" t="s">
        <v>129</v>
      </c>
    </row>
    <row r="10" spans="1:12" x14ac:dyDescent="0.3">
      <c r="A10" s="16"/>
      <c r="B10" s="109"/>
      <c r="C10" s="39" t="s">
        <v>51</v>
      </c>
      <c r="D10" s="52" t="s">
        <v>113</v>
      </c>
      <c r="E10" s="38" t="s">
        <v>115</v>
      </c>
      <c r="F10" s="108"/>
      <c r="G10" s="39" t="s">
        <v>113</v>
      </c>
      <c r="H10" s="38" t="s">
        <v>115</v>
      </c>
      <c r="I10" s="108"/>
      <c r="J10" s="37"/>
      <c r="L10" t="s">
        <v>130</v>
      </c>
    </row>
    <row r="11" spans="1:12" x14ac:dyDescent="0.3">
      <c r="A11" s="16"/>
      <c r="B11" s="111" t="s">
        <v>107</v>
      </c>
      <c r="C11" s="47" t="s">
        <v>52</v>
      </c>
      <c r="D11" s="54" t="s">
        <v>114</v>
      </c>
      <c r="E11" s="47" t="s">
        <v>53</v>
      </c>
      <c r="F11" s="48" t="s">
        <v>54</v>
      </c>
      <c r="G11" s="47" t="s">
        <v>114</v>
      </c>
      <c r="H11" s="47" t="s">
        <v>53</v>
      </c>
      <c r="I11" s="48" t="s">
        <v>54</v>
      </c>
      <c r="J11" s="37"/>
    </row>
    <row r="12" spans="1:12" x14ac:dyDescent="0.3">
      <c r="A12" s="16"/>
      <c r="B12" s="110" t="s">
        <v>108</v>
      </c>
      <c r="C12" s="40">
        <v>50000</v>
      </c>
      <c r="D12" s="52">
        <v>0.7</v>
      </c>
      <c r="E12" s="39">
        <v>0.7</v>
      </c>
      <c r="F12" s="65">
        <v>0.7</v>
      </c>
      <c r="G12" s="39">
        <v>1.03</v>
      </c>
      <c r="H12" s="39">
        <v>0.97</v>
      </c>
      <c r="I12" s="65">
        <v>0.89</v>
      </c>
      <c r="J12" s="37"/>
      <c r="L12" t="s">
        <v>131</v>
      </c>
    </row>
    <row r="13" spans="1:12" x14ac:dyDescent="0.3">
      <c r="A13" s="16"/>
      <c r="B13" s="110" t="s">
        <v>109</v>
      </c>
      <c r="C13" s="40">
        <v>70500</v>
      </c>
      <c r="D13" s="52">
        <v>0.85</v>
      </c>
      <c r="E13" s="39">
        <v>0.8</v>
      </c>
      <c r="F13" s="65">
        <v>0.9</v>
      </c>
      <c r="G13" s="39">
        <v>1.02</v>
      </c>
      <c r="H13" s="39">
        <v>1.02</v>
      </c>
      <c r="I13" s="65">
        <v>0.92</v>
      </c>
      <c r="J13" s="37"/>
      <c r="L13" t="s">
        <v>132</v>
      </c>
    </row>
    <row r="14" spans="1:12" x14ac:dyDescent="0.3">
      <c r="A14" s="16"/>
      <c r="B14" s="110" t="s">
        <v>110</v>
      </c>
      <c r="C14" s="40">
        <v>98000</v>
      </c>
      <c r="D14" s="52">
        <v>1.05</v>
      </c>
      <c r="E14" s="39">
        <v>1.05</v>
      </c>
      <c r="F14" s="65">
        <v>1.05</v>
      </c>
      <c r="G14" s="39">
        <v>0.98</v>
      </c>
      <c r="H14" s="39">
        <v>0.96</v>
      </c>
      <c r="I14" s="65">
        <v>0.93</v>
      </c>
      <c r="J14" s="37"/>
    </row>
    <row r="15" spans="1:12" x14ac:dyDescent="0.3">
      <c r="A15" s="16"/>
      <c r="B15" s="110" t="s">
        <v>111</v>
      </c>
      <c r="C15" s="40">
        <v>150000</v>
      </c>
      <c r="D15" s="52">
        <v>1.2</v>
      </c>
      <c r="E15" s="39">
        <v>1.1499999999999999</v>
      </c>
      <c r="F15" s="65">
        <v>1.1499999999999999</v>
      </c>
      <c r="G15" s="39">
        <v>0.97</v>
      </c>
      <c r="H15" s="39">
        <v>1.02</v>
      </c>
      <c r="I15" s="65">
        <v>1.06</v>
      </c>
      <c r="J15" s="37"/>
      <c r="L15" t="s">
        <v>133</v>
      </c>
    </row>
    <row r="16" spans="1:12" x14ac:dyDescent="0.3">
      <c r="A16" s="16"/>
      <c r="B16" s="111" t="s">
        <v>112</v>
      </c>
      <c r="C16" s="55">
        <v>10000</v>
      </c>
      <c r="D16" s="54">
        <v>1.45</v>
      </c>
      <c r="E16" s="47">
        <v>1.55</v>
      </c>
      <c r="F16" s="48">
        <v>1.35</v>
      </c>
      <c r="G16" s="47">
        <v>0.96</v>
      </c>
      <c r="H16" s="47">
        <v>1.06</v>
      </c>
      <c r="I16" s="48">
        <v>1.1100000000000001</v>
      </c>
      <c r="J16" s="37"/>
      <c r="L16" t="s">
        <v>134</v>
      </c>
    </row>
    <row r="17" spans="1:12" x14ac:dyDescent="0.3">
      <c r="A17" s="16"/>
      <c r="B17" s="36"/>
      <c r="C17" s="36"/>
      <c r="D17" s="36"/>
      <c r="E17" s="36"/>
      <c r="F17" s="36"/>
      <c r="G17" s="36"/>
      <c r="H17" s="36"/>
      <c r="I17" s="36"/>
      <c r="J17" s="37"/>
    </row>
    <row r="18" spans="1:12" x14ac:dyDescent="0.3">
      <c r="A18" s="63" t="s">
        <v>10</v>
      </c>
      <c r="B18" s="33" t="s">
        <v>118</v>
      </c>
      <c r="C18" s="36"/>
      <c r="D18" s="36"/>
      <c r="E18" s="36"/>
      <c r="F18" s="36"/>
      <c r="G18" s="36"/>
      <c r="H18" s="36"/>
      <c r="I18" s="36"/>
      <c r="J18" s="37"/>
      <c r="L18" t="s">
        <v>135</v>
      </c>
    </row>
    <row r="19" spans="1:12" x14ac:dyDescent="0.3">
      <c r="A19" s="16"/>
      <c r="B19" s="33" t="s">
        <v>119</v>
      </c>
      <c r="C19" s="36"/>
      <c r="D19" s="36"/>
      <c r="E19" s="36"/>
      <c r="F19" s="36"/>
      <c r="G19" s="36"/>
      <c r="H19" s="36"/>
      <c r="I19" s="36"/>
      <c r="J19" s="37"/>
    </row>
    <row r="20" spans="1:12" x14ac:dyDescent="0.3">
      <c r="A20" s="16"/>
      <c r="B20" s="33" t="s">
        <v>120</v>
      </c>
      <c r="C20" s="36"/>
      <c r="D20" s="36"/>
      <c r="E20" s="36"/>
      <c r="F20" s="36"/>
      <c r="G20" s="36"/>
      <c r="H20" s="36"/>
      <c r="I20" s="36"/>
      <c r="J20" s="37"/>
    </row>
    <row r="21" spans="1:12" x14ac:dyDescent="0.3">
      <c r="A21" s="16"/>
      <c r="B21" s="36"/>
      <c r="C21" s="36"/>
      <c r="D21" s="36"/>
      <c r="E21" s="36"/>
      <c r="F21" s="36"/>
      <c r="G21" s="36"/>
      <c r="H21" s="36"/>
      <c r="I21" s="36"/>
      <c r="J21" s="37"/>
    </row>
    <row r="22" spans="1:12" x14ac:dyDescent="0.3">
      <c r="A22" s="16"/>
      <c r="B22" s="33" t="s">
        <v>121</v>
      </c>
      <c r="C22" s="36"/>
      <c r="D22" s="36"/>
      <c r="E22" s="36"/>
      <c r="F22" s="36"/>
      <c r="G22" s="36"/>
      <c r="H22" s="36"/>
      <c r="I22" s="36"/>
      <c r="J22" s="37"/>
    </row>
    <row r="23" spans="1:12" x14ac:dyDescent="0.3">
      <c r="A23" s="16"/>
      <c r="B23" s="33" t="s">
        <v>122</v>
      </c>
      <c r="C23" s="36"/>
      <c r="D23" s="36"/>
      <c r="E23" s="36"/>
      <c r="F23" s="36"/>
      <c r="G23" s="36"/>
      <c r="H23" s="36"/>
      <c r="I23" s="36"/>
      <c r="J23" s="37"/>
    </row>
    <row r="24" spans="1:12" ht="15" thickBot="1" x14ac:dyDescent="0.35">
      <c r="A24" s="17"/>
      <c r="B24" s="106" t="s">
        <v>123</v>
      </c>
      <c r="C24" s="41"/>
      <c r="D24" s="41"/>
      <c r="E24" s="41"/>
      <c r="F24" s="41"/>
      <c r="G24" s="41"/>
      <c r="H24" s="41"/>
      <c r="I24" s="41"/>
      <c r="J24" s="42"/>
    </row>
  </sheetData>
  <mergeCells count="1">
    <mergeCell ref="I1:J1"/>
  </mergeCells>
  <hyperlinks>
    <hyperlink ref="I1" location="TOC!A1" display="Return to TOC" xr:uid="{35BCFE09-B398-4E27-AE86-9A6959986254}"/>
  </hyperlink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F39B3-82E4-4AB7-A57D-4678722D33FB}">
  <dimension ref="A1:P38"/>
  <sheetViews>
    <sheetView workbookViewId="0"/>
  </sheetViews>
  <sheetFormatPr defaultRowHeight="14.4" x14ac:dyDescent="0.3"/>
  <cols>
    <col min="1" max="1" width="13.33203125" bestFit="1" customWidth="1"/>
    <col min="2" max="2" width="10.44140625" customWidth="1"/>
    <col min="4" max="4" width="7.44140625" bestFit="1" customWidth="1"/>
    <col min="5" max="5" width="8.88671875" bestFit="1" customWidth="1"/>
    <col min="6" max="6" width="15.44140625" bestFit="1" customWidth="1"/>
    <col min="9" max="9" width="3.77734375" customWidth="1"/>
  </cols>
  <sheetData>
    <row r="1" spans="1:16" x14ac:dyDescent="0.3">
      <c r="A1" s="6" t="s">
        <v>4</v>
      </c>
      <c r="B1" s="7" t="s">
        <v>710</v>
      </c>
      <c r="C1" s="7"/>
      <c r="D1" s="8"/>
      <c r="E1" s="8"/>
      <c r="F1" s="8"/>
      <c r="G1" s="490" t="s">
        <v>5</v>
      </c>
      <c r="H1" s="491"/>
      <c r="J1" s="10" t="s">
        <v>6</v>
      </c>
    </row>
    <row r="2" spans="1:16" x14ac:dyDescent="0.3">
      <c r="A2" s="11" t="s">
        <v>7</v>
      </c>
      <c r="B2" s="33" t="s">
        <v>1364</v>
      </c>
      <c r="C2" s="33"/>
      <c r="D2" s="33"/>
      <c r="E2" s="33"/>
      <c r="F2" s="33"/>
      <c r="G2" s="33"/>
      <c r="H2" s="12"/>
      <c r="I2" t="s">
        <v>28</v>
      </c>
      <c r="J2" s="185" t="s">
        <v>1388</v>
      </c>
      <c r="K2" s="185"/>
      <c r="L2" s="185"/>
      <c r="M2" s="185"/>
      <c r="N2" s="185"/>
      <c r="O2" s="185"/>
      <c r="P2" s="185"/>
    </row>
    <row r="3" spans="1:16" x14ac:dyDescent="0.3">
      <c r="A3" s="11" t="s">
        <v>8</v>
      </c>
      <c r="B3" s="33" t="s">
        <v>1399</v>
      </c>
      <c r="C3" s="33"/>
      <c r="D3" s="33"/>
      <c r="E3" s="33"/>
      <c r="F3" s="33"/>
      <c r="G3" s="33"/>
      <c r="H3" s="12"/>
      <c r="I3" s="185"/>
      <c r="J3" s="185"/>
      <c r="K3" s="185"/>
      <c r="L3" s="185"/>
      <c r="M3" s="185"/>
      <c r="N3" s="185"/>
      <c r="O3" s="185"/>
      <c r="P3" s="185"/>
    </row>
    <row r="4" spans="1:16" x14ac:dyDescent="0.3">
      <c r="A4" s="13"/>
      <c r="B4" s="34"/>
      <c r="C4" s="34"/>
      <c r="D4" s="34"/>
      <c r="E4" s="34"/>
      <c r="F4" s="34"/>
      <c r="G4" s="34"/>
      <c r="H4" s="14"/>
      <c r="I4" s="185"/>
      <c r="J4" s="185" t="s">
        <v>1389</v>
      </c>
      <c r="K4" s="185"/>
      <c r="L4" s="185"/>
      <c r="M4" s="185"/>
      <c r="N4" s="185"/>
      <c r="O4" s="185"/>
      <c r="P4" s="185"/>
    </row>
    <row r="5" spans="1:16" x14ac:dyDescent="0.3">
      <c r="A5" s="15" t="s">
        <v>9</v>
      </c>
      <c r="B5" s="36" t="s">
        <v>1381</v>
      </c>
      <c r="C5" s="36"/>
      <c r="D5" s="36"/>
      <c r="E5" s="36"/>
      <c r="F5" s="36"/>
      <c r="G5" s="36"/>
      <c r="H5" s="37"/>
      <c r="J5" s="185"/>
      <c r="K5" s="185"/>
      <c r="L5" s="185"/>
      <c r="M5" s="185"/>
      <c r="N5" s="185"/>
      <c r="O5" s="185"/>
      <c r="P5" s="185"/>
    </row>
    <row r="6" spans="1:16" x14ac:dyDescent="0.3">
      <c r="A6" s="16"/>
      <c r="B6" s="36" t="s">
        <v>1382</v>
      </c>
      <c r="C6" s="36"/>
      <c r="D6" s="36"/>
      <c r="E6" s="36"/>
      <c r="F6" s="36"/>
      <c r="G6" s="36"/>
      <c r="H6" s="37"/>
      <c r="J6" s="185" t="s">
        <v>1058</v>
      </c>
      <c r="K6" s="185">
        <f>(F32-F29)/F32</f>
        <v>0.79533121257485029</v>
      </c>
      <c r="L6" s="185"/>
      <c r="M6" s="185"/>
      <c r="N6" s="185"/>
      <c r="O6" s="185"/>
      <c r="P6" s="185"/>
    </row>
    <row r="7" spans="1:16" x14ac:dyDescent="0.3">
      <c r="A7" s="16"/>
      <c r="B7" s="36"/>
      <c r="C7" s="36"/>
      <c r="D7" s="36"/>
      <c r="E7" s="36"/>
      <c r="F7" s="36"/>
      <c r="G7" s="36"/>
      <c r="H7" s="37"/>
      <c r="J7" s="185"/>
      <c r="K7" s="185"/>
      <c r="L7" s="185"/>
      <c r="M7" s="185"/>
      <c r="N7" s="185"/>
      <c r="O7" s="185"/>
      <c r="P7" s="185"/>
    </row>
    <row r="8" spans="1:16" x14ac:dyDescent="0.3">
      <c r="A8" s="16"/>
      <c r="B8" s="43" t="s">
        <v>1365</v>
      </c>
      <c r="C8" s="117"/>
      <c r="D8" s="117"/>
      <c r="E8" s="118"/>
      <c r="F8" s="449">
        <v>43466</v>
      </c>
      <c r="G8" s="36"/>
      <c r="H8" s="37"/>
      <c r="J8" s="505" t="s">
        <v>1390</v>
      </c>
      <c r="K8" s="499" t="s">
        <v>1391</v>
      </c>
      <c r="L8" s="499" t="s">
        <v>1392</v>
      </c>
      <c r="M8" s="499" t="s">
        <v>1393</v>
      </c>
      <c r="N8" s="499" t="s">
        <v>1394</v>
      </c>
      <c r="O8" s="502" t="s">
        <v>1395</v>
      </c>
      <c r="P8" s="185"/>
    </row>
    <row r="9" spans="1:16" x14ac:dyDescent="0.3">
      <c r="A9" s="16"/>
      <c r="B9" s="267" t="s">
        <v>1366</v>
      </c>
      <c r="C9" s="36"/>
      <c r="D9" s="36"/>
      <c r="E9" s="119"/>
      <c r="F9" s="65" t="s">
        <v>1367</v>
      </c>
      <c r="G9" s="36"/>
      <c r="H9" s="37"/>
      <c r="J9" s="506"/>
      <c r="K9" s="500"/>
      <c r="L9" s="500"/>
      <c r="M9" s="500"/>
      <c r="N9" s="500"/>
      <c r="O9" s="503"/>
      <c r="P9" s="185"/>
    </row>
    <row r="10" spans="1:16" x14ac:dyDescent="0.3">
      <c r="A10" s="16"/>
      <c r="B10" s="267" t="s">
        <v>1368</v>
      </c>
      <c r="C10" s="36"/>
      <c r="D10" s="36"/>
      <c r="E10" s="119"/>
      <c r="F10" s="130">
        <v>0.02</v>
      </c>
      <c r="G10" s="36"/>
      <c r="H10" s="37"/>
      <c r="J10" s="507"/>
      <c r="K10" s="501"/>
      <c r="L10" s="501"/>
      <c r="M10" s="501"/>
      <c r="N10" s="501"/>
      <c r="O10" s="504"/>
      <c r="P10" s="185"/>
    </row>
    <row r="11" spans="1:16" x14ac:dyDescent="0.3">
      <c r="A11" s="16"/>
      <c r="B11" s="267" t="s">
        <v>1369</v>
      </c>
      <c r="C11" s="36"/>
      <c r="D11" s="36"/>
      <c r="E11" s="119"/>
      <c r="F11" s="53">
        <v>100000</v>
      </c>
      <c r="G11" s="36"/>
      <c r="H11" s="37"/>
      <c r="J11" s="201">
        <v>2017</v>
      </c>
      <c r="K11" s="455">
        <f>$F$13</f>
        <v>500000</v>
      </c>
      <c r="L11" s="462">
        <f>1-$K$6</f>
        <v>0.20466878742514971</v>
      </c>
      <c r="M11" s="9">
        <f>(1+$F$10)^2</f>
        <v>1.0404</v>
      </c>
      <c r="N11" s="365">
        <f>C29</f>
        <v>1.5</v>
      </c>
      <c r="O11" s="211">
        <f>(K11*L11)/(M11*N11)</f>
        <v>65573.749655629144</v>
      </c>
      <c r="P11" s="185"/>
    </row>
    <row r="12" spans="1:16" x14ac:dyDescent="0.3">
      <c r="A12" s="16"/>
      <c r="B12" s="267" t="s">
        <v>1370</v>
      </c>
      <c r="C12" s="36"/>
      <c r="D12" s="36"/>
      <c r="E12" s="119"/>
      <c r="F12" s="162">
        <v>0.6</v>
      </c>
      <c r="G12" s="36"/>
      <c r="H12" s="37"/>
      <c r="J12" s="201">
        <v>2016</v>
      </c>
      <c r="K12" s="455">
        <f>$F$13</f>
        <v>500000</v>
      </c>
      <c r="L12" s="462">
        <f>1-$K$6</f>
        <v>0.20466878742514971</v>
      </c>
      <c r="M12" s="248">
        <f>(1+$F$10)^3</f>
        <v>1.0612079999999999</v>
      </c>
      <c r="N12" s="365">
        <f>C30</f>
        <v>1.23</v>
      </c>
      <c r="O12" s="211">
        <f t="shared" ref="O12:O13" si="0">(K12*L12)/(M12*N12)</f>
        <v>78399.987632268239</v>
      </c>
      <c r="P12" s="185"/>
    </row>
    <row r="13" spans="1:16" x14ac:dyDescent="0.3">
      <c r="A13" s="16"/>
      <c r="B13" s="268" t="s">
        <v>1371</v>
      </c>
      <c r="C13" s="120"/>
      <c r="D13" s="120"/>
      <c r="E13" s="121"/>
      <c r="F13" s="56">
        <v>500000</v>
      </c>
      <c r="G13" s="36"/>
      <c r="H13" s="37"/>
      <c r="J13" s="202">
        <v>2015</v>
      </c>
      <c r="K13" s="457">
        <f>$F$13</f>
        <v>500000</v>
      </c>
      <c r="L13" s="463">
        <f>1-$K$6</f>
        <v>0.20466878742514971</v>
      </c>
      <c r="M13" s="460">
        <f>(1+$F$10)^4</f>
        <v>1.08243216</v>
      </c>
      <c r="N13" s="461">
        <f>C31</f>
        <v>1.2</v>
      </c>
      <c r="O13" s="212">
        <f t="shared" si="0"/>
        <v>78784.30129713229</v>
      </c>
      <c r="P13" s="185"/>
    </row>
    <row r="14" spans="1:16" ht="15" thickBot="1" x14ac:dyDescent="0.35">
      <c r="A14" s="16"/>
      <c r="B14" s="36"/>
      <c r="C14" s="36"/>
      <c r="D14" s="36"/>
      <c r="E14" s="36"/>
      <c r="F14" s="36"/>
      <c r="G14" s="36"/>
      <c r="H14" s="37"/>
      <c r="J14" s="185"/>
      <c r="K14" s="185"/>
      <c r="L14" s="185"/>
      <c r="M14" s="185"/>
      <c r="N14" s="464" t="s">
        <v>151</v>
      </c>
      <c r="O14" s="465">
        <f>SUM(O11:O13)</f>
        <v>222758.03858502966</v>
      </c>
      <c r="P14" s="185"/>
    </row>
    <row r="15" spans="1:16" x14ac:dyDescent="0.3">
      <c r="A15" s="16"/>
      <c r="B15" s="246" t="s">
        <v>1372</v>
      </c>
      <c r="C15" s="36"/>
      <c r="D15" s="36"/>
      <c r="E15" s="36"/>
      <c r="F15" s="36"/>
      <c r="G15" s="36"/>
      <c r="H15" s="37"/>
      <c r="J15" s="185" t="s">
        <v>1396</v>
      </c>
      <c r="K15" s="185"/>
      <c r="L15" s="185"/>
      <c r="M15" s="185"/>
      <c r="N15" s="185"/>
      <c r="O15" s="185"/>
      <c r="P15" s="185"/>
    </row>
    <row r="16" spans="1:16" x14ac:dyDescent="0.3">
      <c r="A16" s="16"/>
      <c r="B16" s="170">
        <v>2015</v>
      </c>
      <c r="C16" s="170">
        <v>2016</v>
      </c>
      <c r="D16" s="170">
        <v>2017</v>
      </c>
      <c r="E16" s="170">
        <v>2018</v>
      </c>
      <c r="F16" s="36"/>
      <c r="G16" s="36"/>
      <c r="H16" s="37"/>
      <c r="J16" s="185"/>
      <c r="K16" s="185"/>
      <c r="L16" s="185"/>
      <c r="M16" s="185"/>
      <c r="N16" s="185"/>
      <c r="O16" s="185"/>
      <c r="P16" s="185"/>
    </row>
    <row r="17" spans="1:16" x14ac:dyDescent="0.3">
      <c r="A17" s="16"/>
      <c r="B17" s="99">
        <v>3450</v>
      </c>
      <c r="C17" s="99">
        <v>2389</v>
      </c>
      <c r="D17" s="69">
        <v>456</v>
      </c>
      <c r="E17" s="99">
        <v>5694</v>
      </c>
      <c r="F17" s="36"/>
      <c r="G17" s="36"/>
      <c r="H17" s="37"/>
      <c r="J17" s="185" t="s">
        <v>1400</v>
      </c>
      <c r="K17" s="185"/>
      <c r="M17" s="452">
        <f>O14</f>
        <v>222758.03858502966</v>
      </c>
      <c r="N17" s="185"/>
      <c r="O17" s="185"/>
      <c r="P17" s="185"/>
    </row>
    <row r="18" spans="1:16" x14ac:dyDescent="0.3">
      <c r="A18" s="16"/>
      <c r="B18" s="99">
        <v>5000</v>
      </c>
      <c r="C18" s="69">
        <v>345</v>
      </c>
      <c r="D18" s="99">
        <v>126890</v>
      </c>
      <c r="E18" s="99">
        <v>99832</v>
      </c>
      <c r="F18" s="36"/>
      <c r="G18" s="36"/>
      <c r="H18" s="37"/>
      <c r="J18" s="185"/>
      <c r="K18" s="185"/>
      <c r="L18" s="185"/>
      <c r="M18" s="185"/>
      <c r="N18" s="185"/>
      <c r="O18" s="185"/>
      <c r="P18" s="185"/>
    </row>
    <row r="19" spans="1:16" x14ac:dyDescent="0.3">
      <c r="A19" s="16"/>
      <c r="B19" s="69">
        <v>234</v>
      </c>
      <c r="C19" s="99">
        <v>1236806</v>
      </c>
      <c r="D19" s="99">
        <v>2345</v>
      </c>
      <c r="E19" s="99">
        <v>76532</v>
      </c>
      <c r="F19" s="36"/>
      <c r="G19" s="36"/>
      <c r="H19" s="37"/>
      <c r="I19" t="s">
        <v>38</v>
      </c>
      <c r="J19" s="458">
        <v>2015</v>
      </c>
      <c r="K19" s="450">
        <v>2016</v>
      </c>
      <c r="L19" s="459">
        <v>2017</v>
      </c>
      <c r="M19" s="185"/>
      <c r="N19" s="185"/>
      <c r="O19" s="185"/>
      <c r="P19" s="185"/>
    </row>
    <row r="20" spans="1:16" x14ac:dyDescent="0.3">
      <c r="A20" s="16"/>
      <c r="B20" s="99">
        <v>98000</v>
      </c>
      <c r="C20" s="69"/>
      <c r="D20" s="99">
        <v>1874</v>
      </c>
      <c r="E20" s="69"/>
      <c r="F20" s="36"/>
      <c r="G20" s="36"/>
      <c r="H20" s="37"/>
      <c r="J20" s="454">
        <f>MIN(B17,$F$11)</f>
        <v>3450</v>
      </c>
      <c r="K20" s="455">
        <f>MIN(C17,$F$11)</f>
        <v>2389</v>
      </c>
      <c r="L20" s="208">
        <f>MIN(D17,$F$11)</f>
        <v>456</v>
      </c>
      <c r="M20" s="185"/>
      <c r="N20" s="185"/>
      <c r="O20" s="185"/>
      <c r="P20" s="185"/>
    </row>
    <row r="21" spans="1:16" x14ac:dyDescent="0.3">
      <c r="A21" s="16"/>
      <c r="B21" s="99">
        <v>324789</v>
      </c>
      <c r="C21" s="69"/>
      <c r="D21" s="69">
        <v>690</v>
      </c>
      <c r="E21" s="69"/>
      <c r="F21" s="36"/>
      <c r="G21" s="36"/>
      <c r="H21" s="37"/>
      <c r="J21" s="454">
        <f t="shared" ref="J21:J24" si="1">MIN(B18,$F$11)</f>
        <v>5000</v>
      </c>
      <c r="K21" s="455">
        <f t="shared" ref="K21:K22" si="2">MIN(C18,$F$11)</f>
        <v>345</v>
      </c>
      <c r="L21" s="208">
        <f t="shared" ref="L21:L25" si="3">MIN(D18,$F$11)</f>
        <v>100000</v>
      </c>
      <c r="M21" s="185"/>
      <c r="N21" s="185"/>
      <c r="O21" s="185"/>
      <c r="P21" s="185"/>
    </row>
    <row r="22" spans="1:16" x14ac:dyDescent="0.3">
      <c r="A22" s="16"/>
      <c r="B22" s="70"/>
      <c r="C22" s="70"/>
      <c r="D22" s="100">
        <v>26986</v>
      </c>
      <c r="E22" s="70"/>
      <c r="F22" s="36"/>
      <c r="G22" s="36"/>
      <c r="H22" s="37"/>
      <c r="J22" s="454">
        <f t="shared" si="1"/>
        <v>234</v>
      </c>
      <c r="K22" s="455">
        <f t="shared" si="2"/>
        <v>100000</v>
      </c>
      <c r="L22" s="208">
        <f t="shared" si="3"/>
        <v>2345</v>
      </c>
      <c r="M22" s="185"/>
      <c r="N22" s="185"/>
      <c r="O22" s="185"/>
      <c r="P22" s="185"/>
    </row>
    <row r="23" spans="1:16" x14ac:dyDescent="0.3">
      <c r="A23" s="16"/>
      <c r="B23" s="36"/>
      <c r="C23" s="36"/>
      <c r="D23" s="36"/>
      <c r="E23" s="36"/>
      <c r="F23" s="36"/>
      <c r="G23" s="36"/>
      <c r="H23" s="37"/>
      <c r="J23" s="454">
        <f t="shared" si="1"/>
        <v>98000</v>
      </c>
      <c r="K23" s="455"/>
      <c r="L23" s="208">
        <f t="shared" si="3"/>
        <v>1874</v>
      </c>
      <c r="M23" s="185"/>
      <c r="N23" s="185"/>
      <c r="O23" s="185"/>
      <c r="P23" s="185"/>
    </row>
    <row r="24" spans="1:16" x14ac:dyDescent="0.3">
      <c r="A24" s="16"/>
      <c r="B24" s="36" t="s">
        <v>1383</v>
      </c>
      <c r="C24" s="36"/>
      <c r="D24" s="36"/>
      <c r="E24" s="36"/>
      <c r="F24" s="36"/>
      <c r="G24" s="36"/>
      <c r="H24" s="37"/>
      <c r="J24" s="454">
        <f t="shared" si="1"/>
        <v>100000</v>
      </c>
      <c r="K24" s="455"/>
      <c r="L24" s="208">
        <f t="shared" si="3"/>
        <v>690</v>
      </c>
      <c r="M24" s="185"/>
      <c r="N24" s="185"/>
      <c r="O24" s="185"/>
      <c r="P24" s="185"/>
    </row>
    <row r="25" spans="1:16" x14ac:dyDescent="0.3">
      <c r="A25" s="16"/>
      <c r="B25" s="36" t="s">
        <v>1384</v>
      </c>
      <c r="C25" s="36"/>
      <c r="D25" s="36"/>
      <c r="E25" s="36"/>
      <c r="F25" s="36"/>
      <c r="G25" s="36"/>
      <c r="H25" s="37"/>
      <c r="J25" s="456"/>
      <c r="K25" s="457"/>
      <c r="L25" s="209">
        <f t="shared" si="3"/>
        <v>26986</v>
      </c>
      <c r="M25" s="185"/>
      <c r="N25" s="185"/>
      <c r="O25" s="185"/>
      <c r="P25" s="185"/>
    </row>
    <row r="26" spans="1:16" x14ac:dyDescent="0.3">
      <c r="A26" s="16"/>
      <c r="B26" s="36"/>
      <c r="C26" s="36"/>
      <c r="D26" s="36"/>
      <c r="E26" s="36"/>
      <c r="F26" s="36"/>
      <c r="G26" s="36"/>
      <c r="H26" s="37"/>
      <c r="J26" s="451"/>
      <c r="K26" s="451"/>
      <c r="L26" s="451"/>
      <c r="M26" s="185"/>
      <c r="N26" s="185"/>
      <c r="O26" s="185"/>
      <c r="P26" s="185"/>
    </row>
    <row r="27" spans="1:16" x14ac:dyDescent="0.3">
      <c r="A27" s="16"/>
      <c r="B27" s="182" t="s">
        <v>1373</v>
      </c>
      <c r="C27" s="182" t="s">
        <v>1374</v>
      </c>
      <c r="D27" s="36"/>
      <c r="E27" s="497" t="s">
        <v>1103</v>
      </c>
      <c r="F27" s="182" t="s">
        <v>1375</v>
      </c>
      <c r="G27" s="36"/>
      <c r="H27" s="37"/>
      <c r="J27" s="185" t="s">
        <v>1397</v>
      </c>
      <c r="K27" s="185"/>
      <c r="M27" s="451">
        <f>SUM(J20:L25)</f>
        <v>441769</v>
      </c>
      <c r="N27" s="185"/>
      <c r="O27" s="185"/>
      <c r="P27" s="185"/>
    </row>
    <row r="28" spans="1:16" x14ac:dyDescent="0.3">
      <c r="A28" s="16"/>
      <c r="B28" s="183" t="s">
        <v>1376</v>
      </c>
      <c r="C28" s="183" t="s">
        <v>1377</v>
      </c>
      <c r="D28" s="36"/>
      <c r="E28" s="498"/>
      <c r="F28" s="183" t="s">
        <v>698</v>
      </c>
      <c r="G28" s="36"/>
      <c r="H28" s="37"/>
      <c r="J28" s="185"/>
      <c r="K28" s="185"/>
      <c r="L28" s="185"/>
      <c r="M28" s="185"/>
      <c r="N28" s="185"/>
      <c r="O28" s="185"/>
      <c r="P28" s="185"/>
    </row>
    <row r="29" spans="1:16" x14ac:dyDescent="0.3">
      <c r="A29" s="16"/>
      <c r="B29" s="168" t="s">
        <v>1378</v>
      </c>
      <c r="C29" s="240">
        <v>1.5</v>
      </c>
      <c r="D29" s="36"/>
      <c r="E29" s="169">
        <v>100000</v>
      </c>
      <c r="F29" s="169">
        <v>17500</v>
      </c>
      <c r="G29" s="36"/>
      <c r="H29" s="37"/>
      <c r="J29" s="185"/>
      <c r="K29" s="185"/>
      <c r="L29" s="185"/>
      <c r="M29" s="185"/>
      <c r="N29" s="185"/>
      <c r="O29" s="185"/>
      <c r="P29" s="185"/>
    </row>
    <row r="30" spans="1:16" x14ac:dyDescent="0.3">
      <c r="A30" s="16"/>
      <c r="B30" s="168" t="s">
        <v>1379</v>
      </c>
      <c r="C30" s="240">
        <v>1.23</v>
      </c>
      <c r="D30" s="36"/>
      <c r="E30" s="169">
        <v>500000</v>
      </c>
      <c r="F30" s="169">
        <v>28567</v>
      </c>
      <c r="G30" s="36"/>
      <c r="H30" s="37"/>
      <c r="J30" s="185"/>
      <c r="K30" s="185"/>
      <c r="L30" s="185"/>
      <c r="M30" s="185"/>
      <c r="N30" s="185"/>
      <c r="O30" s="185"/>
      <c r="P30" s="185"/>
    </row>
    <row r="31" spans="1:16" x14ac:dyDescent="0.3">
      <c r="A31" s="16"/>
      <c r="B31" s="168" t="s">
        <v>1380</v>
      </c>
      <c r="C31" s="240">
        <v>1.2</v>
      </c>
      <c r="D31" s="36"/>
      <c r="E31" s="169">
        <v>1000000</v>
      </c>
      <c r="F31" s="169">
        <v>43393</v>
      </c>
      <c r="G31" s="36"/>
      <c r="H31" s="37"/>
      <c r="J31" s="185" t="s">
        <v>1398</v>
      </c>
      <c r="K31" s="453">
        <f>F12*(M27/M17)+(1-F12)*1</f>
        <v>1.5899072270688115</v>
      </c>
      <c r="L31" s="185"/>
      <c r="M31" s="185"/>
      <c r="N31" s="185"/>
      <c r="O31" s="185"/>
      <c r="P31" s="185"/>
    </row>
    <row r="32" spans="1:16" x14ac:dyDescent="0.3">
      <c r="A32" s="16"/>
      <c r="B32" s="36"/>
      <c r="C32" s="36"/>
      <c r="D32" s="36"/>
      <c r="E32" s="168" t="s">
        <v>446</v>
      </c>
      <c r="F32" s="169">
        <v>85504</v>
      </c>
      <c r="G32" s="36"/>
      <c r="H32" s="37"/>
      <c r="J32" s="185"/>
      <c r="K32" s="185"/>
      <c r="L32" s="185"/>
      <c r="M32" s="185"/>
      <c r="N32" s="185"/>
      <c r="O32" s="185"/>
      <c r="P32" s="185"/>
    </row>
    <row r="33" spans="1:16" x14ac:dyDescent="0.3">
      <c r="A33" s="16"/>
      <c r="B33" s="36"/>
      <c r="C33" s="36"/>
      <c r="D33" s="36"/>
      <c r="E33" s="36"/>
      <c r="F33" s="36"/>
      <c r="G33" s="36"/>
      <c r="H33" s="37"/>
      <c r="J33" s="185"/>
      <c r="K33" s="185"/>
      <c r="L33" s="185"/>
      <c r="M33" s="185"/>
      <c r="N33" s="185"/>
      <c r="O33" s="185"/>
      <c r="P33" s="185"/>
    </row>
    <row r="34" spans="1:16" x14ac:dyDescent="0.3">
      <c r="A34" s="63" t="s">
        <v>10</v>
      </c>
      <c r="B34" s="36" t="s">
        <v>1385</v>
      </c>
      <c r="C34" s="36"/>
      <c r="D34" s="36"/>
      <c r="E34" s="36"/>
      <c r="F34" s="36"/>
      <c r="G34" s="36"/>
      <c r="H34" s="37"/>
      <c r="J34" s="185"/>
      <c r="K34" s="185"/>
      <c r="L34" s="185"/>
      <c r="M34" s="185"/>
      <c r="N34" s="185"/>
      <c r="O34" s="185"/>
      <c r="P34" s="185"/>
    </row>
    <row r="35" spans="1:16" x14ac:dyDescent="0.3">
      <c r="A35" s="16"/>
      <c r="B35" s="36" t="s">
        <v>1386</v>
      </c>
      <c r="C35" s="36"/>
      <c r="D35" s="36"/>
      <c r="E35" s="36"/>
      <c r="F35" s="36"/>
      <c r="G35" s="36"/>
      <c r="H35" s="37"/>
      <c r="J35" s="185"/>
      <c r="K35" s="185"/>
      <c r="L35" s="185"/>
      <c r="M35" s="185"/>
      <c r="N35" s="185"/>
      <c r="O35" s="185"/>
      <c r="P35" s="185"/>
    </row>
    <row r="36" spans="1:16" x14ac:dyDescent="0.3">
      <c r="A36" s="16"/>
      <c r="B36" s="36"/>
      <c r="C36" s="36"/>
      <c r="D36" s="36"/>
      <c r="E36" s="36"/>
      <c r="F36" s="36"/>
      <c r="G36" s="36"/>
      <c r="H36" s="37"/>
      <c r="J36" s="185"/>
      <c r="K36" s="185"/>
      <c r="L36" s="185"/>
      <c r="M36" s="185"/>
      <c r="N36" s="185"/>
      <c r="O36" s="185"/>
      <c r="P36" s="185"/>
    </row>
    <row r="37" spans="1:16" ht="15" thickBot="1" x14ac:dyDescent="0.35">
      <c r="A37" s="17"/>
      <c r="B37" s="41" t="s">
        <v>1387</v>
      </c>
      <c r="C37" s="41"/>
      <c r="D37" s="41"/>
      <c r="E37" s="41"/>
      <c r="F37" s="41"/>
      <c r="G37" s="41"/>
      <c r="H37" s="42"/>
      <c r="J37" s="185"/>
      <c r="K37" s="185"/>
      <c r="L37" s="185"/>
      <c r="M37" s="185"/>
      <c r="N37" s="185"/>
      <c r="O37" s="185"/>
      <c r="P37" s="185"/>
    </row>
    <row r="38" spans="1:16" x14ac:dyDescent="0.3">
      <c r="J38" s="185"/>
      <c r="K38" s="185"/>
      <c r="L38" s="185"/>
      <c r="M38" s="185"/>
      <c r="N38" s="185"/>
      <c r="O38" s="185"/>
      <c r="P38" s="185"/>
    </row>
  </sheetData>
  <mergeCells count="8">
    <mergeCell ref="M8:M10"/>
    <mergeCell ref="N8:N10"/>
    <mergeCell ref="O8:O10"/>
    <mergeCell ref="G1:H1"/>
    <mergeCell ref="E27:E28"/>
    <mergeCell ref="J8:J10"/>
    <mergeCell ref="K8:K10"/>
    <mergeCell ref="L8:L10"/>
  </mergeCells>
  <hyperlinks>
    <hyperlink ref="G1" location="TOC!A1" display="Return to TOC" xr:uid="{3746D2B4-250B-4133-BC35-156C5D7CD856}"/>
  </hyperlinks>
  <pageMargins left="0.7" right="0.7" top="0.75" bottom="0.75" header="0.3" footer="0.3"/>
  <drawing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FCF8D-8F71-487F-8B31-18DEEF52B13F}">
  <dimension ref="A1:P55"/>
  <sheetViews>
    <sheetView workbookViewId="0"/>
  </sheetViews>
  <sheetFormatPr defaultRowHeight="14.4" x14ac:dyDescent="0.3"/>
  <cols>
    <col min="1" max="1" width="13.33203125" bestFit="1" customWidth="1"/>
    <col min="9" max="9" width="4.5546875" customWidth="1"/>
    <col min="10" max="10" width="3.77734375" customWidth="1"/>
    <col min="11" max="11" width="11.5546875" bestFit="1" customWidth="1"/>
    <col min="12" max="13" width="10.5546875" bestFit="1" customWidth="1"/>
    <col min="16" max="16" width="11.5546875" bestFit="1" customWidth="1"/>
  </cols>
  <sheetData>
    <row r="1" spans="1:16" x14ac:dyDescent="0.3">
      <c r="A1" s="6" t="s">
        <v>4</v>
      </c>
      <c r="B1" s="7" t="s">
        <v>710</v>
      </c>
      <c r="C1" s="7"/>
      <c r="D1" s="8"/>
      <c r="E1" s="8"/>
      <c r="F1" s="8"/>
      <c r="G1" s="8"/>
      <c r="H1" s="490" t="s">
        <v>5</v>
      </c>
      <c r="I1" s="491"/>
      <c r="K1" s="10" t="s">
        <v>6</v>
      </c>
    </row>
    <row r="2" spans="1:16" x14ac:dyDescent="0.3">
      <c r="A2" s="11" t="s">
        <v>7</v>
      </c>
      <c r="B2" s="33" t="s">
        <v>1469</v>
      </c>
      <c r="C2" s="33"/>
      <c r="D2" s="33"/>
      <c r="E2" s="33"/>
      <c r="F2" s="33"/>
      <c r="G2" s="33"/>
      <c r="H2" s="33"/>
      <c r="I2" s="12"/>
      <c r="J2" t="s">
        <v>28</v>
      </c>
      <c r="K2" s="185" t="s">
        <v>1497</v>
      </c>
    </row>
    <row r="3" spans="1:16" x14ac:dyDescent="0.3">
      <c r="A3" s="11" t="s">
        <v>8</v>
      </c>
      <c r="B3" s="33" t="s">
        <v>1496</v>
      </c>
      <c r="C3" s="33"/>
      <c r="D3" s="33"/>
      <c r="E3" s="33"/>
      <c r="F3" s="33"/>
      <c r="G3" s="33"/>
      <c r="H3" s="33"/>
      <c r="I3" s="12"/>
      <c r="J3" s="185"/>
      <c r="K3" s="185"/>
    </row>
    <row r="4" spans="1:16" x14ac:dyDescent="0.3">
      <c r="A4" s="13"/>
      <c r="B4" s="34"/>
      <c r="C4" s="34"/>
      <c r="D4" s="34"/>
      <c r="E4" s="34"/>
      <c r="F4" s="34"/>
      <c r="G4" s="34"/>
      <c r="H4" s="34"/>
      <c r="I4" s="14"/>
      <c r="J4" s="185"/>
      <c r="K4" s="185" t="s">
        <v>1498</v>
      </c>
      <c r="L4" t="s">
        <v>1502</v>
      </c>
      <c r="M4" t="s">
        <v>1503</v>
      </c>
      <c r="N4" t="s">
        <v>1504</v>
      </c>
      <c r="O4" t="s">
        <v>1505</v>
      </c>
      <c r="P4" t="s">
        <v>151</v>
      </c>
    </row>
    <row r="5" spans="1:16" x14ac:dyDescent="0.3">
      <c r="A5" s="15" t="s">
        <v>9</v>
      </c>
      <c r="B5" s="36" t="s">
        <v>1470</v>
      </c>
      <c r="C5" s="36"/>
      <c r="D5" s="36"/>
      <c r="E5" s="36"/>
      <c r="F5" s="36"/>
      <c r="G5" s="36"/>
      <c r="H5" s="36"/>
      <c r="I5" s="37"/>
      <c r="K5" s="185" t="s">
        <v>1499</v>
      </c>
      <c r="L5" s="62">
        <f>$B$7</f>
        <v>339232</v>
      </c>
      <c r="M5" s="270">
        <f>L5*(1-$B$12)</f>
        <v>94984.960000000006</v>
      </c>
      <c r="N5">
        <f>1/(1+$B$8)^2</f>
        <v>0.92455621301775137</v>
      </c>
      <c r="O5">
        <f>1/B9</f>
        <v>0.6872852233676976</v>
      </c>
      <c r="P5">
        <f>PRODUCT(M5:O5)</f>
        <v>60356.656296386667</v>
      </c>
    </row>
    <row r="6" spans="1:16" x14ac:dyDescent="0.3">
      <c r="A6" s="16"/>
      <c r="B6" s="33" t="s">
        <v>1471</v>
      </c>
      <c r="C6" s="36"/>
      <c r="D6" s="36"/>
      <c r="E6" s="36"/>
      <c r="F6" s="36"/>
      <c r="G6" s="36"/>
      <c r="H6" s="36"/>
      <c r="I6" s="37"/>
      <c r="K6" s="185" t="s">
        <v>1500</v>
      </c>
      <c r="L6" s="62">
        <f>$B$7</f>
        <v>339232</v>
      </c>
      <c r="M6" s="270">
        <f>L6*(1-$B$12)</f>
        <v>94984.960000000006</v>
      </c>
      <c r="N6">
        <f>1/(1+$B$8)^3</f>
        <v>0.88899635867091487</v>
      </c>
      <c r="O6">
        <f>1/B10</f>
        <v>0.82440230832646322</v>
      </c>
      <c r="P6">
        <f t="shared" ref="P6:P7" si="0">PRODUCT(M6:O6)</f>
        <v>69613.589091922913</v>
      </c>
    </row>
    <row r="7" spans="1:16" x14ac:dyDescent="0.3">
      <c r="A7" s="16"/>
      <c r="B7" s="116">
        <v>339232</v>
      </c>
      <c r="C7" s="43" t="s">
        <v>1472</v>
      </c>
      <c r="D7" s="117"/>
      <c r="E7" s="117"/>
      <c r="F7" s="117"/>
      <c r="G7" s="117"/>
      <c r="H7" s="118"/>
      <c r="I7" s="37"/>
      <c r="K7" s="185" t="s">
        <v>1501</v>
      </c>
      <c r="L7" s="62">
        <f>$B$7</f>
        <v>339232</v>
      </c>
      <c r="M7" s="270">
        <f>L7*(1-$B$12)</f>
        <v>94984.960000000006</v>
      </c>
      <c r="N7">
        <f>1/(1+$B$8)^4</f>
        <v>0.85480419102972571</v>
      </c>
      <c r="O7">
        <f>1/B11</f>
        <v>0.90661831368993651</v>
      </c>
      <c r="P7">
        <f t="shared" si="0"/>
        <v>73611.55203335527</v>
      </c>
    </row>
    <row r="8" spans="1:16" x14ac:dyDescent="0.3">
      <c r="A8" s="16"/>
      <c r="B8" s="235">
        <v>0.04</v>
      </c>
      <c r="C8" s="267" t="s">
        <v>1473</v>
      </c>
      <c r="D8" s="36"/>
      <c r="E8" s="36"/>
      <c r="F8" s="36"/>
      <c r="G8" s="36"/>
      <c r="H8" s="119"/>
      <c r="I8" s="37"/>
      <c r="O8" t="s">
        <v>151</v>
      </c>
      <c r="P8" s="486">
        <f>SUM(P5:P7)</f>
        <v>203581.79742166487</v>
      </c>
    </row>
    <row r="9" spans="1:16" x14ac:dyDescent="0.3">
      <c r="A9" s="16"/>
      <c r="B9" s="69">
        <v>1.4550000000000001</v>
      </c>
      <c r="C9" s="267" t="s">
        <v>1474</v>
      </c>
      <c r="D9" s="36"/>
      <c r="E9" s="36"/>
      <c r="F9" s="36"/>
      <c r="G9" s="36"/>
      <c r="H9" s="119"/>
      <c r="I9" s="37"/>
    </row>
    <row r="10" spans="1:16" x14ac:dyDescent="0.3">
      <c r="A10" s="16"/>
      <c r="B10" s="69">
        <v>1.2130000000000001</v>
      </c>
      <c r="C10" s="267" t="s">
        <v>1475</v>
      </c>
      <c r="D10" s="36"/>
      <c r="E10" s="36"/>
      <c r="F10" s="36"/>
      <c r="G10" s="36"/>
      <c r="H10" s="119"/>
      <c r="I10" s="37"/>
      <c r="K10" s="62">
        <f>SUM(B13:B15)</f>
        <v>171969</v>
      </c>
      <c r="L10" t="s">
        <v>1506</v>
      </c>
    </row>
    <row r="11" spans="1:16" x14ac:dyDescent="0.3">
      <c r="A11" s="16"/>
      <c r="B11" s="69">
        <v>1.103</v>
      </c>
      <c r="C11" s="267" t="s">
        <v>1476</v>
      </c>
      <c r="D11" s="36"/>
      <c r="E11" s="36"/>
      <c r="F11" s="36"/>
      <c r="G11" s="36"/>
      <c r="H11" s="119"/>
      <c r="I11" s="37"/>
    </row>
    <row r="12" spans="1:16" x14ac:dyDescent="0.3">
      <c r="A12" s="16"/>
      <c r="B12" s="69">
        <v>0.72</v>
      </c>
      <c r="C12" s="267" t="s">
        <v>1477</v>
      </c>
      <c r="D12" s="36"/>
      <c r="E12" s="36"/>
      <c r="F12" s="36"/>
      <c r="G12" s="36"/>
      <c r="H12" s="119"/>
      <c r="I12" s="37"/>
      <c r="K12" t="s">
        <v>1507</v>
      </c>
    </row>
    <row r="13" spans="1:16" x14ac:dyDescent="0.3">
      <c r="A13" s="16"/>
      <c r="B13" s="71">
        <v>73769</v>
      </c>
      <c r="C13" s="267" t="s">
        <v>1478</v>
      </c>
      <c r="D13" s="36"/>
      <c r="E13" s="36"/>
      <c r="F13" s="36"/>
      <c r="G13" s="36"/>
      <c r="H13" s="119"/>
      <c r="I13" s="37"/>
      <c r="K13" s="470">
        <f>B16*K10/P8+(1-B16)*1</f>
        <v>0.87577357967348146</v>
      </c>
    </row>
    <row r="14" spans="1:16" x14ac:dyDescent="0.3">
      <c r="A14" s="16"/>
      <c r="B14" s="71">
        <v>53417</v>
      </c>
      <c r="C14" s="267" t="s">
        <v>1479</v>
      </c>
      <c r="D14" s="36"/>
      <c r="E14" s="36"/>
      <c r="F14" s="36"/>
      <c r="G14" s="36"/>
      <c r="H14" s="119"/>
      <c r="I14" s="37"/>
    </row>
    <row r="15" spans="1:16" x14ac:dyDescent="0.3">
      <c r="A15" s="16"/>
      <c r="B15" s="71">
        <v>44783</v>
      </c>
      <c r="C15" s="267" t="s">
        <v>1480</v>
      </c>
      <c r="D15" s="36"/>
      <c r="E15" s="36"/>
      <c r="F15" s="36"/>
      <c r="G15" s="36"/>
      <c r="H15" s="119"/>
      <c r="I15" s="37"/>
      <c r="K15" s="271">
        <f>K13*B7</f>
        <v>297090.42297979444</v>
      </c>
      <c r="L15" t="s">
        <v>1508</v>
      </c>
    </row>
    <row r="16" spans="1:16" x14ac:dyDescent="0.3">
      <c r="A16" s="16"/>
      <c r="B16" s="235">
        <v>0.8</v>
      </c>
      <c r="C16" s="267" t="s">
        <v>1481</v>
      </c>
      <c r="D16" s="36"/>
      <c r="E16" s="36"/>
      <c r="F16" s="36"/>
      <c r="G16" s="36"/>
      <c r="H16" s="119"/>
      <c r="I16" s="37"/>
    </row>
    <row r="17" spans="1:13" x14ac:dyDescent="0.3">
      <c r="A17" s="16"/>
      <c r="B17" s="235">
        <v>0.1</v>
      </c>
      <c r="C17" s="267" t="s">
        <v>1482</v>
      </c>
      <c r="D17" s="36"/>
      <c r="E17" s="36"/>
      <c r="F17" s="36"/>
      <c r="G17" s="36"/>
      <c r="H17" s="119"/>
      <c r="I17" s="37"/>
      <c r="J17" t="s">
        <v>38</v>
      </c>
      <c r="K17" t="s">
        <v>1509</v>
      </c>
      <c r="L17" s="270">
        <f>(1-B12)*K15</f>
        <v>83185.318434342451</v>
      </c>
      <c r="M17" t="s">
        <v>1510</v>
      </c>
    </row>
    <row r="18" spans="1:13" x14ac:dyDescent="0.3">
      <c r="A18" s="16"/>
      <c r="B18" s="235">
        <v>0.02</v>
      </c>
      <c r="C18" s="267" t="s">
        <v>1483</v>
      </c>
      <c r="D18" s="36"/>
      <c r="E18" s="36"/>
      <c r="F18" s="36"/>
      <c r="G18" s="36"/>
      <c r="H18" s="119"/>
      <c r="I18" s="37"/>
      <c r="M18" t="s">
        <v>1511</v>
      </c>
    </row>
    <row r="19" spans="1:13" x14ac:dyDescent="0.3">
      <c r="A19" s="16"/>
      <c r="B19" s="235">
        <v>0.12</v>
      </c>
      <c r="C19" s="267" t="s">
        <v>1484</v>
      </c>
      <c r="D19" s="36"/>
      <c r="E19" s="36"/>
      <c r="F19" s="36"/>
      <c r="G19" s="36"/>
      <c r="H19" s="119"/>
      <c r="I19" s="37"/>
    </row>
    <row r="20" spans="1:13" x14ac:dyDescent="0.3">
      <c r="A20" s="16"/>
      <c r="B20" s="71">
        <v>25000</v>
      </c>
      <c r="C20" s="267" t="s">
        <v>1485</v>
      </c>
      <c r="D20" s="36"/>
      <c r="E20" s="36"/>
      <c r="F20" s="36"/>
      <c r="G20" s="36"/>
      <c r="H20" s="119"/>
      <c r="I20" s="37"/>
      <c r="K20" s="270">
        <f>K15-L17</f>
        <v>213905.10454545199</v>
      </c>
      <c r="L20" t="s">
        <v>1512</v>
      </c>
    </row>
    <row r="21" spans="1:13" x14ac:dyDescent="0.3">
      <c r="A21" s="16"/>
      <c r="B21" s="235">
        <v>0.08</v>
      </c>
      <c r="C21" s="267" t="s">
        <v>1486</v>
      </c>
      <c r="D21" s="36"/>
      <c r="E21" s="36"/>
      <c r="F21" s="36"/>
      <c r="G21" s="36"/>
      <c r="H21" s="119"/>
      <c r="I21" s="37"/>
      <c r="K21" s="270">
        <f>K15*B17</f>
        <v>29709.042297979446</v>
      </c>
      <c r="L21" t="s">
        <v>1513</v>
      </c>
    </row>
    <row r="22" spans="1:13" x14ac:dyDescent="0.3">
      <c r="A22" s="16"/>
      <c r="B22" s="71">
        <v>100000</v>
      </c>
      <c r="C22" s="267" t="s">
        <v>1094</v>
      </c>
      <c r="D22" s="36"/>
      <c r="E22" s="36"/>
      <c r="F22" s="36"/>
      <c r="G22" s="36"/>
      <c r="H22" s="119"/>
      <c r="I22" s="37"/>
      <c r="K22" s="62">
        <f>B20</f>
        <v>25000</v>
      </c>
      <c r="L22" t="s">
        <v>1514</v>
      </c>
    </row>
    <row r="23" spans="1:13" x14ac:dyDescent="0.3">
      <c r="A23" s="16"/>
      <c r="B23" s="69" t="s">
        <v>1487</v>
      </c>
      <c r="C23" s="267" t="s">
        <v>1251</v>
      </c>
      <c r="D23" s="36"/>
      <c r="E23" s="36"/>
      <c r="F23" s="36"/>
      <c r="G23" s="36"/>
      <c r="H23" s="119"/>
      <c r="I23" s="37"/>
      <c r="K23" s="270">
        <f>K20*B21</f>
        <v>17112.408363636161</v>
      </c>
      <c r="L23" t="s">
        <v>1515</v>
      </c>
    </row>
    <row r="24" spans="1:13" x14ac:dyDescent="0.3">
      <c r="A24" s="16"/>
      <c r="B24" s="69" t="s">
        <v>1487</v>
      </c>
      <c r="C24" s="267" t="s">
        <v>1331</v>
      </c>
      <c r="D24" s="36"/>
      <c r="E24" s="36"/>
      <c r="F24" s="36"/>
      <c r="G24" s="36"/>
      <c r="H24" s="119"/>
      <c r="I24" s="37"/>
    </row>
    <row r="25" spans="1:13" x14ac:dyDescent="0.3">
      <c r="A25" s="16"/>
      <c r="B25" s="70" t="s">
        <v>1487</v>
      </c>
      <c r="C25" s="268" t="s">
        <v>1488</v>
      </c>
      <c r="D25" s="120"/>
      <c r="E25" s="120"/>
      <c r="F25" s="120"/>
      <c r="G25" s="120"/>
      <c r="H25" s="121"/>
      <c r="I25" s="37"/>
      <c r="K25" s="298">
        <f>SUM(B18:B19)</f>
        <v>0.13999999999999999</v>
      </c>
      <c r="L25" t="s">
        <v>390</v>
      </c>
    </row>
    <row r="26" spans="1:13" x14ac:dyDescent="0.3">
      <c r="A26" s="16"/>
      <c r="B26" s="36"/>
      <c r="C26" s="36"/>
      <c r="D26" s="36"/>
      <c r="E26" s="36"/>
      <c r="F26" s="36"/>
      <c r="G26" s="36"/>
      <c r="H26" s="36"/>
      <c r="I26" s="37"/>
    </row>
    <row r="27" spans="1:13" x14ac:dyDescent="0.3">
      <c r="A27" s="16"/>
      <c r="B27" s="165" t="s">
        <v>1489</v>
      </c>
      <c r="C27" s="36"/>
      <c r="D27" s="36"/>
      <c r="E27" s="36"/>
      <c r="F27" s="36"/>
      <c r="G27" s="36"/>
      <c r="H27" s="36"/>
      <c r="I27" s="37"/>
      <c r="K27" s="271">
        <f>SUM(K20:K23)/(1-K25)</f>
        <v>332240.18047333439</v>
      </c>
      <c r="L27" t="s">
        <v>1134</v>
      </c>
    </row>
    <row r="28" spans="1:13" x14ac:dyDescent="0.3">
      <c r="A28" s="16"/>
      <c r="B28" s="165" t="s">
        <v>1490</v>
      </c>
      <c r="C28" s="36"/>
      <c r="D28" s="36"/>
      <c r="E28" s="36"/>
      <c r="F28" s="36"/>
      <c r="G28" s="36"/>
      <c r="H28" s="36"/>
      <c r="I28" s="37"/>
    </row>
    <row r="29" spans="1:13" x14ac:dyDescent="0.3">
      <c r="A29" s="16"/>
      <c r="B29" s="165"/>
      <c r="C29" s="36"/>
      <c r="D29" s="36"/>
      <c r="E29" s="36"/>
      <c r="F29" s="36"/>
      <c r="G29" s="36"/>
      <c r="H29" s="36"/>
      <c r="I29" s="37"/>
      <c r="J29" t="s">
        <v>240</v>
      </c>
      <c r="K29" s="439">
        <f>1+B17</f>
        <v>1.1000000000000001</v>
      </c>
      <c r="L29" t="s">
        <v>440</v>
      </c>
    </row>
    <row r="30" spans="1:13" x14ac:dyDescent="0.3">
      <c r="A30" s="63" t="s">
        <v>10</v>
      </c>
      <c r="B30" s="165" t="s">
        <v>1491</v>
      </c>
      <c r="C30" s="36"/>
      <c r="D30" s="36"/>
      <c r="E30" s="36"/>
      <c r="F30" s="36"/>
      <c r="G30" s="36"/>
      <c r="H30" s="36"/>
      <c r="I30" s="37"/>
      <c r="K30">
        <f>1/(1-B18-B19)</f>
        <v>1.1627906976744187</v>
      </c>
      <c r="L30" t="s">
        <v>439</v>
      </c>
    </row>
    <row r="31" spans="1:13" x14ac:dyDescent="0.3">
      <c r="A31" s="16"/>
      <c r="B31" s="165"/>
      <c r="C31" s="36"/>
      <c r="D31" s="36"/>
      <c r="E31" s="36"/>
      <c r="F31" s="36"/>
      <c r="G31" s="36"/>
      <c r="H31" s="36"/>
      <c r="I31" s="37"/>
    </row>
    <row r="32" spans="1:13" x14ac:dyDescent="0.3">
      <c r="A32" s="16"/>
      <c r="B32" s="165" t="s">
        <v>1492</v>
      </c>
      <c r="C32" s="36"/>
      <c r="D32" s="36"/>
      <c r="E32" s="36"/>
      <c r="F32" s="36"/>
      <c r="G32" s="36"/>
      <c r="H32" s="36"/>
      <c r="I32" s="37"/>
      <c r="K32" t="s">
        <v>1517</v>
      </c>
    </row>
    <row r="33" spans="1:16" x14ac:dyDescent="0.3">
      <c r="A33" s="16"/>
      <c r="B33" s="36"/>
      <c r="C33" s="36"/>
      <c r="D33" s="36"/>
      <c r="E33" s="36"/>
      <c r="F33" s="36"/>
      <c r="G33" s="36"/>
      <c r="H33" s="36"/>
      <c r="I33" s="37"/>
      <c r="K33" t="s">
        <v>1516</v>
      </c>
    </row>
    <row r="34" spans="1:16" x14ac:dyDescent="0.3">
      <c r="A34" s="16"/>
      <c r="B34" s="36" t="s">
        <v>1493</v>
      </c>
      <c r="C34" s="36"/>
      <c r="D34" s="36"/>
      <c r="E34" s="36"/>
      <c r="F34" s="36"/>
      <c r="G34" s="36"/>
      <c r="H34" s="36"/>
      <c r="I34" s="37"/>
    </row>
    <row r="35" spans="1:16" x14ac:dyDescent="0.3">
      <c r="A35" s="16"/>
      <c r="B35" s="36"/>
      <c r="C35" s="36"/>
      <c r="D35" s="36"/>
      <c r="E35" s="36"/>
      <c r="F35" s="36"/>
      <c r="G35" s="36"/>
      <c r="H35" s="36"/>
      <c r="I35" s="37"/>
      <c r="K35" s="270">
        <f>K15-L17</f>
        <v>213905.10454545199</v>
      </c>
      <c r="L35" t="s">
        <v>1228</v>
      </c>
    </row>
    <row r="36" spans="1:16" x14ac:dyDescent="0.3">
      <c r="A36" s="16"/>
      <c r="B36" s="36" t="s">
        <v>1494</v>
      </c>
      <c r="C36" s="36"/>
      <c r="D36" s="36"/>
      <c r="E36" s="36"/>
      <c r="F36" s="36"/>
      <c r="G36" s="36"/>
      <c r="H36" s="36"/>
      <c r="I36" s="37"/>
      <c r="K36" s="62"/>
    </row>
    <row r="37" spans="1:16" ht="15" thickBot="1" x14ac:dyDescent="0.35">
      <c r="A37" s="17"/>
      <c r="B37" s="41" t="s">
        <v>1495</v>
      </c>
      <c r="C37" s="41"/>
      <c r="D37" s="41"/>
      <c r="E37" s="41"/>
      <c r="F37" s="41"/>
      <c r="G37" s="41"/>
      <c r="H37" s="41"/>
      <c r="I37" s="42"/>
      <c r="K37" s="62">
        <f>B20</f>
        <v>25000</v>
      </c>
      <c r="L37" t="s">
        <v>1518</v>
      </c>
    </row>
    <row r="38" spans="1:16" x14ac:dyDescent="0.3">
      <c r="K38" s="270">
        <f>B21*K35</f>
        <v>17112.408363636161</v>
      </c>
      <c r="L38" t="s">
        <v>1515</v>
      </c>
    </row>
    <row r="40" spans="1:16" x14ac:dyDescent="0.3">
      <c r="K40" s="270">
        <f>K37+K38+K29*K35</f>
        <v>277408.02336363337</v>
      </c>
      <c r="L40" t="s">
        <v>438</v>
      </c>
    </row>
    <row r="42" spans="1:16" x14ac:dyDescent="0.3">
      <c r="K42" t="s">
        <v>1519</v>
      </c>
    </row>
    <row r="43" spans="1:16" x14ac:dyDescent="0.3">
      <c r="K43" s="270">
        <f>K15-K35</f>
        <v>83185.318434342451</v>
      </c>
      <c r="L43" t="s">
        <v>1520</v>
      </c>
    </row>
    <row r="44" spans="1:16" x14ac:dyDescent="0.3">
      <c r="K44" s="62"/>
    </row>
    <row r="45" spans="1:16" x14ac:dyDescent="0.3">
      <c r="K45" s="271">
        <f>(K40+K43*K29)*K30</f>
        <v>428967.29493187222</v>
      </c>
      <c r="L45" t="s">
        <v>1521</v>
      </c>
    </row>
    <row r="47" spans="1:16" x14ac:dyDescent="0.3">
      <c r="J47" t="s">
        <v>1148</v>
      </c>
      <c r="K47" t="s">
        <v>1522</v>
      </c>
      <c r="P47" s="270">
        <f>K27+L17</f>
        <v>415425.49890767684</v>
      </c>
    </row>
    <row r="48" spans="1:16" x14ac:dyDescent="0.3">
      <c r="K48" t="s">
        <v>1523</v>
      </c>
    </row>
    <row r="50" spans="11:11" x14ac:dyDescent="0.3">
      <c r="K50" t="s">
        <v>1524</v>
      </c>
    </row>
    <row r="51" spans="11:11" x14ac:dyDescent="0.3">
      <c r="K51" t="s">
        <v>1525</v>
      </c>
    </row>
    <row r="52" spans="11:11" x14ac:dyDescent="0.3">
      <c r="K52" t="s">
        <v>1526</v>
      </c>
    </row>
    <row r="54" spans="11:11" x14ac:dyDescent="0.3">
      <c r="K54" t="s">
        <v>1527</v>
      </c>
    </row>
    <row r="55" spans="11:11" x14ac:dyDescent="0.3">
      <c r="K55" t="s">
        <v>1528</v>
      </c>
    </row>
  </sheetData>
  <mergeCells count="1">
    <mergeCell ref="H1:I1"/>
  </mergeCells>
  <hyperlinks>
    <hyperlink ref="H1" location="TOC!A1" display="Return to TOC" xr:uid="{798D700C-2794-4ECE-8F3D-FD19D3884CD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D1402-FE9C-4300-B3EA-D34154736066}">
  <dimension ref="A1:O22"/>
  <sheetViews>
    <sheetView workbookViewId="0"/>
  </sheetViews>
  <sheetFormatPr defaultRowHeight="14.4" x14ac:dyDescent="0.3"/>
  <cols>
    <col min="1" max="1" width="14" bestFit="1" customWidth="1"/>
    <col min="3" max="3" width="11.44140625" bestFit="1" customWidth="1"/>
    <col min="8" max="8" width="3.6640625" customWidth="1"/>
  </cols>
  <sheetData>
    <row r="1" spans="1:11" x14ac:dyDescent="0.3">
      <c r="A1" s="6" t="s">
        <v>4</v>
      </c>
      <c r="B1" s="7" t="s">
        <v>12</v>
      </c>
      <c r="C1" s="7"/>
      <c r="D1" s="8"/>
      <c r="E1" s="8"/>
      <c r="F1" s="490" t="s">
        <v>5</v>
      </c>
      <c r="G1" s="491"/>
      <c r="I1" s="10" t="s">
        <v>6</v>
      </c>
    </row>
    <row r="2" spans="1:11" x14ac:dyDescent="0.3">
      <c r="A2" s="11" t="s">
        <v>7</v>
      </c>
      <c r="B2" s="33" t="s">
        <v>136</v>
      </c>
      <c r="C2" s="33"/>
      <c r="D2" s="33"/>
      <c r="E2" s="33"/>
      <c r="F2" s="33"/>
      <c r="G2" s="12"/>
    </row>
    <row r="3" spans="1:11" x14ac:dyDescent="0.3">
      <c r="A3" s="11" t="s">
        <v>8</v>
      </c>
      <c r="B3" s="33" t="s">
        <v>137</v>
      </c>
      <c r="C3" s="33"/>
      <c r="D3" s="33"/>
      <c r="E3" s="33"/>
      <c r="F3" s="33"/>
      <c r="G3" s="12"/>
    </row>
    <row r="4" spans="1:11" x14ac:dyDescent="0.3">
      <c r="A4" s="13"/>
      <c r="B4" s="34"/>
      <c r="C4" s="34"/>
      <c r="D4" s="34"/>
      <c r="E4" s="34"/>
      <c r="F4" s="34"/>
      <c r="G4" s="14"/>
    </row>
    <row r="5" spans="1:11" x14ac:dyDescent="0.3">
      <c r="A5" s="15" t="s">
        <v>9</v>
      </c>
      <c r="B5" s="33" t="s">
        <v>142</v>
      </c>
      <c r="C5" s="36"/>
      <c r="D5" s="36"/>
      <c r="E5" s="36"/>
      <c r="F5" s="36"/>
      <c r="G5" s="37"/>
      <c r="I5" s="18" t="s">
        <v>140</v>
      </c>
      <c r="J5" s="27" t="s">
        <v>149</v>
      </c>
      <c r="K5" s="20" t="s">
        <v>150</v>
      </c>
    </row>
    <row r="6" spans="1:11" x14ac:dyDescent="0.3">
      <c r="A6" s="16"/>
      <c r="B6" s="33" t="s">
        <v>138</v>
      </c>
      <c r="C6" s="36"/>
      <c r="D6" s="36"/>
      <c r="E6" s="36"/>
      <c r="F6" s="36"/>
      <c r="G6" s="37"/>
      <c r="I6" s="23">
        <v>1</v>
      </c>
      <c r="J6" s="277">
        <f>MIN(C10,$B$16)</f>
        <v>8000</v>
      </c>
      <c r="K6" s="274">
        <f>MAX(0,C10-J6)</f>
        <v>0</v>
      </c>
    </row>
    <row r="7" spans="1:11" x14ac:dyDescent="0.3">
      <c r="A7" s="16"/>
      <c r="B7" s="33" t="s">
        <v>139</v>
      </c>
      <c r="C7" s="36"/>
      <c r="D7" s="36"/>
      <c r="E7" s="36"/>
      <c r="F7" s="36"/>
      <c r="G7" s="37"/>
      <c r="I7" s="23">
        <v>2</v>
      </c>
      <c r="J7" s="277">
        <f t="shared" ref="J7:J9" si="0">MIN(C11,$B$16)</f>
        <v>10000</v>
      </c>
      <c r="K7" s="274">
        <f t="shared" ref="K7:K9" si="1">MAX(0,C11-J7)</f>
        <v>11000</v>
      </c>
    </row>
    <row r="8" spans="1:11" x14ac:dyDescent="0.3">
      <c r="A8" s="16"/>
      <c r="B8" s="36"/>
      <c r="C8" s="36"/>
      <c r="D8" s="36"/>
      <c r="E8" s="36"/>
      <c r="F8" s="36"/>
      <c r="G8" s="37"/>
      <c r="I8" s="23">
        <v>3</v>
      </c>
      <c r="J8" s="277">
        <f t="shared" si="0"/>
        <v>3000</v>
      </c>
      <c r="K8" s="274">
        <f t="shared" si="1"/>
        <v>0</v>
      </c>
    </row>
    <row r="9" spans="1:11" x14ac:dyDescent="0.3">
      <c r="A9" s="16"/>
      <c r="B9" s="114" t="s">
        <v>140</v>
      </c>
      <c r="C9" s="115" t="s">
        <v>141</v>
      </c>
      <c r="D9" s="36"/>
      <c r="E9" s="36"/>
      <c r="F9" s="36"/>
      <c r="G9" s="37"/>
      <c r="I9" s="23">
        <v>4</v>
      </c>
      <c r="J9" s="277">
        <f t="shared" si="0"/>
        <v>10000</v>
      </c>
      <c r="K9" s="274">
        <f t="shared" si="1"/>
        <v>1500</v>
      </c>
    </row>
    <row r="10" spans="1:11" x14ac:dyDescent="0.3">
      <c r="A10" s="16"/>
      <c r="B10" s="69">
        <v>1</v>
      </c>
      <c r="C10" s="66">
        <v>8000</v>
      </c>
      <c r="D10" s="36"/>
      <c r="E10" s="36"/>
      <c r="F10" s="36"/>
      <c r="G10" s="37"/>
      <c r="I10" s="18" t="s">
        <v>151</v>
      </c>
      <c r="J10" s="326">
        <f>SUM(J6:J9)</f>
        <v>31000</v>
      </c>
      <c r="K10" s="325">
        <f>SUM(K6:K9)</f>
        <v>12500</v>
      </c>
    </row>
    <row r="11" spans="1:11" x14ac:dyDescent="0.3">
      <c r="A11" s="16"/>
      <c r="B11" s="69">
        <v>2</v>
      </c>
      <c r="C11" s="66">
        <v>21000</v>
      </c>
      <c r="D11" s="36"/>
      <c r="E11" s="36"/>
      <c r="F11" s="36"/>
      <c r="G11" s="37"/>
    </row>
    <row r="12" spans="1:11" x14ac:dyDescent="0.3">
      <c r="A12" s="16"/>
      <c r="B12" s="69">
        <v>3</v>
      </c>
      <c r="C12" s="66">
        <v>3000</v>
      </c>
      <c r="D12" s="36"/>
      <c r="E12" s="36"/>
      <c r="F12" s="36"/>
      <c r="G12" s="37"/>
      <c r="I12" t="s">
        <v>152</v>
      </c>
    </row>
    <row r="13" spans="1:11" ht="15.6" x14ac:dyDescent="0.35">
      <c r="A13" s="16"/>
      <c r="B13" s="70">
        <v>4</v>
      </c>
      <c r="C13" s="67">
        <v>11500</v>
      </c>
      <c r="D13" s="36"/>
      <c r="E13" s="36"/>
      <c r="F13" s="36"/>
      <c r="G13" s="37"/>
      <c r="I13" t="s">
        <v>155</v>
      </c>
    </row>
    <row r="14" spans="1:11" ht="15.6" x14ac:dyDescent="0.35">
      <c r="A14" s="16"/>
      <c r="B14" s="36"/>
      <c r="C14" s="36"/>
      <c r="D14" s="36"/>
      <c r="E14" s="36"/>
      <c r="F14" s="36"/>
      <c r="G14" s="37"/>
      <c r="I14" t="s">
        <v>153</v>
      </c>
    </row>
    <row r="15" spans="1:11" x14ac:dyDescent="0.3">
      <c r="A15" s="16"/>
      <c r="B15" s="36" t="s">
        <v>143</v>
      </c>
      <c r="C15" s="36"/>
      <c r="D15" s="36"/>
      <c r="E15" s="36"/>
      <c r="F15" s="36"/>
      <c r="G15" s="37"/>
    </row>
    <row r="16" spans="1:11" ht="15.6" x14ac:dyDescent="0.35">
      <c r="A16" s="16"/>
      <c r="B16" s="116">
        <v>10000</v>
      </c>
      <c r="C16" s="117" t="s">
        <v>144</v>
      </c>
      <c r="D16" s="118"/>
      <c r="E16" s="36"/>
      <c r="F16" s="36"/>
      <c r="G16" s="37"/>
      <c r="I16" t="s">
        <v>154</v>
      </c>
      <c r="K16" s="62">
        <f>(B20*B19-B19*(1-B18))/(B18-B17)</f>
        <v>9999.9999999999982</v>
      </c>
    </row>
    <row r="17" spans="1:15" ht="15.6" x14ac:dyDescent="0.35">
      <c r="A17" s="16"/>
      <c r="B17" s="69">
        <v>0.8</v>
      </c>
      <c r="C17" s="36" t="s">
        <v>145</v>
      </c>
      <c r="D17" s="119"/>
      <c r="E17" s="36"/>
      <c r="F17" s="36"/>
      <c r="G17" s="37"/>
      <c r="I17" t="s">
        <v>156</v>
      </c>
      <c r="K17" s="62">
        <f>B19-K16</f>
        <v>20000</v>
      </c>
    </row>
    <row r="18" spans="1:15" x14ac:dyDescent="0.3">
      <c r="A18" s="16"/>
      <c r="B18" s="69">
        <v>0.2</v>
      </c>
      <c r="C18" s="36" t="s">
        <v>146</v>
      </c>
      <c r="D18" s="119"/>
      <c r="E18" s="36"/>
      <c r="F18" s="36"/>
      <c r="G18" s="37"/>
    </row>
    <row r="19" spans="1:15" x14ac:dyDescent="0.3">
      <c r="A19" s="16"/>
      <c r="B19" s="71">
        <v>30000</v>
      </c>
      <c r="C19" s="36" t="s">
        <v>147</v>
      </c>
      <c r="D19" s="119"/>
      <c r="E19" s="36"/>
      <c r="F19" s="36"/>
      <c r="G19" s="37"/>
      <c r="I19" t="s">
        <v>157</v>
      </c>
      <c r="O19" s="123">
        <f>(B17*J10+(1-B17)*K16+B18*K10+(1-B18)*K17)/B19</f>
        <v>1.51</v>
      </c>
    </row>
    <row r="20" spans="1:15" x14ac:dyDescent="0.3">
      <c r="A20" s="16"/>
      <c r="B20" s="70">
        <v>0.6</v>
      </c>
      <c r="C20" s="120" t="s">
        <v>148</v>
      </c>
      <c r="D20" s="121"/>
      <c r="E20" s="36"/>
      <c r="F20" s="36"/>
      <c r="G20" s="37"/>
    </row>
    <row r="21" spans="1:15" x14ac:dyDescent="0.3">
      <c r="A21" s="16"/>
      <c r="B21" s="36"/>
      <c r="C21" s="36"/>
      <c r="D21" s="36"/>
      <c r="E21" s="36"/>
      <c r="F21" s="36"/>
      <c r="G21" s="37"/>
    </row>
    <row r="22" spans="1:15" ht="15" thickBot="1" x14ac:dyDescent="0.35">
      <c r="A22" s="122" t="s">
        <v>10</v>
      </c>
      <c r="B22" s="41" t="s">
        <v>137</v>
      </c>
      <c r="C22" s="41"/>
      <c r="D22" s="41"/>
      <c r="E22" s="41"/>
      <c r="F22" s="41"/>
      <c r="G22" s="42"/>
    </row>
  </sheetData>
  <mergeCells count="1">
    <mergeCell ref="F1:G1"/>
  </mergeCells>
  <hyperlinks>
    <hyperlink ref="F1" location="TOC!A1" display="Return to TOC" xr:uid="{29ED8E19-9586-4C75-B6ED-60F175498639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13FEE-96F9-438A-ADA3-4DDCC2F17707}">
  <dimension ref="A1:T34"/>
  <sheetViews>
    <sheetView workbookViewId="0"/>
  </sheetViews>
  <sheetFormatPr defaultRowHeight="14.4" x14ac:dyDescent="0.3"/>
  <cols>
    <col min="1" max="1" width="14" bestFit="1" customWidth="1"/>
    <col min="8" max="8" width="5.44140625" customWidth="1"/>
    <col min="9" max="9" width="3.6640625" customWidth="1"/>
    <col min="16" max="16" width="9.88671875" bestFit="1" customWidth="1"/>
    <col min="17" max="17" width="12.44140625" bestFit="1" customWidth="1"/>
    <col min="18" max="20" width="12.33203125" bestFit="1" customWidth="1"/>
  </cols>
  <sheetData>
    <row r="1" spans="1:14" x14ac:dyDescent="0.3">
      <c r="A1" s="6" t="s">
        <v>4</v>
      </c>
      <c r="B1" s="7" t="s">
        <v>12</v>
      </c>
      <c r="C1" s="7"/>
      <c r="D1" s="8"/>
      <c r="E1" s="8"/>
      <c r="F1" s="8"/>
      <c r="G1" s="490" t="s">
        <v>5</v>
      </c>
      <c r="H1" s="491"/>
      <c r="J1" s="10" t="s">
        <v>6</v>
      </c>
    </row>
    <row r="2" spans="1:14" x14ac:dyDescent="0.3">
      <c r="A2" s="11" t="s">
        <v>7</v>
      </c>
      <c r="B2" s="33" t="s">
        <v>165</v>
      </c>
      <c r="C2" s="33"/>
      <c r="D2" s="33"/>
      <c r="E2" s="33"/>
      <c r="F2" s="33"/>
      <c r="G2" s="33"/>
      <c r="H2" s="12"/>
      <c r="I2" t="s">
        <v>28</v>
      </c>
      <c r="J2" t="s">
        <v>182</v>
      </c>
    </row>
    <row r="3" spans="1:14" x14ac:dyDescent="0.3">
      <c r="A3" s="11" t="s">
        <v>8</v>
      </c>
      <c r="B3" s="33" t="s">
        <v>200</v>
      </c>
      <c r="C3" s="33"/>
      <c r="D3" s="33"/>
      <c r="E3" s="33"/>
      <c r="F3" s="33"/>
      <c r="G3" s="33"/>
      <c r="H3" s="12"/>
      <c r="J3" t="s">
        <v>184</v>
      </c>
    </row>
    <row r="4" spans="1:14" x14ac:dyDescent="0.3">
      <c r="A4" s="13"/>
      <c r="B4" s="34"/>
      <c r="C4" s="34"/>
      <c r="D4" s="34"/>
      <c r="E4" s="34"/>
      <c r="F4" s="34"/>
      <c r="G4" s="34"/>
      <c r="H4" s="14"/>
      <c r="J4" t="s">
        <v>183</v>
      </c>
    </row>
    <row r="5" spans="1:14" x14ac:dyDescent="0.3">
      <c r="A5" s="15" t="s">
        <v>9</v>
      </c>
      <c r="B5" s="33" t="s">
        <v>166</v>
      </c>
      <c r="C5" s="36"/>
      <c r="D5" s="36"/>
      <c r="E5" s="36"/>
      <c r="F5" s="36"/>
      <c r="G5" s="36"/>
      <c r="H5" s="37"/>
    </row>
    <row r="6" spans="1:14" ht="15.6" x14ac:dyDescent="0.35">
      <c r="A6" s="16"/>
      <c r="B6" s="33" t="s">
        <v>167</v>
      </c>
      <c r="C6" s="36"/>
      <c r="D6" s="36"/>
      <c r="E6" s="36"/>
      <c r="F6" s="36"/>
      <c r="G6" s="36"/>
      <c r="H6" s="37"/>
      <c r="I6" t="s">
        <v>38</v>
      </c>
      <c r="J6" t="s">
        <v>186</v>
      </c>
    </row>
    <row r="7" spans="1:14" x14ac:dyDescent="0.3">
      <c r="A7" s="16"/>
      <c r="B7" s="36"/>
      <c r="C7" s="36"/>
      <c r="D7" s="36"/>
      <c r="E7" s="36"/>
      <c r="F7" s="36"/>
      <c r="G7" s="36"/>
      <c r="H7" s="37"/>
      <c r="J7" t="s">
        <v>185</v>
      </c>
    </row>
    <row r="8" spans="1:14" x14ac:dyDescent="0.3">
      <c r="A8" s="16"/>
      <c r="B8" s="36"/>
      <c r="C8" s="36"/>
      <c r="D8" s="36"/>
      <c r="E8" s="36"/>
      <c r="F8" s="36"/>
      <c r="G8" s="36"/>
      <c r="H8" s="37"/>
    </row>
    <row r="9" spans="1:14" x14ac:dyDescent="0.3">
      <c r="A9" s="16"/>
      <c r="B9" s="36"/>
      <c r="C9" s="36"/>
      <c r="D9" s="36"/>
      <c r="E9" s="36"/>
      <c r="F9" s="36"/>
      <c r="G9" s="36"/>
      <c r="H9" s="37"/>
      <c r="I9" t="s">
        <v>187</v>
      </c>
      <c r="J9" t="s">
        <v>188</v>
      </c>
    </row>
    <row r="10" spans="1:14" x14ac:dyDescent="0.3">
      <c r="A10" s="16"/>
      <c r="B10" s="36" t="s">
        <v>168</v>
      </c>
      <c r="C10" s="36"/>
      <c r="D10" s="36"/>
      <c r="E10" s="36"/>
      <c r="F10" s="36"/>
      <c r="G10" s="36"/>
      <c r="H10" s="37"/>
      <c r="J10" t="s">
        <v>189</v>
      </c>
    </row>
    <row r="11" spans="1:14" x14ac:dyDescent="0.3">
      <c r="A11" s="16"/>
      <c r="B11" s="36" t="s">
        <v>169</v>
      </c>
      <c r="C11" s="36"/>
      <c r="D11" s="36"/>
      <c r="E11" s="36"/>
      <c r="F11" s="36"/>
      <c r="G11" s="36"/>
      <c r="H11" s="37"/>
      <c r="J11" t="s">
        <v>195</v>
      </c>
    </row>
    <row r="12" spans="1:14" ht="15.6" x14ac:dyDescent="0.35">
      <c r="A12" s="16"/>
      <c r="B12" s="36" t="s">
        <v>179</v>
      </c>
      <c r="C12" s="36"/>
      <c r="D12" s="36"/>
      <c r="E12" s="36"/>
      <c r="F12" s="36"/>
      <c r="G12" s="36"/>
      <c r="H12" s="37"/>
      <c r="J12" t="s">
        <v>196</v>
      </c>
    </row>
    <row r="13" spans="1:14" ht="15.6" x14ac:dyDescent="0.35">
      <c r="A13" s="16"/>
      <c r="B13" s="36" t="s">
        <v>180</v>
      </c>
      <c r="C13" s="36"/>
      <c r="D13" s="36"/>
      <c r="E13" s="36"/>
      <c r="F13" s="36"/>
      <c r="G13" s="36"/>
      <c r="H13" s="37"/>
    </row>
    <row r="14" spans="1:14" ht="15.6" x14ac:dyDescent="0.35">
      <c r="A14" s="16"/>
      <c r="B14" s="36" t="s">
        <v>181</v>
      </c>
      <c r="C14" s="36"/>
      <c r="D14" s="36"/>
      <c r="E14" s="36"/>
      <c r="F14" s="36"/>
      <c r="G14" s="36"/>
      <c r="H14" s="37"/>
      <c r="J14" s="27" t="s">
        <v>192</v>
      </c>
      <c r="K14" s="19">
        <v>1</v>
      </c>
      <c r="L14" s="19">
        <v>2</v>
      </c>
      <c r="M14" s="19">
        <v>3</v>
      </c>
      <c r="N14" s="20">
        <v>4</v>
      </c>
    </row>
    <row r="15" spans="1:14" x14ac:dyDescent="0.3">
      <c r="A15" s="16"/>
      <c r="B15" s="36" t="s">
        <v>170</v>
      </c>
      <c r="C15" s="36"/>
      <c r="D15" s="36"/>
      <c r="E15" s="36"/>
      <c r="F15" s="36"/>
      <c r="G15" s="36"/>
      <c r="H15" s="37"/>
      <c r="J15" s="89" t="s">
        <v>197</v>
      </c>
      <c r="K15" s="149">
        <f>(C30-C29)/($B30-$B29)</f>
        <v>1.9999999999999998E-4</v>
      </c>
      <c r="L15" s="149">
        <f t="shared" ref="L15:N18" si="0">(D30-D29)/($B30-$B29)</f>
        <v>9.9999999999999978E-5</v>
      </c>
      <c r="M15" s="75">
        <f t="shared" si="0"/>
        <v>7.9999999999999966E-5</v>
      </c>
      <c r="N15" s="76">
        <f t="shared" si="0"/>
        <v>-5.0000000000000043E-5</v>
      </c>
    </row>
    <row r="16" spans="1:14" x14ac:dyDescent="0.3">
      <c r="A16" s="16"/>
      <c r="B16" s="36"/>
      <c r="C16" s="36"/>
      <c r="D16" s="36"/>
      <c r="E16" s="36"/>
      <c r="F16" s="36"/>
      <c r="G16" s="36"/>
      <c r="H16" s="37"/>
      <c r="J16" s="97"/>
      <c r="K16" s="150">
        <f t="shared" ref="K16:K18" si="1">(C31-C30)/($B31-$B30)</f>
        <v>2.0000000000000006E-4</v>
      </c>
      <c r="L16" s="150">
        <f t="shared" si="0"/>
        <v>9.9999999999999978E-5</v>
      </c>
      <c r="M16" s="5">
        <f t="shared" si="0"/>
        <v>6.9999999999999953E-5</v>
      </c>
      <c r="N16" s="83">
        <f t="shared" si="0"/>
        <v>-1.3000000000000002E-4</v>
      </c>
    </row>
    <row r="17" spans="1:20" x14ac:dyDescent="0.3">
      <c r="A17" s="63" t="s">
        <v>10</v>
      </c>
      <c r="B17" s="36" t="s">
        <v>171</v>
      </c>
      <c r="C17" s="36"/>
      <c r="D17" s="36"/>
      <c r="E17" s="36"/>
      <c r="F17" s="36"/>
      <c r="G17" s="36"/>
      <c r="H17" s="37"/>
      <c r="J17" s="97"/>
      <c r="K17" s="150">
        <f t="shared" si="1"/>
        <v>1.9999999999999996E-4</v>
      </c>
      <c r="L17" s="150">
        <f t="shared" si="0"/>
        <v>9.9999999999999978E-5</v>
      </c>
      <c r="M17" s="150">
        <f t="shared" si="0"/>
        <v>6.0000000000000056E-5</v>
      </c>
      <c r="N17" s="83">
        <f t="shared" si="0"/>
        <v>-8.9999999999999965E-5</v>
      </c>
    </row>
    <row r="18" spans="1:20" x14ac:dyDescent="0.3">
      <c r="A18" s="16"/>
      <c r="B18" s="36" t="s">
        <v>172</v>
      </c>
      <c r="C18" s="36"/>
      <c r="D18" s="36"/>
      <c r="E18" s="36"/>
      <c r="F18" s="36"/>
      <c r="G18" s="36"/>
      <c r="H18" s="37"/>
      <c r="J18" s="90"/>
      <c r="K18" s="151">
        <f t="shared" si="1"/>
        <v>1.9999999999999996E-4</v>
      </c>
      <c r="L18" s="151">
        <f t="shared" si="0"/>
        <v>1.0000000000000009E-4</v>
      </c>
      <c r="M18" s="87">
        <f t="shared" si="0"/>
        <v>5.0000000000000043E-5</v>
      </c>
      <c r="N18" s="88">
        <f t="shared" si="0"/>
        <v>-1.3000000000000002E-4</v>
      </c>
    </row>
    <row r="19" spans="1:20" x14ac:dyDescent="0.3">
      <c r="A19" s="16"/>
      <c r="B19" s="36" t="s">
        <v>173</v>
      </c>
      <c r="C19" s="36"/>
      <c r="D19" s="36"/>
      <c r="E19" s="36"/>
      <c r="F19" s="36"/>
      <c r="G19" s="36"/>
      <c r="H19" s="37"/>
    </row>
    <row r="20" spans="1:20" x14ac:dyDescent="0.3">
      <c r="A20" s="16"/>
      <c r="B20" s="36"/>
      <c r="C20" s="36"/>
      <c r="D20" s="36"/>
      <c r="E20" s="36"/>
      <c r="F20" s="36"/>
      <c r="G20" s="36"/>
      <c r="H20" s="37"/>
      <c r="J20" s="142" t="s">
        <v>192</v>
      </c>
      <c r="K20" s="18">
        <v>1</v>
      </c>
      <c r="L20" s="19">
        <v>2</v>
      </c>
      <c r="M20" s="19">
        <v>3</v>
      </c>
      <c r="N20" s="20">
        <v>4</v>
      </c>
      <c r="P20" s="142" t="s">
        <v>192</v>
      </c>
      <c r="Q20" s="18">
        <v>1</v>
      </c>
      <c r="R20" s="19">
        <v>2</v>
      </c>
      <c r="S20" s="19">
        <v>3</v>
      </c>
      <c r="T20" s="20">
        <v>4</v>
      </c>
    </row>
    <row r="21" spans="1:20" x14ac:dyDescent="0.3">
      <c r="A21" s="16"/>
      <c r="B21" s="36" t="s">
        <v>174</v>
      </c>
      <c r="C21" s="36"/>
      <c r="D21" s="36"/>
      <c r="E21" s="36"/>
      <c r="F21" s="36"/>
      <c r="G21" s="36"/>
      <c r="H21" s="37"/>
      <c r="J21" s="97" t="s">
        <v>194</v>
      </c>
      <c r="K21" s="143">
        <f t="shared" ref="K21:N25" si="2">C29/$B29</f>
        <v>1.4999999999999999E-4</v>
      </c>
      <c r="L21" s="144">
        <f t="shared" si="2"/>
        <v>6.4999999999999997E-4</v>
      </c>
      <c r="M21" s="144">
        <f t="shared" si="2"/>
        <v>5.5000000000000003E-4</v>
      </c>
      <c r="N21" s="145">
        <f t="shared" si="2"/>
        <v>8.0000000000000004E-4</v>
      </c>
      <c r="P21" s="97" t="s">
        <v>198</v>
      </c>
      <c r="Q21" s="134">
        <f>(K22-K21)/($B30-$B29)</f>
        <v>2.5000000000000012E-8</v>
      </c>
      <c r="R21" s="135">
        <f t="shared" ref="R21:T24" si="3">(L22-L21)/($B30-$B29)</f>
        <v>-2.7499999999999996E-7</v>
      </c>
      <c r="S21" s="135">
        <f t="shared" si="3"/>
        <v>-2.3500000000000003E-7</v>
      </c>
      <c r="T21" s="136">
        <f t="shared" si="3"/>
        <v>-4.2500000000000001E-7</v>
      </c>
    </row>
    <row r="22" spans="1:20" x14ac:dyDescent="0.3">
      <c r="A22" s="16"/>
      <c r="B22" s="36" t="s">
        <v>175</v>
      </c>
      <c r="C22" s="36"/>
      <c r="D22" s="36"/>
      <c r="E22" s="36"/>
      <c r="F22" s="36"/>
      <c r="G22" s="36"/>
      <c r="H22" s="37"/>
      <c r="J22" s="140"/>
      <c r="K22" s="143">
        <f t="shared" si="2"/>
        <v>1.75E-4</v>
      </c>
      <c r="L22" s="144">
        <f t="shared" si="2"/>
        <v>3.7500000000000001E-4</v>
      </c>
      <c r="M22" s="144">
        <f t="shared" si="2"/>
        <v>3.1500000000000001E-4</v>
      </c>
      <c r="N22" s="145">
        <f t="shared" si="2"/>
        <v>3.7500000000000001E-4</v>
      </c>
      <c r="P22" s="140"/>
      <c r="Q22" s="134">
        <f t="shared" ref="Q22:Q24" si="4">(K23-K22)/($B31-$B30)</f>
        <v>8.3333333333333368E-9</v>
      </c>
      <c r="R22" s="135">
        <f t="shared" si="3"/>
        <v>-9.1666666666666707E-8</v>
      </c>
      <c r="S22" s="135">
        <f t="shared" si="3"/>
        <v>-8.1666666666666683E-8</v>
      </c>
      <c r="T22" s="136">
        <f t="shared" si="3"/>
        <v>-1.6833333333333335E-7</v>
      </c>
    </row>
    <row r="23" spans="1:20" x14ac:dyDescent="0.3">
      <c r="A23" s="16"/>
      <c r="B23" s="36"/>
      <c r="C23" s="36"/>
      <c r="D23" s="36"/>
      <c r="E23" s="36"/>
      <c r="F23" s="36"/>
      <c r="G23" s="36"/>
      <c r="H23" s="37"/>
      <c r="J23" s="140"/>
      <c r="K23" s="143">
        <f t="shared" si="2"/>
        <v>1.8333333333333334E-4</v>
      </c>
      <c r="L23" s="144">
        <f t="shared" si="2"/>
        <v>2.833333333333333E-4</v>
      </c>
      <c r="M23" s="144">
        <f t="shared" si="2"/>
        <v>2.3333333333333333E-4</v>
      </c>
      <c r="N23" s="145">
        <f t="shared" si="2"/>
        <v>2.0666666666666666E-4</v>
      </c>
      <c r="P23" s="140"/>
      <c r="Q23" s="134">
        <f t="shared" si="4"/>
        <v>4.1666666666666684E-9</v>
      </c>
      <c r="R23" s="135">
        <f t="shared" si="3"/>
        <v>-4.58333333333333E-8</v>
      </c>
      <c r="S23" s="135">
        <f t="shared" si="3"/>
        <v>-4.3333333333333318E-8</v>
      </c>
      <c r="T23" s="136">
        <f t="shared" si="3"/>
        <v>-7.4166666666666662E-8</v>
      </c>
    </row>
    <row r="24" spans="1:20" x14ac:dyDescent="0.3">
      <c r="A24" s="16"/>
      <c r="B24" s="36" t="s">
        <v>176</v>
      </c>
      <c r="C24" s="36"/>
      <c r="D24" s="36"/>
      <c r="E24" s="36"/>
      <c r="F24" s="36"/>
      <c r="G24" s="36"/>
      <c r="H24" s="37"/>
      <c r="J24" s="140"/>
      <c r="K24" s="143">
        <f t="shared" si="2"/>
        <v>1.875E-4</v>
      </c>
      <c r="L24" s="144">
        <f t="shared" si="2"/>
        <v>2.375E-4</v>
      </c>
      <c r="M24" s="144">
        <f t="shared" si="2"/>
        <v>1.9000000000000001E-4</v>
      </c>
      <c r="N24" s="145">
        <f t="shared" si="2"/>
        <v>1.325E-4</v>
      </c>
      <c r="P24" s="141"/>
      <c r="Q24" s="137">
        <f t="shared" si="4"/>
        <v>2.4999999999999794E-9</v>
      </c>
      <c r="R24" s="138">
        <f t="shared" si="3"/>
        <v>-2.7499999999999991E-8</v>
      </c>
      <c r="S24" s="138">
        <f t="shared" si="3"/>
        <v>-2.8000000000000003E-8</v>
      </c>
      <c r="T24" s="139">
        <f t="shared" si="3"/>
        <v>-5.2499999999999987E-8</v>
      </c>
    </row>
    <row r="25" spans="1:20" x14ac:dyDescent="0.3">
      <c r="A25" s="16"/>
      <c r="B25" s="36" t="s">
        <v>177</v>
      </c>
      <c r="C25" s="36"/>
      <c r="D25" s="36"/>
      <c r="E25" s="36"/>
      <c r="F25" s="36"/>
      <c r="G25" s="36"/>
      <c r="H25" s="37"/>
      <c r="J25" s="141"/>
      <c r="K25" s="146">
        <f t="shared" si="2"/>
        <v>1.8999999999999998E-4</v>
      </c>
      <c r="L25" s="147">
        <f t="shared" si="2"/>
        <v>2.1000000000000001E-4</v>
      </c>
      <c r="M25" s="147">
        <f t="shared" si="2"/>
        <v>1.6200000000000001E-4</v>
      </c>
      <c r="N25" s="148">
        <f t="shared" si="2"/>
        <v>8.0000000000000007E-5</v>
      </c>
    </row>
    <row r="26" spans="1:20" x14ac:dyDescent="0.3">
      <c r="A26" s="16"/>
      <c r="B26" s="36"/>
      <c r="C26" s="36"/>
      <c r="D26" s="36"/>
      <c r="E26" s="36"/>
      <c r="F26" s="36"/>
      <c r="G26" s="36"/>
      <c r="H26" s="37"/>
    </row>
    <row r="27" spans="1:20" x14ac:dyDescent="0.3">
      <c r="A27" s="16"/>
      <c r="B27" s="68" t="s">
        <v>18</v>
      </c>
      <c r="C27" s="57" t="s">
        <v>178</v>
      </c>
      <c r="D27" s="44"/>
      <c r="E27" s="44"/>
      <c r="F27" s="58"/>
      <c r="G27" s="36"/>
      <c r="H27" s="37"/>
      <c r="J27" t="s">
        <v>199</v>
      </c>
    </row>
    <row r="28" spans="1:20" x14ac:dyDescent="0.3">
      <c r="A28" s="16"/>
      <c r="B28" s="70" t="s">
        <v>80</v>
      </c>
      <c r="C28" s="54">
        <v>1</v>
      </c>
      <c r="D28" s="47">
        <v>2</v>
      </c>
      <c r="E28" s="47">
        <v>3</v>
      </c>
      <c r="F28" s="48">
        <v>4</v>
      </c>
      <c r="G28" s="36"/>
      <c r="H28" s="37"/>
      <c r="J28" t="s">
        <v>190</v>
      </c>
    </row>
    <row r="29" spans="1:20" x14ac:dyDescent="0.3">
      <c r="A29" s="16"/>
      <c r="B29" s="125">
        <v>1000</v>
      </c>
      <c r="C29" s="126">
        <v>0.15</v>
      </c>
      <c r="D29" s="127">
        <v>0.65</v>
      </c>
      <c r="E29" s="127">
        <v>0.55000000000000004</v>
      </c>
      <c r="F29" s="128">
        <v>0.8</v>
      </c>
      <c r="G29" s="36"/>
      <c r="H29" s="37"/>
      <c r="J29" t="s">
        <v>193</v>
      </c>
    </row>
    <row r="30" spans="1:20" x14ac:dyDescent="0.3">
      <c r="A30" s="16"/>
      <c r="B30" s="99">
        <v>2000</v>
      </c>
      <c r="C30" s="129">
        <v>0.35</v>
      </c>
      <c r="D30" s="124">
        <v>0.75</v>
      </c>
      <c r="E30" s="124">
        <v>0.63</v>
      </c>
      <c r="F30" s="130">
        <v>0.75</v>
      </c>
      <c r="G30" s="36"/>
      <c r="H30" s="37"/>
    </row>
    <row r="31" spans="1:20" x14ac:dyDescent="0.3">
      <c r="A31" s="16"/>
      <c r="B31" s="99">
        <v>3000</v>
      </c>
      <c r="C31" s="129">
        <v>0.55000000000000004</v>
      </c>
      <c r="D31" s="124">
        <v>0.85</v>
      </c>
      <c r="E31" s="124">
        <v>0.7</v>
      </c>
      <c r="F31" s="130">
        <v>0.62</v>
      </c>
      <c r="G31" s="36"/>
      <c r="H31" s="37"/>
      <c r="J31" t="s">
        <v>191</v>
      </c>
    </row>
    <row r="32" spans="1:20" x14ac:dyDescent="0.3">
      <c r="A32" s="16"/>
      <c r="B32" s="99">
        <v>4000</v>
      </c>
      <c r="C32" s="129">
        <v>0.75</v>
      </c>
      <c r="D32" s="124">
        <v>0.95</v>
      </c>
      <c r="E32" s="124">
        <v>0.76</v>
      </c>
      <c r="F32" s="130">
        <v>0.53</v>
      </c>
      <c r="G32" s="36"/>
      <c r="H32" s="37"/>
    </row>
    <row r="33" spans="1:8" x14ac:dyDescent="0.3">
      <c r="A33" s="16"/>
      <c r="B33" s="100">
        <v>5000</v>
      </c>
      <c r="C33" s="131">
        <v>0.95</v>
      </c>
      <c r="D33" s="132">
        <v>1.05</v>
      </c>
      <c r="E33" s="132">
        <v>0.81</v>
      </c>
      <c r="F33" s="133">
        <v>0.4</v>
      </c>
      <c r="G33" s="36"/>
      <c r="H33" s="37"/>
    </row>
    <row r="34" spans="1:8" ht="15" thickBot="1" x14ac:dyDescent="0.35">
      <c r="A34" s="17"/>
      <c r="B34" s="41"/>
      <c r="C34" s="41"/>
      <c r="D34" s="41"/>
      <c r="E34" s="41"/>
      <c r="F34" s="41"/>
      <c r="G34" s="41"/>
      <c r="H34" s="42"/>
    </row>
  </sheetData>
  <mergeCells count="1">
    <mergeCell ref="G1:H1"/>
  </mergeCells>
  <hyperlinks>
    <hyperlink ref="G1" location="TOC!A1" display="Return to TOC" xr:uid="{CC652AE3-D43A-4368-B06A-FA8C32DD96CE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B1E27-E800-43A7-B592-D538EBAEB86E}">
  <dimension ref="A1:R25"/>
  <sheetViews>
    <sheetView workbookViewId="0"/>
  </sheetViews>
  <sheetFormatPr defaultRowHeight="14.4" x14ac:dyDescent="0.3"/>
  <cols>
    <col min="1" max="1" width="14" bestFit="1" customWidth="1"/>
    <col min="7" max="7" width="11.33203125" customWidth="1"/>
    <col min="8" max="8" width="3.6640625" customWidth="1"/>
    <col min="16" max="17" width="10" bestFit="1" customWidth="1"/>
    <col min="18" max="18" width="11.33203125" bestFit="1" customWidth="1"/>
  </cols>
  <sheetData>
    <row r="1" spans="1:18" x14ac:dyDescent="0.3">
      <c r="A1" s="6" t="s">
        <v>4</v>
      </c>
      <c r="B1" s="7" t="s">
        <v>12</v>
      </c>
      <c r="C1" s="7"/>
      <c r="D1" s="8"/>
      <c r="E1" s="8"/>
      <c r="F1" s="490" t="s">
        <v>5</v>
      </c>
      <c r="G1" s="491"/>
      <c r="I1" s="10" t="s">
        <v>6</v>
      </c>
    </row>
    <row r="2" spans="1:18" x14ac:dyDescent="0.3">
      <c r="A2" s="11" t="s">
        <v>7</v>
      </c>
      <c r="B2" s="33" t="s">
        <v>158</v>
      </c>
      <c r="C2" s="33"/>
      <c r="D2" s="33"/>
      <c r="E2" s="33"/>
      <c r="F2" s="33"/>
      <c r="G2" s="12"/>
      <c r="H2" t="s">
        <v>28</v>
      </c>
      <c r="I2" t="s">
        <v>208</v>
      </c>
    </row>
    <row r="3" spans="1:18" x14ac:dyDescent="0.3">
      <c r="A3" s="11" t="s">
        <v>8</v>
      </c>
      <c r="B3" s="33" t="s">
        <v>63</v>
      </c>
      <c r="C3" s="33"/>
      <c r="D3" s="33"/>
      <c r="E3" s="33"/>
      <c r="F3" s="33"/>
      <c r="G3" s="12"/>
    </row>
    <row r="4" spans="1:18" x14ac:dyDescent="0.3">
      <c r="A4" s="13"/>
      <c r="B4" s="34"/>
      <c r="C4" s="34"/>
      <c r="D4" s="34"/>
      <c r="E4" s="34"/>
      <c r="F4" s="34"/>
      <c r="G4" s="14"/>
      <c r="I4" s="18" t="s">
        <v>77</v>
      </c>
      <c r="J4" s="27" t="s">
        <v>32</v>
      </c>
      <c r="K4" s="20" t="s">
        <v>96</v>
      </c>
      <c r="M4" s="93"/>
      <c r="N4" s="89" t="s">
        <v>51</v>
      </c>
      <c r="O4" s="75" t="s">
        <v>164</v>
      </c>
      <c r="P4" s="89" t="s">
        <v>20</v>
      </c>
      <c r="Q4" s="96"/>
      <c r="R4" s="112"/>
    </row>
    <row r="5" spans="1:18" x14ac:dyDescent="0.3">
      <c r="A5" s="15" t="s">
        <v>9</v>
      </c>
      <c r="B5" s="33" t="s">
        <v>159</v>
      </c>
      <c r="C5" s="36"/>
      <c r="D5" s="36"/>
      <c r="E5" s="36"/>
      <c r="F5" s="36"/>
      <c r="G5" s="37"/>
      <c r="I5" s="23">
        <v>1</v>
      </c>
      <c r="J5" s="97">
        <f>D12/C12</f>
        <v>0.9</v>
      </c>
      <c r="K5" s="83">
        <f>_xlfn.RANK.AVG(J5,$J$5:$J$9,1)</f>
        <v>3</v>
      </c>
      <c r="M5" s="25" t="s">
        <v>96</v>
      </c>
      <c r="N5" s="90" t="s">
        <v>52</v>
      </c>
      <c r="O5" s="87" t="s">
        <v>52</v>
      </c>
      <c r="P5" s="90" t="s">
        <v>19</v>
      </c>
      <c r="Q5" s="141" t="s">
        <v>30</v>
      </c>
      <c r="R5" s="113" t="s">
        <v>31</v>
      </c>
    </row>
    <row r="6" spans="1:18" x14ac:dyDescent="0.3">
      <c r="A6" s="16"/>
      <c r="B6" s="33" t="s">
        <v>160</v>
      </c>
      <c r="C6" s="36"/>
      <c r="D6" s="36"/>
      <c r="E6" s="36"/>
      <c r="F6" s="36"/>
      <c r="G6" s="37"/>
      <c r="I6" s="23">
        <v>2</v>
      </c>
      <c r="J6" s="97">
        <f>D13/C13</f>
        <v>1.4</v>
      </c>
      <c r="K6" s="83">
        <f t="shared" ref="K6:K9" si="0">_xlfn.RANK.AVG(J6,$J$5:$J$9,1)</f>
        <v>5</v>
      </c>
      <c r="M6" s="21">
        <v>1</v>
      </c>
      <c r="N6" s="157">
        <f>INDEX($C$12:$C$16,MATCH(M6,$K$5:$K$9,0))</f>
        <v>800000</v>
      </c>
      <c r="O6" s="153">
        <f>INDEX($D$12:$D$16,MATCH(M6,$K$5:$K$9,0))</f>
        <v>560000</v>
      </c>
      <c r="P6" s="157">
        <f>INDEX($E$12:$E$16,MATCH(M6,$K$5:$K$9,0))</f>
        <v>440000</v>
      </c>
      <c r="Q6" s="158">
        <f>P6/N6</f>
        <v>0.55000000000000004</v>
      </c>
      <c r="R6" s="154">
        <f>P6/O6</f>
        <v>0.7857142857142857</v>
      </c>
    </row>
    <row r="7" spans="1:18" x14ac:dyDescent="0.3">
      <c r="A7" s="16"/>
      <c r="B7" s="33" t="s">
        <v>161</v>
      </c>
      <c r="C7" s="36"/>
      <c r="D7" s="36"/>
      <c r="E7" s="36"/>
      <c r="F7" s="36"/>
      <c r="G7" s="37"/>
      <c r="I7" s="23">
        <v>3</v>
      </c>
      <c r="J7" s="97">
        <f>D14/C14</f>
        <v>0.7</v>
      </c>
      <c r="K7" s="83">
        <f t="shared" si="0"/>
        <v>1</v>
      </c>
      <c r="M7" s="23">
        <v>2</v>
      </c>
      <c r="N7" s="91">
        <f t="shared" ref="N7:N10" si="1">INDEX($C$12:$C$16,MATCH(M7,$K$5:$K$9,0))</f>
        <v>1000000</v>
      </c>
      <c r="O7" s="35">
        <f t="shared" ref="O7:O10" si="2">INDEX($D$12:$D$16,MATCH(M7,$K$5:$K$9,0))</f>
        <v>800000</v>
      </c>
      <c r="P7" s="91">
        <f t="shared" ref="P7:P10" si="3">INDEX($E$12:$E$16,MATCH(M7,$K$5:$K$9,0))</f>
        <v>650000</v>
      </c>
      <c r="Q7" s="159">
        <f t="shared" ref="Q7:Q10" si="4">P7/N7</f>
        <v>0.65</v>
      </c>
      <c r="R7" s="155">
        <f t="shared" ref="R7:R10" si="5">P7/O7</f>
        <v>0.8125</v>
      </c>
    </row>
    <row r="8" spans="1:18" x14ac:dyDescent="0.3">
      <c r="A8" s="16"/>
      <c r="B8" s="33" t="s">
        <v>162</v>
      </c>
      <c r="C8" s="36"/>
      <c r="D8" s="36"/>
      <c r="E8" s="36"/>
      <c r="F8" s="36"/>
      <c r="G8" s="37"/>
      <c r="I8" s="23">
        <v>4</v>
      </c>
      <c r="J8" s="97">
        <f>D15/C15</f>
        <v>1.2</v>
      </c>
      <c r="K8" s="83">
        <f t="shared" si="0"/>
        <v>4</v>
      </c>
      <c r="M8" s="23">
        <v>3</v>
      </c>
      <c r="N8" s="91">
        <f t="shared" si="1"/>
        <v>400000</v>
      </c>
      <c r="O8" s="35">
        <f t="shared" si="2"/>
        <v>360000</v>
      </c>
      <c r="P8" s="91">
        <f t="shared" si="3"/>
        <v>300000</v>
      </c>
      <c r="Q8" s="159">
        <f t="shared" si="4"/>
        <v>0.75</v>
      </c>
      <c r="R8" s="155">
        <f t="shared" si="5"/>
        <v>0.83333333333333337</v>
      </c>
    </row>
    <row r="9" spans="1:18" x14ac:dyDescent="0.3">
      <c r="A9" s="16"/>
      <c r="B9" s="36"/>
      <c r="C9" s="36"/>
      <c r="D9" s="36"/>
      <c r="E9" s="36"/>
      <c r="F9" s="36"/>
      <c r="G9" s="37"/>
      <c r="I9" s="25">
        <v>5</v>
      </c>
      <c r="J9" s="90">
        <f>D16/C16</f>
        <v>0.8</v>
      </c>
      <c r="K9" s="88">
        <f t="shared" si="0"/>
        <v>2</v>
      </c>
      <c r="M9" s="23">
        <v>4</v>
      </c>
      <c r="N9" s="91">
        <f t="shared" si="1"/>
        <v>900000</v>
      </c>
      <c r="O9" s="35">
        <f t="shared" si="2"/>
        <v>1080000</v>
      </c>
      <c r="P9" s="91">
        <f t="shared" si="3"/>
        <v>860000</v>
      </c>
      <c r="Q9" s="159">
        <f t="shared" si="4"/>
        <v>0.9555555555555556</v>
      </c>
      <c r="R9" s="155">
        <f t="shared" si="5"/>
        <v>0.79629629629629628</v>
      </c>
    </row>
    <row r="10" spans="1:18" x14ac:dyDescent="0.3">
      <c r="A10" s="16"/>
      <c r="B10" s="68"/>
      <c r="C10" s="64" t="s">
        <v>163</v>
      </c>
      <c r="D10" s="68" t="s">
        <v>164</v>
      </c>
      <c r="E10" s="45" t="s">
        <v>20</v>
      </c>
      <c r="F10" s="36"/>
      <c r="G10" s="37"/>
      <c r="M10" s="25">
        <v>5</v>
      </c>
      <c r="N10" s="92">
        <f t="shared" si="1"/>
        <v>600000</v>
      </c>
      <c r="O10" s="85">
        <f t="shared" si="2"/>
        <v>840000</v>
      </c>
      <c r="P10" s="92">
        <f t="shared" si="3"/>
        <v>690000</v>
      </c>
      <c r="Q10" s="160">
        <f t="shared" si="4"/>
        <v>1.1499999999999999</v>
      </c>
      <c r="R10" s="156">
        <f t="shared" si="5"/>
        <v>0.8214285714285714</v>
      </c>
    </row>
    <row r="11" spans="1:18" x14ac:dyDescent="0.3">
      <c r="A11" s="16"/>
      <c r="B11" s="152" t="s">
        <v>77</v>
      </c>
      <c r="C11" s="47" t="s">
        <v>52</v>
      </c>
      <c r="D11" s="70" t="s">
        <v>52</v>
      </c>
      <c r="E11" s="48" t="s">
        <v>19</v>
      </c>
      <c r="F11" s="36"/>
      <c r="G11" s="37"/>
    </row>
    <row r="12" spans="1:18" x14ac:dyDescent="0.3">
      <c r="A12" s="16"/>
      <c r="B12" s="69">
        <v>1</v>
      </c>
      <c r="C12" s="40">
        <v>400000</v>
      </c>
      <c r="D12" s="99">
        <v>360000</v>
      </c>
      <c r="E12" s="53">
        <v>300000</v>
      </c>
      <c r="F12" s="36"/>
      <c r="G12" s="37"/>
      <c r="I12" t="s">
        <v>209</v>
      </c>
    </row>
    <row r="13" spans="1:18" x14ac:dyDescent="0.3">
      <c r="A13" s="16"/>
      <c r="B13" s="69">
        <v>2</v>
      </c>
      <c r="C13" s="40">
        <v>600000</v>
      </c>
      <c r="D13" s="99">
        <v>840000</v>
      </c>
      <c r="E13" s="53">
        <v>690000</v>
      </c>
      <c r="F13" s="36"/>
      <c r="G13" s="37"/>
      <c r="I13" t="s">
        <v>210</v>
      </c>
    </row>
    <row r="14" spans="1:18" x14ac:dyDescent="0.3">
      <c r="A14" s="16"/>
      <c r="B14" s="69">
        <v>3</v>
      </c>
      <c r="C14" s="40">
        <v>800000</v>
      </c>
      <c r="D14" s="99">
        <v>560000</v>
      </c>
      <c r="E14" s="53">
        <v>440000</v>
      </c>
      <c r="F14" s="36"/>
      <c r="G14" s="37"/>
      <c r="I14" t="s">
        <v>211</v>
      </c>
    </row>
    <row r="15" spans="1:18" x14ac:dyDescent="0.3">
      <c r="A15" s="16"/>
      <c r="B15" s="69">
        <v>4</v>
      </c>
      <c r="C15" s="40">
        <v>900000</v>
      </c>
      <c r="D15" s="99">
        <v>1080000</v>
      </c>
      <c r="E15" s="53">
        <v>860000</v>
      </c>
      <c r="F15" s="36"/>
      <c r="G15" s="37"/>
    </row>
    <row r="16" spans="1:18" x14ac:dyDescent="0.3">
      <c r="A16" s="16"/>
      <c r="B16" s="70">
        <v>5</v>
      </c>
      <c r="C16" s="55">
        <v>1000000</v>
      </c>
      <c r="D16" s="100">
        <v>800000</v>
      </c>
      <c r="E16" s="56">
        <v>650000</v>
      </c>
      <c r="F16" s="36"/>
      <c r="G16" s="37"/>
      <c r="H16" t="s">
        <v>38</v>
      </c>
      <c r="I16" t="s">
        <v>212</v>
      </c>
    </row>
    <row r="17" spans="1:9" x14ac:dyDescent="0.3">
      <c r="A17" s="16"/>
      <c r="B17" s="36"/>
      <c r="C17" s="36"/>
      <c r="D17" s="36"/>
      <c r="E17" s="36"/>
      <c r="F17" s="36"/>
      <c r="G17" s="37"/>
      <c r="I17" t="s">
        <v>213</v>
      </c>
    </row>
    <row r="18" spans="1:9" x14ac:dyDescent="0.3">
      <c r="A18" s="63" t="s">
        <v>10</v>
      </c>
      <c r="B18" s="36" t="s">
        <v>201</v>
      </c>
      <c r="C18" s="36"/>
      <c r="D18" s="36"/>
      <c r="E18" s="36"/>
      <c r="F18" s="36"/>
      <c r="G18" s="37"/>
    </row>
    <row r="19" spans="1:9" x14ac:dyDescent="0.3">
      <c r="A19" s="16"/>
      <c r="B19" s="36" t="s">
        <v>202</v>
      </c>
      <c r="C19" s="36"/>
      <c r="D19" s="36"/>
      <c r="E19" s="36"/>
      <c r="F19" s="36"/>
      <c r="G19" s="37"/>
    </row>
    <row r="20" spans="1:9" x14ac:dyDescent="0.3">
      <c r="A20" s="16"/>
      <c r="B20" s="36"/>
      <c r="C20" s="36"/>
      <c r="D20" s="36"/>
      <c r="E20" s="36"/>
      <c r="F20" s="36"/>
      <c r="G20" s="37"/>
    </row>
    <row r="21" spans="1:9" x14ac:dyDescent="0.3">
      <c r="A21" s="16"/>
      <c r="B21" s="36" t="s">
        <v>203</v>
      </c>
      <c r="C21" s="36"/>
      <c r="D21" s="36"/>
      <c r="E21" s="36"/>
      <c r="F21" s="36"/>
      <c r="G21" s="37"/>
    </row>
    <row r="22" spans="1:9" x14ac:dyDescent="0.3">
      <c r="A22" s="16"/>
      <c r="B22" s="36" t="s">
        <v>204</v>
      </c>
      <c r="C22" s="36"/>
      <c r="D22" s="36"/>
      <c r="E22" s="36"/>
      <c r="F22" s="36"/>
      <c r="G22" s="37"/>
    </row>
    <row r="23" spans="1:9" x14ac:dyDescent="0.3">
      <c r="A23" s="16"/>
      <c r="B23" s="36" t="s">
        <v>205</v>
      </c>
      <c r="C23" s="36"/>
      <c r="D23" s="36"/>
      <c r="E23" s="36"/>
      <c r="F23" s="36"/>
      <c r="G23" s="37"/>
    </row>
    <row r="24" spans="1:9" x14ac:dyDescent="0.3">
      <c r="A24" s="16"/>
      <c r="B24" s="36" t="s">
        <v>206</v>
      </c>
      <c r="C24" s="36"/>
      <c r="D24" s="36"/>
      <c r="E24" s="36"/>
      <c r="F24" s="36"/>
      <c r="G24" s="37"/>
    </row>
    <row r="25" spans="1:9" ht="15" thickBot="1" x14ac:dyDescent="0.35">
      <c r="A25" s="17"/>
      <c r="B25" s="41" t="s">
        <v>207</v>
      </c>
      <c r="C25" s="41"/>
      <c r="D25" s="41"/>
      <c r="E25" s="41"/>
      <c r="F25" s="41"/>
      <c r="G25" s="42"/>
    </row>
  </sheetData>
  <mergeCells count="1">
    <mergeCell ref="F1:G1"/>
  </mergeCells>
  <hyperlinks>
    <hyperlink ref="F1" location="TOC!A1" display="Return to TOC" xr:uid="{BB29B92B-FEA7-4EB3-AC4E-9287FE1D4D7C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B7747-695E-49F5-944F-7C4976D37D2A}">
  <dimension ref="A1:J24"/>
  <sheetViews>
    <sheetView workbookViewId="0"/>
  </sheetViews>
  <sheetFormatPr defaultRowHeight="14.4" x14ac:dyDescent="0.3"/>
  <cols>
    <col min="1" max="1" width="14" bestFit="1" customWidth="1"/>
    <col min="3" max="3" width="10.88671875" bestFit="1" customWidth="1"/>
    <col min="4" max="4" width="10.33203125" bestFit="1" customWidth="1"/>
    <col min="5" max="6" width="13.88671875" customWidth="1"/>
    <col min="8" max="8" width="3.6640625" customWidth="1"/>
  </cols>
  <sheetData>
    <row r="1" spans="1:10" x14ac:dyDescent="0.3">
      <c r="A1" s="6" t="s">
        <v>4</v>
      </c>
      <c r="B1" s="7" t="s">
        <v>12</v>
      </c>
      <c r="C1" s="7"/>
      <c r="D1" s="8"/>
      <c r="E1" s="8"/>
      <c r="F1" s="490" t="s">
        <v>5</v>
      </c>
      <c r="G1" s="491"/>
      <c r="I1" s="10" t="s">
        <v>6</v>
      </c>
    </row>
    <row r="2" spans="1:10" x14ac:dyDescent="0.3">
      <c r="A2" s="11" t="s">
        <v>7</v>
      </c>
      <c r="B2" s="33" t="s">
        <v>214</v>
      </c>
      <c r="C2" s="33"/>
      <c r="D2" s="33"/>
      <c r="E2" s="33"/>
      <c r="F2" s="33"/>
      <c r="G2" s="12"/>
      <c r="H2" t="s">
        <v>28</v>
      </c>
      <c r="I2" t="s">
        <v>234</v>
      </c>
    </row>
    <row r="3" spans="1:10" x14ac:dyDescent="0.3">
      <c r="A3" s="11" t="s">
        <v>8</v>
      </c>
      <c r="B3" s="33" t="s">
        <v>245</v>
      </c>
      <c r="C3" s="33"/>
      <c r="D3" s="33"/>
      <c r="E3" s="33"/>
      <c r="F3" s="33"/>
      <c r="G3" s="12"/>
      <c r="I3" t="s">
        <v>235</v>
      </c>
    </row>
    <row r="4" spans="1:10" x14ac:dyDescent="0.3">
      <c r="A4" s="13"/>
      <c r="B4" s="34"/>
      <c r="C4" s="34"/>
      <c r="D4" s="34"/>
      <c r="E4" s="34"/>
      <c r="F4" s="34"/>
      <c r="G4" s="14"/>
      <c r="I4" t="s">
        <v>236</v>
      </c>
    </row>
    <row r="5" spans="1:10" x14ac:dyDescent="0.3">
      <c r="A5" s="15" t="s">
        <v>9</v>
      </c>
      <c r="B5" s="33" t="s">
        <v>215</v>
      </c>
      <c r="C5" s="36"/>
      <c r="D5" s="36"/>
      <c r="E5" s="36"/>
      <c r="F5" s="36"/>
      <c r="G5" s="37"/>
    </row>
    <row r="6" spans="1:10" x14ac:dyDescent="0.3">
      <c r="A6" s="16"/>
      <c r="B6" s="33" t="s">
        <v>216</v>
      </c>
      <c r="C6" s="36"/>
      <c r="D6" s="36"/>
      <c r="E6" s="36"/>
      <c r="F6" s="36"/>
      <c r="G6" s="37"/>
      <c r="H6" t="s">
        <v>38</v>
      </c>
      <c r="I6" t="s">
        <v>237</v>
      </c>
    </row>
    <row r="7" spans="1:10" x14ac:dyDescent="0.3">
      <c r="A7" s="16"/>
      <c r="B7" s="33"/>
      <c r="C7" s="36"/>
      <c r="D7" s="36"/>
      <c r="E7" s="36"/>
      <c r="F7" s="36"/>
      <c r="G7" s="37"/>
    </row>
    <row r="8" spans="1:10" x14ac:dyDescent="0.3">
      <c r="A8" s="16"/>
      <c r="B8" s="98"/>
      <c r="C8" s="57" t="s">
        <v>232</v>
      </c>
      <c r="D8" s="58"/>
      <c r="E8" s="43"/>
      <c r="F8" s="118"/>
      <c r="G8" s="37"/>
      <c r="I8" s="27" t="s">
        <v>77</v>
      </c>
      <c r="J8" s="20" t="s">
        <v>238</v>
      </c>
    </row>
    <row r="9" spans="1:10" x14ac:dyDescent="0.3">
      <c r="A9" s="16"/>
      <c r="B9" s="109"/>
      <c r="C9" s="167" t="s">
        <v>233</v>
      </c>
      <c r="D9" s="108"/>
      <c r="E9" s="167" t="s">
        <v>221</v>
      </c>
      <c r="F9" s="108"/>
      <c r="G9" s="37"/>
      <c r="I9" s="97" t="s">
        <v>222</v>
      </c>
      <c r="J9" s="77">
        <f>F11/E11</f>
        <v>0.11428571428571428</v>
      </c>
    </row>
    <row r="10" spans="1:10" x14ac:dyDescent="0.3">
      <c r="A10" s="16"/>
      <c r="B10" s="70" t="s">
        <v>217</v>
      </c>
      <c r="C10" s="54" t="s">
        <v>218</v>
      </c>
      <c r="D10" s="48" t="s">
        <v>219</v>
      </c>
      <c r="E10" s="54" t="s">
        <v>220</v>
      </c>
      <c r="F10" s="48" t="s">
        <v>164</v>
      </c>
      <c r="G10" s="37"/>
      <c r="I10" s="97" t="s">
        <v>223</v>
      </c>
      <c r="J10" s="77">
        <f>F12/E12</f>
        <v>0.08</v>
      </c>
    </row>
    <row r="11" spans="1:10" x14ac:dyDescent="0.3">
      <c r="A11" s="16"/>
      <c r="B11" s="49" t="s">
        <v>222</v>
      </c>
      <c r="C11" s="161">
        <v>1.05</v>
      </c>
      <c r="D11" s="162">
        <v>1.08</v>
      </c>
      <c r="E11" s="49">
        <v>7.0000000000000007E-2</v>
      </c>
      <c r="F11" s="45">
        <v>8.0000000000000002E-3</v>
      </c>
      <c r="G11" s="37"/>
      <c r="I11" s="90" t="s">
        <v>224</v>
      </c>
      <c r="J11" s="78">
        <f>F13/E13</f>
        <v>0.1</v>
      </c>
    </row>
    <row r="12" spans="1:10" x14ac:dyDescent="0.3">
      <c r="A12" s="16"/>
      <c r="B12" s="52" t="s">
        <v>223</v>
      </c>
      <c r="C12" s="161">
        <v>0.98</v>
      </c>
      <c r="D12" s="162">
        <v>0.96</v>
      </c>
      <c r="E12" s="52">
        <v>0.05</v>
      </c>
      <c r="F12" s="65">
        <v>4.0000000000000001E-3</v>
      </c>
      <c r="G12" s="37"/>
    </row>
    <row r="13" spans="1:10" x14ac:dyDescent="0.3">
      <c r="A13" s="16"/>
      <c r="B13" s="54" t="s">
        <v>224</v>
      </c>
      <c r="C13" s="163">
        <v>0.99</v>
      </c>
      <c r="D13" s="164">
        <v>1</v>
      </c>
      <c r="E13" s="54">
        <v>0.04</v>
      </c>
      <c r="F13" s="48">
        <v>4.0000000000000001E-3</v>
      </c>
      <c r="G13" s="37"/>
      <c r="I13" s="1" t="s">
        <v>239</v>
      </c>
    </row>
    <row r="14" spans="1:10" x14ac:dyDescent="0.3">
      <c r="A14" s="16"/>
      <c r="B14" s="36"/>
      <c r="C14" s="36"/>
      <c r="D14" s="36"/>
      <c r="E14" s="36"/>
      <c r="F14" s="36"/>
      <c r="G14" s="37"/>
    </row>
    <row r="15" spans="1:10" x14ac:dyDescent="0.3">
      <c r="A15" s="63" t="s">
        <v>10</v>
      </c>
      <c r="B15" s="165" t="s">
        <v>225</v>
      </c>
      <c r="C15" s="36"/>
      <c r="D15" s="36"/>
      <c r="E15" s="36"/>
      <c r="F15" s="36"/>
      <c r="G15" s="37"/>
      <c r="H15" t="s">
        <v>240</v>
      </c>
      <c r="I15" t="s">
        <v>241</v>
      </c>
    </row>
    <row r="16" spans="1:10" x14ac:dyDescent="0.3">
      <c r="A16" s="16"/>
      <c r="B16" s="165" t="s">
        <v>226</v>
      </c>
      <c r="C16" s="36"/>
      <c r="D16" s="36"/>
      <c r="E16" s="36"/>
      <c r="F16" s="36"/>
      <c r="G16" s="37"/>
      <c r="I16" t="s">
        <v>242</v>
      </c>
    </row>
    <row r="17" spans="1:9" x14ac:dyDescent="0.3">
      <c r="A17" s="16"/>
      <c r="B17" s="165"/>
      <c r="C17" s="36"/>
      <c r="D17" s="36"/>
      <c r="E17" s="36"/>
      <c r="F17" s="36"/>
      <c r="G17" s="37"/>
      <c r="I17" t="s">
        <v>243</v>
      </c>
    </row>
    <row r="18" spans="1:9" x14ac:dyDescent="0.3">
      <c r="A18" s="16"/>
      <c r="B18" s="165" t="s">
        <v>227</v>
      </c>
      <c r="C18" s="36"/>
      <c r="D18" s="36"/>
      <c r="E18" s="36"/>
      <c r="F18" s="36"/>
      <c r="G18" s="37"/>
      <c r="I18" t="s">
        <v>244</v>
      </c>
    </row>
    <row r="19" spans="1:9" x14ac:dyDescent="0.3">
      <c r="A19" s="16"/>
      <c r="B19" s="165" t="s">
        <v>228</v>
      </c>
      <c r="C19" s="36"/>
      <c r="D19" s="36"/>
      <c r="E19" s="36"/>
      <c r="F19" s="36"/>
      <c r="G19" s="37"/>
    </row>
    <row r="20" spans="1:9" x14ac:dyDescent="0.3">
      <c r="A20" s="16"/>
      <c r="B20" s="165"/>
      <c r="C20" s="36"/>
      <c r="D20" s="36"/>
      <c r="E20" s="36"/>
      <c r="F20" s="36"/>
      <c r="G20" s="37"/>
    </row>
    <row r="21" spans="1:9" x14ac:dyDescent="0.3">
      <c r="A21" s="16"/>
      <c r="B21" s="165" t="s">
        <v>229</v>
      </c>
      <c r="C21" s="36"/>
      <c r="D21" s="36"/>
      <c r="E21" s="36"/>
      <c r="F21" s="36"/>
      <c r="G21" s="37"/>
    </row>
    <row r="22" spans="1:9" x14ac:dyDescent="0.3">
      <c r="A22" s="16"/>
      <c r="B22" s="165" t="s">
        <v>230</v>
      </c>
      <c r="C22" s="36"/>
      <c r="D22" s="36"/>
      <c r="E22" s="36"/>
      <c r="F22" s="36"/>
      <c r="G22" s="37"/>
    </row>
    <row r="23" spans="1:9" ht="15" thickBot="1" x14ac:dyDescent="0.35">
      <c r="A23" s="17"/>
      <c r="B23" s="166" t="s">
        <v>231</v>
      </c>
      <c r="C23" s="41"/>
      <c r="D23" s="41"/>
      <c r="E23" s="41"/>
      <c r="F23" s="41"/>
      <c r="G23" s="42"/>
    </row>
    <row r="24" spans="1:9" x14ac:dyDescent="0.3">
      <c r="B24" s="1"/>
    </row>
  </sheetData>
  <mergeCells count="1">
    <mergeCell ref="F1:G1"/>
  </mergeCells>
  <hyperlinks>
    <hyperlink ref="F1" location="TOC!A1" display="Return to TOC" xr:uid="{5FD15963-EDDB-47FE-820A-9F6F8D90A54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51</vt:i4>
      </vt:variant>
    </vt:vector>
  </HeadingPairs>
  <TitlesOfParts>
    <vt:vector size="51" baseType="lpstr">
      <vt:lpstr>TOC</vt:lpstr>
      <vt:lpstr>Fisher_ExpRating1</vt:lpstr>
      <vt:lpstr>Fisher_ExpRating2</vt:lpstr>
      <vt:lpstr>Fisher_ExpRating3</vt:lpstr>
      <vt:lpstr>Fisher_ExpRating4</vt:lpstr>
      <vt:lpstr>Fisher_ExpRating5</vt:lpstr>
      <vt:lpstr>Fisher_ExpRating6</vt:lpstr>
      <vt:lpstr>Fisher_ExpRating7</vt:lpstr>
      <vt:lpstr>Fisher_ExpRating8</vt:lpstr>
      <vt:lpstr>Fisher_ExpRating9</vt:lpstr>
      <vt:lpstr>Fisher_ExpRating10</vt:lpstr>
      <vt:lpstr>Fisher_ExpRating11</vt:lpstr>
      <vt:lpstr>Fisher_ExpRating12</vt:lpstr>
      <vt:lpstr>Fisher_RiskSharing1</vt:lpstr>
      <vt:lpstr>Fisher_RiskSharing2</vt:lpstr>
      <vt:lpstr>Fisher_OtherLSPlans1</vt:lpstr>
      <vt:lpstr>Fisher_OtherLSPlans2</vt:lpstr>
      <vt:lpstr>Fisher_OtherLSPlans3</vt:lpstr>
      <vt:lpstr>Fisher_OtherLSPlans4</vt:lpstr>
      <vt:lpstr>Fisher_AggExcess1</vt:lpstr>
      <vt:lpstr>Fisher_Visualization1</vt:lpstr>
      <vt:lpstr>Fisher_Visualization2</vt:lpstr>
      <vt:lpstr>Fisher_Visualization3</vt:lpstr>
      <vt:lpstr>Fisher_Visualization4</vt:lpstr>
      <vt:lpstr>Fisher_Visualization5</vt:lpstr>
      <vt:lpstr>Fisher_Visualization6</vt:lpstr>
      <vt:lpstr>Fisher_Visualization7</vt:lpstr>
      <vt:lpstr>Fisher_Visualization8</vt:lpstr>
      <vt:lpstr>Fisher_Visualization9</vt:lpstr>
      <vt:lpstr>Fisher_TableM1</vt:lpstr>
      <vt:lpstr>Fisher_TableM2</vt:lpstr>
      <vt:lpstr>Fisher_TableM3</vt:lpstr>
      <vt:lpstr>Fisher_TableM4</vt:lpstr>
      <vt:lpstr>Fisher_TableM5</vt:lpstr>
      <vt:lpstr>Fisher_TableM6</vt:lpstr>
      <vt:lpstr>Fisher_LtdTableM1</vt:lpstr>
      <vt:lpstr>Fisher_TableL1</vt:lpstr>
      <vt:lpstr>Fisher_TableL2</vt:lpstr>
      <vt:lpstr>Fisher_TableL3</vt:lpstr>
      <vt:lpstr>Fisher_TableL4</vt:lpstr>
      <vt:lpstr>Fisher_TableL5</vt:lpstr>
      <vt:lpstr>Fisher_CaseStudy1</vt:lpstr>
      <vt:lpstr>Fisher_CaseStudy2</vt:lpstr>
      <vt:lpstr>Fisher_CaseStudy3</vt:lpstr>
      <vt:lpstr>Fisher_CaseStudy4</vt:lpstr>
      <vt:lpstr>Fisher_CaseStudy5</vt:lpstr>
      <vt:lpstr>Fisher_CaseStudy6</vt:lpstr>
      <vt:lpstr>Fisher_CaseStudy7</vt:lpstr>
      <vt:lpstr>Fisher_CaseStudy8</vt:lpstr>
      <vt:lpstr>Fisher_CaseStudy9</vt:lpstr>
      <vt:lpstr>Fisher_CaseStudy10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Constable</dc:creator>
  <cp:lastModifiedBy>Jonathan Constable</cp:lastModifiedBy>
  <dcterms:created xsi:type="dcterms:W3CDTF">2024-06-20T11:19:51Z</dcterms:created>
  <dcterms:modified xsi:type="dcterms:W3CDTF">2024-07-14T13:11:35Z</dcterms:modified>
</cp:coreProperties>
</file>