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06034ADC-352C-43DE-A27E-8486A6E8F085}" xr6:coauthVersionLast="47" xr6:coauthVersionMax="47" xr10:uidLastSave="{00000000-0000-0000-0000-000000000000}"/>
  <bookViews>
    <workbookView xWindow="-108" yWindow="-108" windowWidth="23256" windowHeight="12576" xr2:uid="{E5E47C2A-CB7B-4DFD-9733-DC985EEB6B82}"/>
  </bookViews>
  <sheets>
    <sheet name="TOC" sheetId="1" r:id="rId1"/>
    <sheet name="W-Fisher_TableL1" sheetId="17" r:id="rId2"/>
    <sheet name="W-Fisher-TableL2" sheetId="18" r:id="rId3"/>
    <sheet name="W-Fisher-TableL3" sheetId="1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17" l="1"/>
  <c r="N33" i="19"/>
  <c r="N32" i="19" s="1"/>
  <c r="N14" i="19"/>
  <c r="N18" i="19" s="1"/>
  <c r="C11" i="19"/>
  <c r="N10" i="19"/>
  <c r="O9" i="19"/>
  <c r="J44" i="18"/>
  <c r="L24" i="18"/>
  <c r="K24" i="18"/>
  <c r="L23" i="18"/>
  <c r="K23" i="18"/>
  <c r="L22" i="18"/>
  <c r="K22" i="18"/>
  <c r="L21" i="18"/>
  <c r="K21" i="18"/>
  <c r="L20" i="18"/>
  <c r="K20" i="18"/>
  <c r="L19" i="18"/>
  <c r="K19" i="18"/>
  <c r="L18" i="18"/>
  <c r="K18" i="18"/>
  <c r="E18" i="18"/>
  <c r="D18" i="18"/>
  <c r="J7" i="18" s="1"/>
  <c r="L17" i="18"/>
  <c r="K17" i="18"/>
  <c r="L16" i="18"/>
  <c r="K16" i="18"/>
  <c r="J16" i="18"/>
  <c r="J17" i="18" s="1"/>
  <c r="J18" i="18" s="1"/>
  <c r="J19" i="18" s="1"/>
  <c r="J20" i="18" s="1"/>
  <c r="J21" i="18" s="1"/>
  <c r="J22" i="18" s="1"/>
  <c r="J23" i="18" s="1"/>
  <c r="J24" i="18" s="1"/>
  <c r="L15" i="18"/>
  <c r="K15" i="18"/>
  <c r="C9" i="18"/>
  <c r="C10" i="18" s="1"/>
  <c r="C11" i="18" s="1"/>
  <c r="C12" i="18" s="1"/>
  <c r="C13" i="18" s="1"/>
  <c r="C14" i="18" s="1"/>
  <c r="C15" i="18" s="1"/>
  <c r="C16" i="18" s="1"/>
  <c r="C17" i="18" s="1"/>
  <c r="I49" i="17"/>
  <c r="J46" i="17"/>
  <c r="I45" i="17"/>
  <c r="I37" i="17"/>
  <c r="C13" i="17"/>
  <c r="I12" i="17"/>
  <c r="I11" i="17"/>
  <c r="C11" i="17"/>
  <c r="C8" i="17"/>
  <c r="C7" i="17"/>
  <c r="I6" i="17"/>
  <c r="C6" i="17"/>
  <c r="I5" i="17"/>
  <c r="I4" i="17"/>
  <c r="I3" i="17"/>
  <c r="N21" i="19" l="1"/>
  <c r="N24" i="19" s="1"/>
  <c r="O13" i="19"/>
  <c r="O17" i="19"/>
  <c r="M20" i="18"/>
  <c r="M17" i="18"/>
  <c r="M24" i="18"/>
  <c r="M21" i="18"/>
  <c r="M18" i="18"/>
  <c r="M22" i="18"/>
  <c r="M15" i="18"/>
  <c r="J29" i="18" s="1"/>
  <c r="M16" i="18"/>
  <c r="M19" i="18"/>
  <c r="M23" i="18"/>
  <c r="P37" i="18"/>
  <c r="K53" i="18" s="1"/>
  <c r="K28" i="18"/>
  <c r="J6" i="18"/>
  <c r="J49" i="17"/>
  <c r="O20" i="19" l="1"/>
  <c r="N23" i="19"/>
  <c r="N25" i="19"/>
  <c r="N27" i="19"/>
  <c r="L28" i="18"/>
  <c r="M28" i="18" s="1"/>
  <c r="K29" i="18"/>
  <c r="L29" i="18" s="1"/>
  <c r="M29" i="18" s="1"/>
  <c r="J45" i="18"/>
  <c r="N28" i="18"/>
  <c r="J30" i="18"/>
  <c r="N30" i="19" l="1"/>
  <c r="N35" i="19" s="1"/>
  <c r="N26" i="19"/>
  <c r="N29" i="18"/>
  <c r="K30" i="18"/>
  <c r="J31" i="18"/>
  <c r="J46" i="18"/>
  <c r="N29" i="19" l="1"/>
  <c r="J32" i="18"/>
  <c r="J47" i="18"/>
  <c r="K31" i="18"/>
  <c r="N30" i="18"/>
  <c r="L30" i="18"/>
  <c r="M30" i="18" s="1"/>
  <c r="J33" i="18" l="1"/>
  <c r="J48" i="18"/>
  <c r="N31" i="18"/>
  <c r="K32" i="18"/>
  <c r="L31" i="18"/>
  <c r="M31" i="18" s="1"/>
  <c r="N32" i="18" l="1"/>
  <c r="K33" i="18"/>
  <c r="L33" i="18" s="1"/>
  <c r="M33" i="18" s="1"/>
  <c r="J49" i="18"/>
  <c r="J34" i="18"/>
  <c r="L32" i="18"/>
  <c r="M32" i="18" s="1"/>
  <c r="J35" i="18" l="1"/>
  <c r="N33" i="18"/>
  <c r="J50" i="18"/>
  <c r="K34" i="18"/>
  <c r="L34" i="18" s="1"/>
  <c r="M34" i="18" s="1"/>
  <c r="J51" i="18" l="1"/>
  <c r="J36" i="18"/>
  <c r="N34" i="18"/>
  <c r="K35" i="18"/>
  <c r="L35" i="18" s="1"/>
  <c r="M35" i="18" s="1"/>
  <c r="K36" i="18" l="1"/>
  <c r="L36" i="18" s="1"/>
  <c r="M36" i="18" s="1"/>
  <c r="J37" i="18"/>
  <c r="N35" i="18"/>
  <c r="J52" i="18"/>
  <c r="N36" i="18" l="1"/>
  <c r="O36" i="18" s="1"/>
  <c r="K37" i="18"/>
  <c r="L37" i="18" s="1"/>
  <c r="M37" i="18" s="1"/>
  <c r="J53" i="18"/>
  <c r="L53" i="18" s="1"/>
  <c r="P36" i="18" l="1"/>
  <c r="K52" i="18" s="1"/>
  <c r="L52" i="18" s="1"/>
  <c r="O35" i="18"/>
  <c r="P35" i="18" l="1"/>
  <c r="K51" i="18" s="1"/>
  <c r="L51" i="18" s="1"/>
  <c r="O34" i="18"/>
  <c r="P34" i="18" l="1"/>
  <c r="K50" i="18" s="1"/>
  <c r="L50" i="18" s="1"/>
  <c r="O33" i="18"/>
  <c r="P33" i="18" l="1"/>
  <c r="K49" i="18" s="1"/>
  <c r="L49" i="18" s="1"/>
  <c r="O32" i="18"/>
  <c r="P32" i="18" l="1"/>
  <c r="K48" i="18" s="1"/>
  <c r="L48" i="18" s="1"/>
  <c r="O31" i="18"/>
  <c r="O30" i="18" l="1"/>
  <c r="P31" i="18"/>
  <c r="K47" i="18" s="1"/>
  <c r="L47" i="18" s="1"/>
  <c r="P30" i="18" l="1"/>
  <c r="K46" i="18" s="1"/>
  <c r="L46" i="18" s="1"/>
  <c r="O29" i="18"/>
  <c r="P29" i="18" l="1"/>
  <c r="K45" i="18" s="1"/>
  <c r="L45" i="18" s="1"/>
  <c r="O28" i="18"/>
  <c r="P28" i="18" s="1"/>
  <c r="K44" i="18" s="1"/>
  <c r="L44" i="18" s="1"/>
</calcChain>
</file>

<file path=xl/sharedStrings.xml><?xml version="1.0" encoding="utf-8"?>
<sst xmlns="http://schemas.openxmlformats.org/spreadsheetml/2006/main" count="128" uniqueCount="100">
  <si>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</si>
  <si>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</si>
  <si>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</si>
  <si>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</si>
  <si>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</si>
  <si>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</si>
  <si>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</si>
  <si>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</si>
  <si>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</si>
  <si>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</si>
  <si>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</si>
  <si>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Exam 8: Fisher – Table L</t>
  </si>
  <si>
    <t>W-Fisher-TableL1</t>
  </si>
  <si>
    <t>Fisher.TableL</t>
  </si>
  <si>
    <t>Source text: Chapter 3 Q14</t>
  </si>
  <si>
    <t>Draw a Lee diagram and calculate the Table L insurance charge and savings</t>
  </si>
  <si>
    <t>A policy has the following properties:</t>
  </si>
  <si>
    <t xml:space="preserve">Next, we need to plot the limited loss distribution. Recall the formula for the Table L entry ratio is </t>
  </si>
  <si>
    <t>Draw a Lee diagram representing this policy and calculate the following:</t>
  </si>
  <si>
    <t xml:space="preserve">Since the limited loss distribution is continuous and uniform, we know it will be represented by a straight line. </t>
  </si>
  <si>
    <t>a)</t>
  </si>
  <si>
    <t>b)</t>
  </si>
  <si>
    <t>Bringing this all together yields the following Lee diagram</t>
  </si>
  <si>
    <t>Table L insurance charge = A + B + C</t>
  </si>
  <si>
    <t>Table L insurance savings = A + E</t>
  </si>
  <si>
    <t xml:space="preserve">Note the area under the curve F is equal to 1 and we can calculate x-axis coordinates by taking the ratio of the entry ratio to the maximum </t>
  </si>
  <si>
    <t>entry ratio for each curve. This gives</t>
  </si>
  <si>
    <t>Then using</t>
  </si>
  <si>
    <t>Source Text</t>
  </si>
  <si>
    <t>Construct a Table L from empirical data</t>
  </si>
  <si>
    <t>1.)</t>
  </si>
  <si>
    <t xml:space="preserve">Compute the excess ratio </t>
  </si>
  <si>
    <t>Experience for a group of risks with a per-occurrence limit of $50,000</t>
  </si>
  <si>
    <t>Since we're not told the expected limited (or unlimited) aggregate losses, we approximate them with the average values from the table.</t>
  </si>
  <si>
    <t>Actual</t>
  </si>
  <si>
    <t>Risk</t>
  </si>
  <si>
    <t>Unlimited Aggregate Loss</t>
  </si>
  <si>
    <t>Limited Aggregate Loss</t>
  </si>
  <si>
    <t>2.)</t>
  </si>
  <si>
    <r>
      <t xml:space="preserve">Compute the entry ratio for each risk. Again, since the </t>
    </r>
    <r>
      <rPr>
        <u/>
        <sz val="11"/>
        <color theme="1"/>
        <rFont val="Calibri"/>
        <family val="2"/>
        <scheme val="minor"/>
      </rPr>
      <t>expected</t>
    </r>
    <r>
      <rPr>
        <sz val="11"/>
        <color theme="1"/>
        <rFont val="Calibri"/>
        <family val="2"/>
        <scheme val="minor"/>
      </rPr>
      <t xml:space="preserve"> unlimited aggregate losses are unknown, use the average of all risks.</t>
    </r>
  </si>
  <si>
    <t>Remember: The Table L entry ratio is defined as</t>
  </si>
  <si>
    <t>Actual Unlimited</t>
  </si>
  <si>
    <t>Actual Limited</t>
  </si>
  <si>
    <t>Entry</t>
  </si>
  <si>
    <t>Aggregate Loss</t>
  </si>
  <si>
    <t>Ratio, r</t>
  </si>
  <si>
    <t>Average</t>
  </si>
  <si>
    <t>Construct a Table L using the above data.</t>
  </si>
  <si>
    <t>3.)</t>
  </si>
  <si>
    <r>
      <t xml:space="preserve">Apply the horizontal slicing method, making sure to arrange the unique entry ratios in </t>
    </r>
    <r>
      <rPr>
        <b/>
        <sz val="11"/>
        <color theme="1"/>
        <rFont val="Calibri"/>
        <family val="2"/>
        <scheme val="minor"/>
      </rPr>
      <t xml:space="preserve">ascending </t>
    </r>
    <r>
      <rPr>
        <sz val="11"/>
        <color theme="1"/>
        <rFont val="Calibri"/>
        <family val="2"/>
        <scheme val="minor"/>
      </rPr>
      <t>order and include a row for the 0 entry ratio.</t>
    </r>
  </si>
  <si>
    <t>Unique Entry Ratios</t>
  </si>
  <si>
    <t># Risks</t>
  </si>
  <si>
    <t># Risks over r</t>
  </si>
  <si>
    <t>% Risks over r</t>
  </si>
  <si>
    <t>Difference in r</t>
  </si>
  <si>
    <t>The difference in r entry is the entry ratio in row k+1 minus the entry ratio in row k, where k is the current row. It is always 0 for the last row.</t>
  </si>
  <si>
    <t xml:space="preserve">is calculated as (% Risks over r) * (Difference in r) for row k, plus the entry for row k+1, column </t>
  </si>
  <si>
    <t>4.)</t>
  </si>
  <si>
    <t>Complete the Table L by using the formula</t>
  </si>
  <si>
    <t>Entry Ratio r</t>
  </si>
  <si>
    <t>W-Fisher-TableL2</t>
  </si>
  <si>
    <t>Apply the ICRLL method to determine the total policy loss cost.</t>
  </si>
  <si>
    <r>
      <t xml:space="preserve">Since the ICRLL method is used to </t>
    </r>
    <r>
      <rPr>
        <u/>
        <sz val="11"/>
        <color theme="1"/>
        <rFont val="Calibri"/>
        <family val="2"/>
        <scheme val="minor"/>
      </rPr>
      <t>transform a Limited Table M into a Table M</t>
    </r>
    <r>
      <rPr>
        <sz val="11"/>
        <color theme="1"/>
        <rFont val="Calibri"/>
        <family val="2"/>
        <scheme val="minor"/>
      </rPr>
      <t>, we need to work with entry ratios from the Limited Table M at first.</t>
    </r>
  </si>
  <si>
    <t>Consider a workers' compensation policy which has the following characteristics:</t>
  </si>
  <si>
    <r>
      <t xml:space="preserve">Compute the </t>
    </r>
    <r>
      <rPr>
        <b/>
        <sz val="11"/>
        <color theme="1"/>
        <rFont val="Calibri"/>
        <family val="2"/>
        <scheme val="minor"/>
      </rPr>
      <t xml:space="preserve">Limited Table M </t>
    </r>
    <r>
      <rPr>
        <sz val="11"/>
        <color theme="1"/>
        <rFont val="Calibri"/>
        <family val="2"/>
        <scheme val="minor"/>
      </rPr>
      <t xml:space="preserve">entry ratio </t>
    </r>
  </si>
  <si>
    <t>Per-occurrence limit</t>
  </si>
  <si>
    <t>Aggregate limit</t>
  </si>
  <si>
    <t xml:space="preserve">Since the actual limited aggregate loss is (currently) unknown for the policy (we're pricing future losses), </t>
  </si>
  <si>
    <t>Expected unlimited aggregate loss</t>
  </si>
  <si>
    <t>we substitute the aggregate policy limit for the actual limited aggregate loss.</t>
  </si>
  <si>
    <t>Expected limited aggregate loss</t>
  </si>
  <si>
    <t xml:space="preserve">This gives </t>
  </si>
  <si>
    <t>Compute the excess ratio</t>
  </si>
  <si>
    <t>You may use the information in the following tables</t>
  </si>
  <si>
    <t>Expected Loss Group</t>
  </si>
  <si>
    <t>Range of Values</t>
  </si>
  <si>
    <t>Min</t>
  </si>
  <si>
    <t>Compute the ICRLL adjustment</t>
  </si>
  <si>
    <t>630,000 - 720,000</t>
  </si>
  <si>
    <t>720,001 - 830,000</t>
  </si>
  <si>
    <t>This gives</t>
  </si>
  <si>
    <t>830,001 - 990,000</t>
  </si>
  <si>
    <t>990,001 - 1,180,000</t>
  </si>
  <si>
    <t>Compute the adjusted expected loss = E * (State/hazard group adjustment) * ICRLL</t>
  </si>
  <si>
    <t>1,180,001 - 1,415,000</t>
  </si>
  <si>
    <t>1,415,001 - 1,744,000</t>
  </si>
  <si>
    <t>5.)</t>
  </si>
  <si>
    <t>Find the expected loss group (ELG) that contains the adjusted expected loss.</t>
  </si>
  <si>
    <t>Table M</t>
  </si>
  <si>
    <t>Entry Ratio</t>
  </si>
  <si>
    <t>6.)</t>
  </si>
  <si>
    <t>7.)</t>
  </si>
  <si>
    <t>Calculate the aggregate limit charge,</t>
  </si>
  <si>
    <t>Using the ICRLL method, calculate the total loss cost for the workers' compensation policy.</t>
  </si>
  <si>
    <t>8.)</t>
  </si>
  <si>
    <t>Calculate the per-occurrence limit charge,</t>
  </si>
  <si>
    <t>9.)</t>
  </si>
  <si>
    <t>Calculate the total loss cost of the policy = sum the per-occurrence and aggregate limit charges.</t>
  </si>
  <si>
    <t>Apply the ICRLL method to determine the total policy loss cost</t>
  </si>
  <si>
    <t>W-Fisher-TableL3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</si>
</sst>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#,##0.0"/>
    <numFmt numFmtId="166" formatCode="&quot;$&quot;#,##0.00"/>
    <numFmt numFmtId="167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0" fillId="2" borderId="6" xfId="0" applyNumberForma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1" fillId="2" borderId="6" xfId="0" applyNumberFormat="1" applyFont="1" applyFill="1" applyBorder="1" applyProtection="1"/>
    <xf numFmtId="0" fontId="2" fillId="2" borderId="6" xfId="0" applyFont="1" applyFill="1" applyBorder="1" applyProtection="1"/>
    <xf numFmtId="0" fontId="2" fillId="2" borderId="0" xfId="0" applyFont="1" applyFill="1" applyBorder="1" applyProtection="1"/>
    <xf numFmtId="3" fontId="2" fillId="2" borderId="0" xfId="0" applyNumberFormat="1" applyFont="1" applyFill="1" applyBorder="1" applyProtection="1"/>
    <xf numFmtId="0" fontId="10" fillId="2" borderId="0" xfId="0" applyFont="1" applyFill="1" applyBorder="1" applyProtection="1"/>
    <xf numFmtId="3" fontId="0" fillId="2" borderId="8" xfId="0" applyNumberFormat="1" applyFill="1" applyBorder="1" applyProtection="1"/>
    <xf numFmtId="3" fontId="0" fillId="2" borderId="9" xfId="0" applyNumberForma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2" fontId="2" fillId="0" borderId="0" xfId="0" applyNumberFormat="1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9" fontId="0" fillId="0" borderId="0" xfId="2" applyFon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2" borderId="6" xfId="0" applyFill="1" applyBorder="1" applyProtection="1"/>
    <xf numFmtId="0" fontId="0" fillId="2" borderId="19" xfId="0" applyFill="1" applyBorder="1" applyProtection="1"/>
    <xf numFmtId="0" fontId="0" fillId="2" borderId="20" xfId="0" applyFill="1" applyBorder="1" applyAlignment="1" applyProtection="1">
      <alignment horizontal="centerContinuous"/>
    </xf>
    <xf numFmtId="0" fontId="0" fillId="2" borderId="21" xfId="0" applyFill="1" applyBorder="1" applyAlignment="1" applyProtection="1">
      <alignment horizontal="centerContinuous"/>
    </xf>
    <xf numFmtId="0" fontId="0" fillId="2" borderId="17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20" xfId="0" applyNumberFormat="1" applyFill="1" applyBorder="1" applyAlignment="1" applyProtection="1">
      <alignment horizontal="center"/>
    </xf>
    <xf numFmtId="3" fontId="0" fillId="2" borderId="21" xfId="0" applyNumberForma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3" fontId="0" fillId="2" borderId="13" xfId="0" applyNumberFormat="1" applyFill="1" applyBorder="1" applyAlignment="1" applyProtection="1">
      <alignment horizontal="center"/>
    </xf>
    <xf numFmtId="3" fontId="0" fillId="2" borderId="15" xfId="0" applyNumberForma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3" fontId="0" fillId="2" borderId="11" xfId="0" applyNumberFormat="1" applyFill="1" applyBorder="1" applyAlignment="1" applyProtection="1">
      <alignment horizontal="center"/>
    </xf>
    <xf numFmtId="3" fontId="0" fillId="2" borderId="2" xfId="0" applyNumberFormat="1" applyFill="1" applyBorder="1" applyAlignment="1" applyProtection="1">
      <alignment horizontal="center"/>
    </xf>
    <xf numFmtId="0" fontId="1" fillId="2" borderId="8" xfId="0" applyFont="1" applyFill="1" applyBorder="1" applyProtection="1"/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center"/>
      <protection locked="0"/>
    </xf>
    <xf numFmtId="166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2" xfId="0" applyFill="1" applyBorder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164" fontId="0" fillId="2" borderId="0" xfId="0" applyNumberFormat="1" applyFill="1" applyBorder="1" applyAlignment="1" applyProtection="1">
      <alignment horizontal="left"/>
    </xf>
    <xf numFmtId="165" fontId="2" fillId="2" borderId="6" xfId="0" applyNumberFormat="1" applyFon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Continuous"/>
    </xf>
    <xf numFmtId="0" fontId="0" fillId="2" borderId="22" xfId="0" applyFill="1" applyBorder="1" applyAlignment="1" applyProtection="1">
      <alignment horizontal="centerContinuous"/>
    </xf>
    <xf numFmtId="0" fontId="0" fillId="2" borderId="2" xfId="0" applyFill="1" applyBorder="1" applyAlignment="1" applyProtection="1">
      <alignment horizontal="centerContinuous"/>
    </xf>
    <xf numFmtId="0" fontId="0" fillId="2" borderId="1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167" fontId="0" fillId="2" borderId="13" xfId="0" applyNumberFormat="1" applyFill="1" applyBorder="1" applyAlignment="1" applyProtection="1">
      <alignment horizontal="center"/>
    </xf>
    <xf numFmtId="167" fontId="0" fillId="2" borderId="14" xfId="0" applyNumberFormat="1" applyFill="1" applyBorder="1" applyAlignment="1" applyProtection="1">
      <alignment horizontal="center"/>
    </xf>
    <xf numFmtId="167" fontId="0" fillId="2" borderId="0" xfId="0" applyNumberFormat="1" applyFill="1" applyBorder="1" applyAlignment="1" applyProtection="1">
      <alignment horizontal="center"/>
    </xf>
    <xf numFmtId="167" fontId="0" fillId="2" borderId="16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center"/>
    </xf>
    <xf numFmtId="167" fontId="0" fillId="2" borderId="1" xfId="0" applyNumberFormat="1" applyFill="1" applyBorder="1" applyAlignment="1" applyProtection="1">
      <alignment horizontal="center"/>
    </xf>
    <xf numFmtId="3" fontId="0" fillId="2" borderId="10" xfId="0" applyNumberForma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84666</xdr:colOff>
      <xdr:row>6</xdr:row>
      <xdr:rowOff>122766</xdr:rowOff>
    </xdr:from>
    <xdr:ext cx="2157385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123CD62-01B1-42DE-8642-FF1DD96D6164}"/>
                </a:ext>
              </a:extLst>
            </xdr:cNvPr>
            <xdr:cNvSpPr txBox="1"/>
          </xdr:nvSpPr>
          <xdr:spPr>
            <a:xfrm>
              <a:off x="14143566" y="1265766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123CD62-01B1-42DE-8642-FF1DD96D6164}"/>
                </a:ext>
              </a:extLst>
            </xdr:cNvPr>
            <xdr:cNvSpPr txBox="1"/>
          </xdr:nvSpPr>
          <xdr:spPr>
            <a:xfrm>
              <a:off x="14143566" y="1265766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"Limited Aggregate Loss" 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"Expected Unlimited Aggregate Loss" 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10</xdr:col>
      <xdr:colOff>428202</xdr:colOff>
      <xdr:row>14</xdr:row>
      <xdr:rowOff>141393</xdr:rowOff>
    </xdr:from>
    <xdr:to>
      <xdr:col>16</xdr:col>
      <xdr:colOff>1570700</xdr:colOff>
      <xdr:row>34</xdr:row>
      <xdr:rowOff>169228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4FC90-4193-43D7-BAB8-5671C1A0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177" y="2808393"/>
          <a:ext cx="3876173" cy="3837835"/>
        </a:xfrm>
        <a:prstGeom prst="rect">
          <a:avLst/>
        </a:prstGeom>
      </xdr:spPr>
    </xdr:pic>
    <xdr:clientData/>
  </xdr:twoCellAnchor>
  <xdr:oneCellAnchor>
    <xdr:from>
      <xdr:col>9</xdr:col>
      <xdr:colOff>84667</xdr:colOff>
      <xdr:row>46</xdr:row>
      <xdr:rowOff>4233</xdr:rowOff>
    </xdr:from>
    <xdr:ext cx="12781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58FEF3B-B4B6-42A7-9B64-9B71206B77F0}"/>
                </a:ext>
              </a:extLst>
            </xdr:cNvPr>
            <xdr:cNvSpPr txBox="1"/>
          </xdr:nvSpPr>
          <xdr:spPr>
            <a:xfrm>
              <a:off x="9019117" y="87672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58FEF3B-B4B6-42A7-9B64-9B71206B77F0}"/>
                </a:ext>
              </a:extLst>
            </xdr:cNvPr>
            <xdr:cNvSpPr txBox="1"/>
          </xdr:nvSpPr>
          <xdr:spPr>
            <a:xfrm>
              <a:off x="9019117" y="87672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𝜓_𝐷^∗=𝜙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(𝑟)+𝑟 −1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674914</xdr:colOff>
      <xdr:row>1</xdr:row>
      <xdr:rowOff>108856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E2222D3-4121-456F-8420-7C81921C2FB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E2222D3-4121-456F-8420-7C81921C2FBE}"/>
                </a:ext>
              </a:extLst>
            </xdr:cNvPr>
            <xdr:cNvSpPr txBox="1"/>
          </xdr:nvSpPr>
          <xdr:spPr>
            <a:xfrm>
              <a:off x="10647589" y="299356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882291</xdr:colOff>
      <xdr:row>8</xdr:row>
      <xdr:rowOff>101237</xdr:rowOff>
    </xdr:from>
    <xdr:ext cx="2518061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6EC9277-807D-40E2-9DDE-52D6C7136385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6EC9277-807D-40E2-9DDE-52D6C7136385}"/>
                </a:ext>
              </a:extLst>
            </xdr:cNvPr>
            <xdr:cNvSpPr txBox="1"/>
          </xdr:nvSpPr>
          <xdr:spPr>
            <a:xfrm>
              <a:off x="11902716" y="1625237"/>
              <a:ext cx="2518061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Unlimited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21771</xdr:colOff>
      <xdr:row>26</xdr:row>
      <xdr:rowOff>163286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2AEBCE0-C53A-4FBE-B7F4-387867A33D69}"/>
                </a:ext>
              </a:extLst>
            </xdr:cNvPr>
            <xdr:cNvSpPr txBox="1"/>
          </xdr:nvSpPr>
          <xdr:spPr>
            <a:xfrm>
              <a:off x="13699671" y="5116286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2AEBCE0-C53A-4FBE-B7F4-387867A33D69}"/>
                </a:ext>
              </a:extLst>
            </xdr:cNvPr>
            <xdr:cNvSpPr txBox="1"/>
          </xdr:nvSpPr>
          <xdr:spPr>
            <a:xfrm>
              <a:off x="13699671" y="5116286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108856</xdr:colOff>
      <xdr:row>26</xdr:row>
      <xdr:rowOff>152401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B16A31-4646-4F31-BBE1-C6FA35B61E85}"/>
                </a:ext>
              </a:extLst>
            </xdr:cNvPr>
            <xdr:cNvSpPr txBox="1"/>
          </xdr:nvSpPr>
          <xdr:spPr>
            <a:xfrm>
              <a:off x="14434456" y="510540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B16A31-4646-4F31-BBE1-C6FA35B61E85}"/>
                </a:ext>
              </a:extLst>
            </xdr:cNvPr>
            <xdr:cNvSpPr txBox="1"/>
          </xdr:nvSpPr>
          <xdr:spPr>
            <a:xfrm>
              <a:off x="14434456" y="5105401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621846</xdr:colOff>
      <xdr:row>41</xdr:row>
      <xdr:rowOff>0</xdr:rowOff>
    </xdr:from>
    <xdr:ext cx="149643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EC583CD-7068-4DAF-8405-5FB8F2FE457B}"/>
                </a:ext>
              </a:extLst>
            </xdr:cNvPr>
            <xdr:cNvSpPr txBox="1"/>
          </xdr:nvSpPr>
          <xdr:spPr>
            <a:xfrm>
              <a:off x="9203871" y="8010525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)= </m:t>
                    </m:r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EC583CD-7068-4DAF-8405-5FB8F2FE457B}"/>
                </a:ext>
              </a:extLst>
            </xdr:cNvPr>
            <xdr:cNvSpPr txBox="1"/>
          </xdr:nvSpPr>
          <xdr:spPr>
            <a:xfrm>
              <a:off x="9203871" y="8010525"/>
              <a:ext cx="14964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(𝑟)= 𝜙_𝐷^∗ (𝑟)+𝑟 −1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304799</xdr:colOff>
      <xdr:row>42</xdr:row>
      <xdr:rowOff>10886</xdr:rowOff>
    </xdr:from>
    <xdr:ext cx="3975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83D486C-8C5B-4AB3-9DA7-CC1CB6F94E56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83D486C-8C5B-4AB3-9DA7-CC1CB6F94E56}"/>
                </a:ext>
              </a:extLst>
            </xdr:cNvPr>
            <xdr:cNvSpPr txBox="1"/>
          </xdr:nvSpPr>
          <xdr:spPr>
            <a:xfrm>
              <a:off x="10277474" y="8202386"/>
              <a:ext cx="3975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272143</xdr:colOff>
      <xdr:row>42</xdr:row>
      <xdr:rowOff>0</xdr:rowOff>
    </xdr:from>
    <xdr:ext cx="40043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1002A51-9708-4278-A2A6-7124567891B7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1002A51-9708-4278-A2A6-7124567891B7}"/>
                </a:ext>
              </a:extLst>
            </xdr:cNvPr>
            <xdr:cNvSpPr txBox="1"/>
          </xdr:nvSpPr>
          <xdr:spPr>
            <a:xfrm>
              <a:off x="11292568" y="8191500"/>
              <a:ext cx="40043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119743</xdr:colOff>
      <xdr:row>39</xdr:row>
      <xdr:rowOff>21771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278B633-7BC6-48D3-BE65-DFD5AF2914DB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278B633-7BC6-48D3-BE65-DFD5AF2914DB}"/>
                </a:ext>
              </a:extLst>
            </xdr:cNvPr>
            <xdr:cNvSpPr txBox="1"/>
          </xdr:nvSpPr>
          <xdr:spPr>
            <a:xfrm>
              <a:off x="9216118" y="7641771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17</xdr:col>
      <xdr:colOff>78377</xdr:colOff>
      <xdr:row>39</xdr:row>
      <xdr:rowOff>3265</xdr:rowOff>
    </xdr:from>
    <xdr:ext cx="6476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01812AE-28B4-44FF-845A-A3C817FA6F38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01812AE-28B4-44FF-845A-A3C817FA6F38}"/>
                </a:ext>
              </a:extLst>
            </xdr:cNvPr>
            <xdr:cNvSpPr txBox="1"/>
          </xdr:nvSpPr>
          <xdr:spPr>
            <a:xfrm>
              <a:off x="15623177" y="7623265"/>
              <a:ext cx="6476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(𝑟)−𝑘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334462</xdr:colOff>
      <xdr:row>3</xdr:row>
      <xdr:rowOff>105047</xdr:rowOff>
    </xdr:from>
    <xdr:ext cx="2304029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8D80DFB-B39B-4673-8DDD-1132D082AE09}"/>
                </a:ext>
              </a:extLst>
            </xdr:cNvPr>
            <xdr:cNvSpPr txBox="1"/>
          </xdr:nvSpPr>
          <xdr:spPr>
            <a:xfrm>
              <a:off x="10926262" y="676547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8D80DFB-B39B-4673-8DDD-1132D082AE09}"/>
                </a:ext>
              </a:extLst>
            </xdr:cNvPr>
            <xdr:cNvSpPr txBox="1"/>
          </xdr:nvSpPr>
          <xdr:spPr>
            <a:xfrm>
              <a:off x="10926262" y="676547"/>
              <a:ext cx="2304029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𝑟=  "Actual Limited Aggregate Loss" /"Expected 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468084</xdr:colOff>
      <xdr:row>9</xdr:row>
      <xdr:rowOff>130627</xdr:rowOff>
    </xdr:from>
    <xdr:ext cx="954107" cy="3216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DEE2C84-C347-4442-B731-BAF0D497082E}"/>
                </a:ext>
              </a:extLst>
            </xdr:cNvPr>
            <xdr:cNvSpPr txBox="1"/>
          </xdr:nvSpPr>
          <xdr:spPr>
            <a:xfrm>
              <a:off x="10012134" y="1845127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DEE2C84-C347-4442-B731-BAF0D497082E}"/>
                </a:ext>
              </a:extLst>
            </xdr:cNvPr>
            <xdr:cNvSpPr txBox="1"/>
          </xdr:nvSpPr>
          <xdr:spPr>
            <a:xfrm>
              <a:off x="10012134" y="1845127"/>
              <a:ext cx="954107" cy="3216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𝑘=  (𝐸−𝐸[𝐴_𝐷])/𝐸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14</xdr:col>
      <xdr:colOff>783771</xdr:colOff>
      <xdr:row>13</xdr:row>
      <xdr:rowOff>108857</xdr:rowOff>
    </xdr:from>
    <xdr:ext cx="1140440" cy="3202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E846795-2DED-4ED7-8B94-EA27DB5A80D3}"/>
                </a:ext>
              </a:extLst>
            </xdr:cNvPr>
            <xdr:cNvSpPr txBox="1"/>
          </xdr:nvSpPr>
          <xdr:spPr>
            <a:xfrm>
              <a:off x="10327821" y="2585357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𝐼𝐶𝑅𝐿𝐿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1+0.8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E846795-2DED-4ED7-8B94-EA27DB5A80D3}"/>
                </a:ext>
              </a:extLst>
            </xdr:cNvPr>
            <xdr:cNvSpPr txBox="1"/>
          </xdr:nvSpPr>
          <xdr:spPr>
            <a:xfrm>
              <a:off x="10327821" y="2585357"/>
              <a:ext cx="1140440" cy="32028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𝐼𝐶𝑅𝐿𝐿=  (1+0.8𝑘)/(1−𝑘)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97972</xdr:colOff>
      <xdr:row>27</xdr:row>
      <xdr:rowOff>10886</xdr:rowOff>
    </xdr:from>
    <xdr:ext cx="7537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90F976C-4591-4968-ADD2-E699E2847AA1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𝜙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𝑟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[</m:t>
                  </m:r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𝐴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𝐷</m:t>
                      </m:r>
                    </m:sub>
                  </m:sSub>
                </m:oMath>
              </a14:m>
              <a:r>
                <a:rPr lang="en-GB" sz="1100"/>
                <a:t>]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90F976C-4591-4968-ADD2-E699E2847AA1}"/>
                </a:ext>
              </a:extLst>
            </xdr:cNvPr>
            <xdr:cNvSpPr txBox="1"/>
          </xdr:nvSpPr>
          <xdr:spPr>
            <a:xfrm>
              <a:off x="10689772" y="5154386"/>
              <a:ext cx="753796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𝜙(𝑟)⋅𝐸[𝐴_𝐷</a:t>
              </a:r>
              <a:r>
                <a:rPr lang="en-GB" sz="1100"/>
                <a:t>]</a:t>
              </a:r>
            </a:p>
          </xdr:txBody>
        </xdr:sp>
      </mc:Fallback>
    </mc:AlternateContent>
    <xdr:clientData/>
  </xdr:oneCellAnchor>
  <xdr:oneCellAnchor>
    <xdr:from>
      <xdr:col>15</xdr:col>
      <xdr:colOff>413657</xdr:colOff>
      <xdr:row>30</xdr:row>
      <xdr:rowOff>21772</xdr:rowOff>
    </xdr:from>
    <xdr:ext cx="6757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D9CCD74-97A9-4646-B59D-DE6F496CD8B8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D9CCD74-97A9-4646-B59D-DE6F496CD8B8}"/>
                </a:ext>
              </a:extLst>
            </xdr:cNvPr>
            <xdr:cNvSpPr txBox="1"/>
          </xdr:nvSpPr>
          <xdr:spPr>
            <a:xfrm>
              <a:off x="11005457" y="5736772"/>
              <a:ext cx="67576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𝐸−𝐸[𝐴_𝐷]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4.4" x14ac:dyDescent="0.3"/>
  <cols>
    <col min="1" max="1" width="9.109375" style="1"/>
    <col min="2" max="2" width="22.6640625" style="2" customWidth="1"/>
    <col min="3" max="3" width="64" style="1" customWidth="1"/>
  </cols>
  <sheetData>
    <row r="5" spans="1:3" ht="15" customHeight="1" x14ac:dyDescent="0.3">
      <c r="A5" s="90" t="s">
        <v>11</v>
      </c>
      <c r="B5" s="90"/>
      <c r="C5" s="90"/>
    </row>
    <row r="6" spans="1:3" ht="15" customHeight="1" x14ac:dyDescent="0.3">
      <c r="A6" s="90"/>
      <c r="B6" s="90"/>
      <c r="C6" s="90"/>
    </row>
    <row r="7" spans="1:3" ht="15" customHeight="1" x14ac:dyDescent="0.3"/>
    <row r="8" spans="1:3" ht="15" customHeight="1" x14ac:dyDescent="0.35">
      <c r="A8" s="91" t="s">
        <v>10</v>
      </c>
      <c r="B8" s="91"/>
      <c r="C8" s="91"/>
    </row>
    <row r="9" spans="1:3" ht="21" x14ac:dyDescent="0.4">
      <c r="A9" s="7"/>
      <c r="B9" s="7"/>
      <c r="C9" s="7"/>
    </row>
    <row r="10" spans="1:3" x14ac:dyDescent="0.3">
      <c r="A10" s="3" t="s">
        <v>0</v>
      </c>
      <c r="B10" s="3" t="s">
        <v>1</v>
      </c>
      <c r="C10" s="3" t="s">
        <v>2</v>
      </c>
    </row>
    <row r="11" spans="1:3" x14ac:dyDescent="0.3">
      <c r="A11" s="4">
        <v>1</v>
      </c>
      <c r="B11" s="2" t="s">
        <v>12</v>
      </c>
      <c r="C11" s="1" t="s">
        <v>15</v>
      </c>
    </row>
    <row r="12" spans="1:3" x14ac:dyDescent="0.3">
      <c r="A12" s="4">
        <v>2</v>
      </c>
      <c r="B12" s="2" t="s">
        <v>60</v>
      </c>
      <c r="C12" s="1" t="s">
        <v>29</v>
      </c>
    </row>
    <row r="13" spans="1:3" x14ac:dyDescent="0.3">
      <c r="A13" s="4">
        <v>3</v>
      </c>
      <c r="B13" s="2" t="s">
        <v>99</v>
      </c>
      <c r="C13" s="1" t="s">
        <v>98</v>
      </c>
    </row>
    <row r="14" spans="1:3" x14ac:dyDescent="0.3">
      <c r="A14" s="4"/>
    </row>
    <row r="15" spans="1:3" x14ac:dyDescent="0.3">
      <c r="A15" s="4"/>
    </row>
    <row r="16" spans="1:3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  <row r="31" spans="1:1" x14ac:dyDescent="0.3">
      <c r="A31" s="5"/>
    </row>
    <row r="32" spans="1:1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</sheetData>
  <sheetProtection algorithmName="SHA-512" hashValue="unADOUqckaIIctqD0BgFtoF9U0tH9COQfBHtUcVXJmOQk7ebW06Ehk6x/iE2PV7/cgTG6h3mb/2DclhMjbUfIQ==" saltValue="DRYpmI9M5e2+I1rWHeXVJQ==" spinCount="100000" sheet="1" objects="1" scenarios="1" formatCells="0" formatColumns="0" formatRows="0"/>
  <mergeCells count="2">
    <mergeCell ref="A5:C6"/>
    <mergeCell ref="A8:C8"/>
  </mergeCells>
  <hyperlinks>
    <hyperlink ref="A11" location="'W-Fisher_TableL1'!A1" display="'W-Fisher_TableL1'!A1" xr:uid="{DC971D5C-483B-4A01-B4E0-7E9F4C0FB7EB}"/>
    <hyperlink ref="A12" location="'W-Fisher-TableL2'!A1" display="'W-Fisher-TableL2'!A1" xr:uid="{E56C753B-0CCF-4F14-953A-09E8497DF296}"/>
    <hyperlink ref="A13" location="'W-Fisher-TableL3'!A1" display="'W-Fisher-TableL3'!A1" xr:uid="{07AA1602-AFA8-4077-BEC7-F0E19EB2914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129A-C3A0-4BD7-9675-CA4EB932E98A}">
  <sheetPr codeName="Sheet75"/>
  <dimension ref="A1:W158"/>
  <sheetViews>
    <sheetView zoomScaleNormal="100" workbookViewId="0"/>
  </sheetViews>
  <sheetFormatPr defaultColWidth="9.109375" defaultRowHeight="14.4" x14ac:dyDescent="0.3"/>
  <cols>
    <col min="1" max="1" width="10.6640625" style="10" customWidth="1"/>
    <col min="2" max="2" width="5.5546875" style="10" customWidth="1"/>
    <col min="3" max="3" width="7.5546875" style="10" customWidth="1"/>
    <col min="4" max="4" width="22.88671875" style="10" customWidth="1"/>
    <col min="5" max="5" width="17.6640625" style="10" customWidth="1"/>
    <col min="6" max="6" width="12.33203125" style="10" customWidth="1"/>
    <col min="7" max="7" width="12.5546875" style="10" bestFit="1" customWidth="1"/>
    <col min="8" max="8" width="2.6640625" style="10" customWidth="1"/>
    <col min="9" max="9" width="9.33203125" style="10" customWidth="1"/>
    <col min="10" max="10" width="11.5546875" style="10" customWidth="1"/>
    <col min="11" max="11" width="6.44140625" style="10" customWidth="1"/>
    <col min="12" max="12" width="9.33203125" style="10" customWidth="1"/>
    <col min="13" max="13" width="11.88671875" style="10" customWidth="1"/>
    <col min="14" max="14" width="2.88671875" style="10" customWidth="1"/>
    <col min="15" max="15" width="4.33203125" style="10" customWidth="1"/>
    <col min="16" max="16" width="6.33203125" style="10" customWidth="1"/>
    <col min="17" max="17" width="24.33203125" style="10" customWidth="1"/>
    <col min="18" max="18" width="9.109375" style="10"/>
    <col min="19" max="19" width="9.109375" style="10" customWidth="1"/>
    <col min="20" max="20" width="9.109375" style="10"/>
    <col min="21" max="21" width="6.88671875" style="10" customWidth="1"/>
    <col min="22" max="16384" width="9.109375" style="10"/>
  </cols>
  <sheetData>
    <row r="1" spans="1:23" x14ac:dyDescent="0.3">
      <c r="A1" s="18" t="s">
        <v>3</v>
      </c>
      <c r="B1" s="19"/>
      <c r="C1" s="19" t="s">
        <v>13</v>
      </c>
      <c r="D1" s="20"/>
      <c r="E1" s="19"/>
      <c r="F1" s="19"/>
      <c r="G1" s="6" t="s">
        <v>8</v>
      </c>
      <c r="H1" s="8"/>
      <c r="I1" s="9" t="s">
        <v>9</v>
      </c>
      <c r="V1" s="8"/>
    </row>
    <row r="2" spans="1:23" x14ac:dyDescent="0.3">
      <c r="A2" s="21" t="s">
        <v>4</v>
      </c>
      <c r="B2" s="22"/>
      <c r="C2" s="22" t="s">
        <v>14</v>
      </c>
      <c r="D2" s="22"/>
      <c r="E2" s="22"/>
      <c r="F2" s="22"/>
      <c r="G2" s="23"/>
      <c r="H2" s="8"/>
      <c r="V2" s="8"/>
    </row>
    <row r="3" spans="1:23" x14ac:dyDescent="0.3">
      <c r="A3" s="21" t="s">
        <v>5</v>
      </c>
      <c r="B3" s="22"/>
      <c r="C3" s="22" t="s">
        <v>15</v>
      </c>
      <c r="D3" s="22"/>
      <c r="E3" s="22"/>
      <c r="F3" s="22"/>
      <c r="G3" s="23"/>
      <c r="H3" s="8"/>
      <c r="I3" s="10" t="str">
        <f>"First we need to know the maximum entry ratio for the unlimited distribution. The unlimited loss distribution has an expected loss of "&amp;B6/2</f>
        <v>First we need to know the maximum entry ratio for the unlimited distribution. The unlimited loss distribution has an expected loss of 250</v>
      </c>
      <c r="V3" s="8"/>
    </row>
    <row r="4" spans="1:23" x14ac:dyDescent="0.3">
      <c r="A4" s="24"/>
      <c r="B4" s="25"/>
      <c r="C4" s="25"/>
      <c r="D4" s="25"/>
      <c r="E4" s="25"/>
      <c r="F4" s="25"/>
      <c r="G4" s="26"/>
      <c r="H4" s="11"/>
      <c r="I4" s="10" t="str">
        <f>"So its maximum entry ratio is "&amp;B6&amp;" / "&amp; B6/2 &amp;" = 2."</f>
        <v>So its maximum entry ratio is 500 / 250 = 2.</v>
      </c>
      <c r="V4" s="11"/>
      <c r="W4" s="12"/>
    </row>
    <row r="5" spans="1:23" ht="15" customHeight="1" x14ac:dyDescent="0.3">
      <c r="A5" s="27" t="s">
        <v>6</v>
      </c>
      <c r="B5" s="22"/>
      <c r="C5" s="22" t="s">
        <v>16</v>
      </c>
      <c r="D5" s="22"/>
      <c r="E5" s="22"/>
      <c r="F5" s="22"/>
      <c r="G5" s="23"/>
      <c r="H5" s="11"/>
      <c r="I5" s="10" t="str">
        <f>"Similiarly, we get the minimum entry ratio for the unlimited distribution as " &amp;A6&amp;" / "&amp;B6/2&amp;" = "&amp;2*A6/B6</f>
        <v>Similiarly, we get the minimum entry ratio for the unlimited distribution as 0 / 250 = 0</v>
      </c>
      <c r="S5" s="12"/>
      <c r="T5" s="12"/>
      <c r="U5" s="12"/>
      <c r="V5" s="11"/>
      <c r="W5" s="12"/>
    </row>
    <row r="6" spans="1:23" x14ac:dyDescent="0.3">
      <c r="A6" s="28">
        <v>0</v>
      </c>
      <c r="B6" s="29">
        <v>500</v>
      </c>
      <c r="C6" s="22" t="str">
        <f>"• Its unlimited loss distribution is continuous and uniform on the interval ["&amp; A6 &amp; ", "&amp; B6&amp;"]"</f>
        <v>• Its unlimited loss distribution is continuous and uniform on the interval [0, 500]</v>
      </c>
      <c r="D6" s="22"/>
      <c r="E6" s="22"/>
      <c r="F6" s="22"/>
      <c r="G6" s="23"/>
      <c r="H6" s="11"/>
      <c r="I6" s="10" t="str">
        <f>"Since the unlimited loss distribution is continuous and uniform, we know its Lee diagram will be a straight line from (0,"&amp;2*A6/B6&amp;") to (1,2)"</f>
        <v>Since the unlimited loss distribution is continuous and uniform, we know its Lee diagram will be a straight line from (0,0) to (1,2)</v>
      </c>
      <c r="S6" s="12"/>
      <c r="T6" s="12"/>
      <c r="U6" s="12"/>
      <c r="V6" s="11"/>
      <c r="W6" s="12"/>
    </row>
    <row r="7" spans="1:23" ht="15" customHeight="1" x14ac:dyDescent="0.3">
      <c r="A7" s="28">
        <v>0</v>
      </c>
      <c r="B7" s="29">
        <v>400</v>
      </c>
      <c r="C7" s="22" t="str">
        <f>"• Its limited loss distribution is continuous and uniform on the interval ["&amp;A7&amp;", "&amp;B7&amp;"]"</f>
        <v>• Its limited loss distribution is continuous and uniform on the interval [0, 400]</v>
      </c>
      <c r="D7" s="22"/>
      <c r="E7" s="22"/>
      <c r="F7" s="22"/>
      <c r="G7" s="23"/>
      <c r="H7" s="11"/>
      <c r="S7" s="12"/>
      <c r="T7" s="12"/>
      <c r="U7" s="12"/>
      <c r="V7" s="11"/>
      <c r="W7" s="12"/>
    </row>
    <row r="8" spans="1:23" ht="15" customHeight="1" x14ac:dyDescent="0.3">
      <c r="A8" s="27"/>
      <c r="B8" s="30">
        <v>1.5</v>
      </c>
      <c r="C8" s="22" t="str">
        <f>"• Its entry ratio is "&amp;B8&amp;" times the expected unlimited loss."</f>
        <v>• Its entry ratio is 1.5 times the expected unlimited loss.</v>
      </c>
      <c r="D8" s="22"/>
      <c r="E8" s="22"/>
      <c r="F8" s="22"/>
      <c r="G8" s="23"/>
      <c r="H8" s="11"/>
      <c r="I8" s="10" t="s">
        <v>17</v>
      </c>
      <c r="S8" s="12"/>
      <c r="T8" s="12"/>
      <c r="U8" s="12"/>
      <c r="V8" s="11"/>
      <c r="W8" s="12"/>
    </row>
    <row r="9" spans="1:23" x14ac:dyDescent="0.3">
      <c r="A9" s="27"/>
      <c r="B9" s="25"/>
      <c r="C9" s="22"/>
      <c r="D9" s="22"/>
      <c r="E9" s="22"/>
      <c r="F9" s="22"/>
      <c r="G9" s="23"/>
      <c r="H9" s="11"/>
      <c r="S9" s="12"/>
      <c r="T9" s="12"/>
      <c r="U9" s="12"/>
      <c r="V9" s="11"/>
      <c r="W9" s="12"/>
    </row>
    <row r="10" spans="1:23" x14ac:dyDescent="0.3">
      <c r="A10" s="21" t="s">
        <v>7</v>
      </c>
      <c r="B10" s="25"/>
      <c r="C10" s="22" t="s">
        <v>18</v>
      </c>
      <c r="D10" s="22"/>
      <c r="E10" s="22"/>
      <c r="F10" s="22"/>
      <c r="G10" s="23"/>
      <c r="H10" s="11"/>
      <c r="I10" s="10" t="s">
        <v>19</v>
      </c>
      <c r="S10" s="12"/>
      <c r="T10" s="12"/>
      <c r="U10" s="12"/>
      <c r="V10" s="11"/>
      <c r="W10" s="12"/>
    </row>
    <row r="11" spans="1:23" x14ac:dyDescent="0.3">
      <c r="A11" s="24"/>
      <c r="B11" s="25" t="s">
        <v>20</v>
      </c>
      <c r="C11" s="31" t="str">
        <f>"φ("&amp;B8&amp;")"</f>
        <v>φ(1.5)</v>
      </c>
      <c r="D11" s="22"/>
      <c r="E11" s="22"/>
      <c r="F11" s="22"/>
      <c r="G11" s="23"/>
      <c r="H11" s="11"/>
      <c r="I11" s="10" t="str">
        <f>"The minimum entry ratio for the limited loss distribution is "&amp;A7&amp;" / " &amp;B6/2&amp;" = "&amp;2*A7/B6</f>
        <v>The minimum entry ratio for the limited loss distribution is 0 / 250 = 0</v>
      </c>
      <c r="S11" s="12"/>
      <c r="T11" s="12"/>
      <c r="U11" s="12"/>
      <c r="V11" s="11"/>
      <c r="W11" s="12"/>
    </row>
    <row r="12" spans="1:23" x14ac:dyDescent="0.3">
      <c r="A12" s="24"/>
      <c r="B12" s="25"/>
      <c r="C12" s="22"/>
      <c r="D12" s="22"/>
      <c r="E12" s="22"/>
      <c r="F12" s="22"/>
      <c r="G12" s="23"/>
      <c r="H12" s="11"/>
      <c r="I12" s="10" t="str">
        <f>"The maximum entry ratio for the limited loss distribution is "&amp;B7&amp; " / " &amp;B6/2&amp; " = "&amp;2*B7/B6</f>
        <v>The maximum entry ratio for the limited loss distribution is 400 / 250 = 1.6</v>
      </c>
      <c r="S12" s="12"/>
      <c r="T12" s="12"/>
      <c r="U12" s="12"/>
      <c r="V12" s="11"/>
      <c r="W12" s="12"/>
    </row>
    <row r="13" spans="1:23" x14ac:dyDescent="0.3">
      <c r="A13" s="24"/>
      <c r="B13" s="25" t="s">
        <v>21</v>
      </c>
      <c r="C13" s="31" t="str">
        <f>"ϕ("&amp;B8&amp;")"</f>
        <v>ϕ(1.5)</v>
      </c>
      <c r="D13" s="22"/>
      <c r="E13" s="22"/>
      <c r="F13" s="22"/>
      <c r="G13" s="23"/>
      <c r="H13" s="11"/>
      <c r="S13" s="12"/>
      <c r="T13" s="12"/>
      <c r="U13" s="12"/>
      <c r="V13" s="11"/>
      <c r="W13" s="12"/>
    </row>
    <row r="14" spans="1:23" ht="15" thickBot="1" x14ac:dyDescent="0.35">
      <c r="A14" s="32"/>
      <c r="B14" s="33"/>
      <c r="C14" s="34"/>
      <c r="D14" s="34"/>
      <c r="E14" s="34"/>
      <c r="F14" s="34"/>
      <c r="G14" s="35"/>
      <c r="H14" s="11"/>
      <c r="I14" s="10" t="s">
        <v>22</v>
      </c>
      <c r="S14" s="12"/>
      <c r="T14" s="12"/>
      <c r="U14" s="12"/>
      <c r="V14" s="11"/>
      <c r="W14" s="12"/>
    </row>
    <row r="15" spans="1:23" x14ac:dyDescent="0.3">
      <c r="H15" s="11"/>
      <c r="S15" s="12"/>
      <c r="T15" s="12"/>
      <c r="U15" s="12"/>
      <c r="V15" s="11"/>
      <c r="W15" s="12"/>
    </row>
    <row r="16" spans="1:23" x14ac:dyDescent="0.3">
      <c r="H16" s="11"/>
      <c r="S16" s="12"/>
      <c r="T16" s="12"/>
      <c r="U16" s="12"/>
      <c r="V16" s="11"/>
      <c r="W16" s="12"/>
    </row>
    <row r="17" spans="8:23" x14ac:dyDescent="0.3">
      <c r="H17" s="11"/>
      <c r="S17" s="12"/>
      <c r="T17" s="12"/>
      <c r="U17" s="12"/>
      <c r="V17" s="11"/>
      <c r="W17" s="12"/>
    </row>
    <row r="18" spans="8:23" x14ac:dyDescent="0.3">
      <c r="H18" s="11"/>
      <c r="S18" s="12"/>
      <c r="T18" s="12"/>
      <c r="U18" s="12"/>
      <c r="V18" s="11"/>
      <c r="W18" s="12"/>
    </row>
    <row r="19" spans="8:23" ht="15" customHeight="1" x14ac:dyDescent="0.3">
      <c r="H19" s="11"/>
      <c r="S19" s="12"/>
      <c r="T19" s="12"/>
      <c r="U19" s="12"/>
      <c r="V19" s="11"/>
      <c r="W19" s="12"/>
    </row>
    <row r="20" spans="8:23" x14ac:dyDescent="0.3">
      <c r="H20" s="11"/>
      <c r="S20" s="12"/>
      <c r="T20" s="12"/>
      <c r="U20" s="12"/>
      <c r="V20" s="11"/>
      <c r="W20" s="12"/>
    </row>
    <row r="21" spans="8:23" x14ac:dyDescent="0.3">
      <c r="H21" s="11"/>
      <c r="S21" s="12"/>
      <c r="T21" s="12"/>
      <c r="U21" s="12"/>
      <c r="V21" s="11"/>
      <c r="W21" s="12"/>
    </row>
    <row r="22" spans="8:23" x14ac:dyDescent="0.3">
      <c r="H22" s="11"/>
      <c r="P22" s="12"/>
      <c r="Q22" s="12"/>
      <c r="R22" s="12"/>
      <c r="S22" s="12"/>
      <c r="T22" s="12"/>
      <c r="U22" s="12"/>
      <c r="V22" s="11"/>
      <c r="W22" s="12"/>
    </row>
    <row r="23" spans="8:23" ht="15" customHeight="1" x14ac:dyDescent="0.3">
      <c r="H23" s="11"/>
      <c r="P23" s="12"/>
      <c r="Q23" s="12"/>
      <c r="R23" s="12"/>
      <c r="S23" s="12"/>
      <c r="T23" s="12"/>
      <c r="U23" s="12"/>
      <c r="V23" s="11"/>
      <c r="W23" s="12"/>
    </row>
    <row r="24" spans="8:23" ht="15" customHeight="1" x14ac:dyDescent="0.3">
      <c r="H24" s="11"/>
      <c r="P24" s="12"/>
      <c r="Q24" s="12"/>
      <c r="R24" s="12"/>
      <c r="S24" s="12"/>
      <c r="T24" s="12"/>
      <c r="U24" s="12"/>
      <c r="V24" s="11"/>
      <c r="W24" s="12"/>
    </row>
    <row r="25" spans="8:23" ht="15" customHeight="1" x14ac:dyDescent="0.3">
      <c r="H25" s="11"/>
      <c r="P25" s="12"/>
      <c r="Q25" s="12"/>
      <c r="R25" s="12"/>
      <c r="S25" s="12"/>
      <c r="T25" s="12"/>
      <c r="U25" s="12"/>
      <c r="V25" s="11"/>
      <c r="W25" s="12"/>
    </row>
    <row r="26" spans="8:23" ht="15" customHeight="1" x14ac:dyDescent="0.3">
      <c r="H26" s="11"/>
      <c r="P26" s="12"/>
      <c r="Q26" s="12"/>
      <c r="R26" s="12"/>
      <c r="S26" s="12"/>
      <c r="T26" s="12"/>
      <c r="U26" s="12"/>
      <c r="V26" s="11"/>
      <c r="W26" s="12"/>
    </row>
    <row r="27" spans="8:23" ht="15" customHeight="1" x14ac:dyDescent="0.3">
      <c r="H27" s="11"/>
      <c r="P27" s="12"/>
      <c r="Q27" s="12"/>
      <c r="R27" s="12"/>
      <c r="S27" s="12"/>
      <c r="T27" s="12"/>
      <c r="U27" s="12"/>
      <c r="V27" s="11"/>
      <c r="W27" s="12"/>
    </row>
    <row r="28" spans="8:23" ht="15" customHeight="1" x14ac:dyDescent="0.3">
      <c r="H28" s="11"/>
      <c r="P28" s="12"/>
      <c r="Q28" s="12"/>
      <c r="R28" s="12"/>
      <c r="S28" s="12"/>
      <c r="T28" s="12"/>
      <c r="U28" s="12"/>
      <c r="V28" s="11"/>
      <c r="W28" s="12"/>
    </row>
    <row r="29" spans="8:23" x14ac:dyDescent="0.3">
      <c r="H29" s="11"/>
      <c r="P29" s="12"/>
      <c r="Q29" s="12"/>
      <c r="R29" s="12"/>
      <c r="S29" s="12"/>
      <c r="T29" s="12"/>
      <c r="U29" s="12"/>
      <c r="V29" s="11"/>
      <c r="W29" s="12"/>
    </row>
    <row r="30" spans="8:23" x14ac:dyDescent="0.3">
      <c r="H30" s="11"/>
      <c r="P30" s="12"/>
      <c r="Q30" s="12"/>
      <c r="R30" s="12"/>
      <c r="S30" s="12"/>
      <c r="T30" s="12"/>
      <c r="U30" s="12"/>
      <c r="V30" s="11"/>
      <c r="W30" s="12"/>
    </row>
    <row r="31" spans="8:23" x14ac:dyDescent="0.3">
      <c r="H31" s="11"/>
      <c r="P31" s="12"/>
      <c r="Q31" s="12"/>
      <c r="R31" s="12"/>
      <c r="S31" s="12"/>
      <c r="T31" s="12"/>
      <c r="U31" s="12"/>
      <c r="V31" s="11"/>
      <c r="W31" s="12"/>
    </row>
    <row r="32" spans="8:23" x14ac:dyDescent="0.3">
      <c r="H32" s="11"/>
      <c r="P32" s="12"/>
      <c r="Q32" s="12"/>
      <c r="R32" s="12"/>
      <c r="S32" s="12"/>
      <c r="T32" s="12"/>
      <c r="U32" s="12"/>
      <c r="V32" s="11"/>
      <c r="W32" s="12"/>
    </row>
    <row r="33" spans="1:23" x14ac:dyDescent="0.3">
      <c r="H33" s="11"/>
      <c r="P33" s="12"/>
      <c r="Q33" s="12"/>
      <c r="R33" s="12"/>
      <c r="S33" s="12"/>
      <c r="T33" s="12"/>
      <c r="U33" s="12"/>
      <c r="V33" s="11"/>
      <c r="W33" s="12"/>
    </row>
    <row r="34" spans="1:23" x14ac:dyDescent="0.3">
      <c r="H34" s="11"/>
      <c r="P34" s="12"/>
      <c r="Q34" s="12"/>
      <c r="R34" s="12"/>
      <c r="S34" s="12"/>
      <c r="T34" s="12"/>
      <c r="U34" s="12"/>
      <c r="V34" s="11"/>
      <c r="W34" s="12"/>
    </row>
    <row r="35" spans="1:23" x14ac:dyDescent="0.3">
      <c r="H35" s="11"/>
      <c r="P35" s="12"/>
      <c r="Q35" s="12"/>
      <c r="R35" s="12"/>
      <c r="S35" s="12"/>
      <c r="T35" s="12"/>
      <c r="U35" s="12"/>
      <c r="V35" s="11"/>
      <c r="W35" s="12"/>
    </row>
    <row r="36" spans="1:23" x14ac:dyDescent="0.3">
      <c r="H36" s="11"/>
      <c r="P36" s="12"/>
      <c r="Q36" s="12"/>
      <c r="R36" s="12"/>
      <c r="S36" s="12"/>
      <c r="T36" s="12"/>
      <c r="U36" s="12"/>
      <c r="V36" s="11"/>
      <c r="W36" s="12"/>
    </row>
    <row r="37" spans="1:23" x14ac:dyDescent="0.3">
      <c r="H37" s="11"/>
      <c r="I37" s="10" t="str">
        <f>"From the Lee diagram we can deduce the areas which represent the Table L insurance charge and savings at an entry ratio of "&amp;B8</f>
        <v>From the Lee diagram we can deduce the areas which represent the Table L insurance charge and savings at an entry ratio of 1.5</v>
      </c>
      <c r="P37" s="12"/>
      <c r="Q37" s="12"/>
      <c r="R37" s="12"/>
      <c r="S37" s="12"/>
      <c r="T37" s="12"/>
      <c r="U37" s="12"/>
      <c r="V37" s="11"/>
      <c r="W37" s="12"/>
    </row>
    <row r="38" spans="1:23" x14ac:dyDescent="0.3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3">
      <c r="A39" s="12"/>
      <c r="B39" s="12"/>
      <c r="H39" s="11"/>
      <c r="I39" s="10" t="s">
        <v>23</v>
      </c>
      <c r="P39" s="12"/>
      <c r="Q39" s="12"/>
      <c r="R39" s="12"/>
      <c r="S39" s="12"/>
      <c r="T39" s="12"/>
      <c r="U39" s="12"/>
      <c r="V39" s="11"/>
      <c r="W39" s="12"/>
    </row>
    <row r="40" spans="1:23" x14ac:dyDescent="0.3">
      <c r="H40" s="11"/>
      <c r="I40" s="10" t="s">
        <v>24</v>
      </c>
      <c r="P40" s="12"/>
      <c r="Q40" s="12"/>
      <c r="R40" s="12"/>
      <c r="S40" s="12"/>
      <c r="T40" s="12"/>
      <c r="U40" s="12"/>
      <c r="V40" s="11"/>
      <c r="W40" s="12"/>
    </row>
    <row r="41" spans="1:23" x14ac:dyDescent="0.3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3">
      <c r="H42" s="11"/>
      <c r="I42" s="10" t="s">
        <v>25</v>
      </c>
      <c r="P42" s="12"/>
      <c r="Q42" s="12"/>
      <c r="R42" s="12"/>
      <c r="S42" s="12"/>
      <c r="T42" s="12"/>
      <c r="U42" s="12"/>
      <c r="V42" s="11"/>
      <c r="W42" s="12"/>
    </row>
    <row r="43" spans="1:23" x14ac:dyDescent="0.3">
      <c r="H43" s="11"/>
      <c r="I43" s="10" t="s">
        <v>26</v>
      </c>
      <c r="P43" s="12"/>
      <c r="Q43" s="12"/>
      <c r="R43" s="12"/>
      <c r="S43" s="12"/>
      <c r="T43" s="12"/>
      <c r="U43" s="12"/>
      <c r="V43" s="11"/>
      <c r="W43" s="12"/>
    </row>
    <row r="44" spans="1:23" x14ac:dyDescent="0.3">
      <c r="H44" s="11"/>
      <c r="P44" s="12"/>
      <c r="Q44" s="12"/>
      <c r="R44" s="12"/>
      <c r="S44" s="12"/>
      <c r="T44" s="12"/>
      <c r="U44" s="12"/>
      <c r="V44" s="11"/>
      <c r="W44" s="12"/>
    </row>
    <row r="45" spans="1:23" x14ac:dyDescent="0.3">
      <c r="H45" s="11"/>
      <c r="I45" s="13" t="str">
        <f>"φ("&amp;B8&amp;") ="</f>
        <v>φ(1.5) =</v>
      </c>
      <c r="J45" s="10" t="str">
        <f>"1 - 0.5*1*"&amp;2*B7/B6&amp;" + 0.5*( 1 - "&amp;B8&amp; " / "&amp; 2*B7/B6&amp;" ) * ( "&amp;2*B7/B6 &amp;" - "&amp;B8&amp;") = "&amp;J46</f>
        <v>1 - 0.5*1*1.6 + 0.5*( 1 - 1.5 / 1.6 ) * ( 1.6 - 1.5) = 0.203125</v>
      </c>
      <c r="O45" s="14"/>
      <c r="P45" s="15"/>
      <c r="Q45" s="12"/>
      <c r="R45" s="12"/>
      <c r="S45" s="12"/>
      <c r="T45" s="12"/>
      <c r="U45" s="12"/>
      <c r="V45" s="11"/>
      <c r="W45" s="12"/>
    </row>
    <row r="46" spans="1:23" x14ac:dyDescent="0.3">
      <c r="H46" s="11"/>
      <c r="J46" s="16">
        <f>ROUND(1-0.5*1*2*B7/B6+0.5*(1-B8*B6/(2*B7))*(2*B7/B6-B8),6)</f>
        <v>0.203125</v>
      </c>
      <c r="P46" s="12"/>
      <c r="Q46" s="12"/>
      <c r="R46" s="12"/>
      <c r="S46" s="12"/>
      <c r="T46" s="12"/>
      <c r="U46" s="12"/>
      <c r="V46" s="11"/>
      <c r="W46" s="12"/>
    </row>
    <row r="47" spans="1:23" x14ac:dyDescent="0.3">
      <c r="H47" s="11"/>
      <c r="I47" s="10" t="s">
        <v>27</v>
      </c>
      <c r="P47" s="12"/>
      <c r="Q47" s="12"/>
      <c r="R47" s="12"/>
      <c r="S47" s="12"/>
      <c r="T47" s="12"/>
      <c r="U47" s="12"/>
      <c r="V47" s="11"/>
      <c r="W47" s="12"/>
    </row>
    <row r="48" spans="1:23" x14ac:dyDescent="0.3">
      <c r="H48" s="11"/>
      <c r="P48" s="12"/>
      <c r="Q48" s="12"/>
      <c r="R48" s="12"/>
      <c r="S48" s="12"/>
      <c r="T48" s="12"/>
      <c r="U48" s="12"/>
      <c r="V48" s="11"/>
      <c r="W48" s="12"/>
    </row>
    <row r="49" spans="8:23" x14ac:dyDescent="0.3">
      <c r="H49" s="11"/>
      <c r="I49" s="13" t="str">
        <f>"ϕ("&amp;B8&amp;") ="</f>
        <v>ϕ(1.5) =</v>
      </c>
      <c r="J49" s="17" t="str">
        <f>J46&amp;" + "&amp;B8&amp;" - 1 = "&amp;J46+B8-1</f>
        <v>0.203125 + 1.5 - 1 = 0.703125</v>
      </c>
      <c r="L49" s="14"/>
      <c r="P49" s="12"/>
      <c r="Q49" s="12"/>
      <c r="R49" s="12"/>
      <c r="S49" s="12"/>
      <c r="T49" s="12"/>
      <c r="U49" s="12"/>
      <c r="V49" s="11"/>
      <c r="W49" s="12"/>
    </row>
    <row r="155" spans="8:22" x14ac:dyDescent="0.3">
      <c r="H155" s="11"/>
      <c r="V155" s="11"/>
    </row>
    <row r="156" spans="8:22" x14ac:dyDescent="0.3">
      <c r="H156" s="11"/>
      <c r="V156" s="11"/>
    </row>
    <row r="157" spans="8:22" x14ac:dyDescent="0.3">
      <c r="H157" s="11"/>
      <c r="V157" s="11"/>
    </row>
    <row r="158" spans="8:22" x14ac:dyDescent="0.3">
      <c r="H158" s="11"/>
      <c r="V158" s="11"/>
    </row>
  </sheetData>
  <sheetProtection algorithmName="SHA-512" hashValue="IiUxg8OfBOgAdndiT+B8+ZaTfNWKTammzmtznMuCEPP0eMa4lU1HHj2ddQC7lQ7OliUBwQZL6yQhCIRhPMnLbA==" saltValue="xw9VYU9oeGtpj9TwW8rnOQ==" spinCount="100000" sheet="1" objects="1" scenarios="1" formatCells="0" formatColumns="0" formatRows="0"/>
  <hyperlinks>
    <hyperlink ref="G1" location="TOC!A1" display="Return to TOC" xr:uid="{5C11267B-EE36-4C47-B65A-E21C6305E0E7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77B3-DA79-489B-BBFD-B92099FD252F}">
  <sheetPr codeName="Sheet63"/>
  <dimension ref="A1:W67"/>
  <sheetViews>
    <sheetView zoomScaleNormal="100" workbookViewId="0"/>
  </sheetViews>
  <sheetFormatPr defaultColWidth="9.109375" defaultRowHeight="14.4" x14ac:dyDescent="0.3"/>
  <cols>
    <col min="1" max="1" width="10.6640625" style="10" customWidth="1"/>
    <col min="2" max="2" width="4.6640625" style="10" customWidth="1"/>
    <col min="3" max="3" width="7.5546875" style="10" customWidth="1"/>
    <col min="4" max="4" width="23.33203125" style="10" bestFit="1" customWidth="1"/>
    <col min="5" max="5" width="21.109375" style="10" bestFit="1" customWidth="1"/>
    <col min="6" max="7" width="9.33203125" style="10" customWidth="1"/>
    <col min="8" max="8" width="2.6640625" style="10" customWidth="1"/>
    <col min="9" max="9" width="4.6640625" style="10" customWidth="1"/>
    <col min="10" max="10" width="13.109375" style="10" customWidth="1"/>
    <col min="11" max="11" width="15.6640625" style="10" customWidth="1"/>
    <col min="12" max="12" width="13.6640625" style="10" bestFit="1" customWidth="1"/>
    <col min="13" max="13" width="12.6640625" style="10" bestFit="1" customWidth="1"/>
    <col min="14" max="14" width="13.44140625" style="10" bestFit="1" customWidth="1"/>
    <col min="15" max="15" width="9.6640625" style="10" customWidth="1"/>
    <col min="16" max="17" width="9.109375" style="10" customWidth="1"/>
    <col min="18" max="18" width="9.109375" style="10"/>
    <col min="19" max="19" width="9.109375" style="10" customWidth="1"/>
    <col min="20" max="20" width="9.109375" style="10"/>
    <col min="21" max="21" width="7.6640625" style="10" customWidth="1"/>
    <col min="22" max="16384" width="9.109375" style="10"/>
  </cols>
  <sheetData>
    <row r="1" spans="1:23" x14ac:dyDescent="0.3">
      <c r="A1" s="18" t="s">
        <v>3</v>
      </c>
      <c r="B1" s="19"/>
      <c r="C1" s="19" t="s">
        <v>13</v>
      </c>
      <c r="D1" s="20"/>
      <c r="E1" s="19"/>
      <c r="F1" s="19"/>
      <c r="G1" s="6" t="s">
        <v>8</v>
      </c>
      <c r="H1" s="8"/>
      <c r="I1" s="9" t="s">
        <v>9</v>
      </c>
      <c r="V1" s="8"/>
    </row>
    <row r="2" spans="1:23" x14ac:dyDescent="0.3">
      <c r="A2" s="21" t="s">
        <v>4</v>
      </c>
      <c r="B2" s="22"/>
      <c r="C2" s="22" t="s">
        <v>28</v>
      </c>
      <c r="D2" s="22"/>
      <c r="E2" s="22"/>
      <c r="F2" s="22"/>
      <c r="G2" s="23"/>
      <c r="H2" s="8"/>
      <c r="V2" s="8"/>
    </row>
    <row r="3" spans="1:23" x14ac:dyDescent="0.3">
      <c r="A3" s="21" t="s">
        <v>5</v>
      </c>
      <c r="B3" s="22"/>
      <c r="C3" s="22" t="s">
        <v>29</v>
      </c>
      <c r="D3" s="22"/>
      <c r="E3" s="22"/>
      <c r="F3" s="22"/>
      <c r="G3" s="23"/>
      <c r="H3" s="8"/>
      <c r="I3" s="10" t="s">
        <v>30</v>
      </c>
      <c r="J3" s="10" t="s">
        <v>31</v>
      </c>
      <c r="V3" s="8"/>
    </row>
    <row r="4" spans="1:23" x14ac:dyDescent="0.3">
      <c r="A4" s="24"/>
      <c r="B4" s="25"/>
      <c r="C4" s="25"/>
      <c r="D4" s="25"/>
      <c r="E4" s="25"/>
      <c r="F4" s="25"/>
      <c r="G4" s="26"/>
      <c r="H4" s="11"/>
      <c r="V4" s="11"/>
      <c r="W4" s="12"/>
    </row>
    <row r="5" spans="1:23" ht="15" customHeight="1" x14ac:dyDescent="0.3">
      <c r="A5" s="27" t="s">
        <v>6</v>
      </c>
      <c r="B5" s="22"/>
      <c r="C5" s="22" t="s">
        <v>32</v>
      </c>
      <c r="D5" s="22"/>
      <c r="E5" s="22"/>
      <c r="F5" s="22"/>
      <c r="G5" s="23"/>
      <c r="H5" s="11"/>
      <c r="J5" s="10" t="s">
        <v>33</v>
      </c>
      <c r="S5" s="12"/>
      <c r="T5" s="12"/>
      <c r="U5" s="12"/>
      <c r="V5" s="11"/>
      <c r="W5" s="12"/>
    </row>
    <row r="6" spans="1:23" x14ac:dyDescent="0.3">
      <c r="A6" s="49"/>
      <c r="B6" s="22"/>
      <c r="C6" s="50"/>
      <c r="D6" s="51" t="s">
        <v>34</v>
      </c>
      <c r="E6" s="52"/>
      <c r="F6" s="22"/>
      <c r="G6" s="23"/>
      <c r="H6" s="11"/>
      <c r="J6" s="10" t="str">
        <f>"So the excess ratio is k = ("&amp;TEXT(D18,"$0,0")&amp;" - " &amp;TEXT(E18,"$0,0")&amp;") / "&amp;TEXT(D18,"$0,0") &amp; " = "&amp;J7</f>
        <v>So the excess ratio is k = ($100,000 - $92,000) / $100,000 = 0.08</v>
      </c>
      <c r="S6" s="12"/>
      <c r="T6" s="12"/>
      <c r="U6" s="12"/>
      <c r="V6" s="11"/>
      <c r="W6" s="12"/>
    </row>
    <row r="7" spans="1:23" ht="15" customHeight="1" x14ac:dyDescent="0.3">
      <c r="A7" s="49"/>
      <c r="B7" s="22"/>
      <c r="C7" s="53" t="s">
        <v>35</v>
      </c>
      <c r="D7" s="54" t="s">
        <v>36</v>
      </c>
      <c r="E7" s="55" t="s">
        <v>37</v>
      </c>
      <c r="F7" s="22"/>
      <c r="G7" s="23"/>
      <c r="H7" s="11"/>
      <c r="J7" s="36">
        <f>ROUND((D18-E18)/D18,2)</f>
        <v>0.08</v>
      </c>
      <c r="S7" s="12"/>
      <c r="T7" s="12"/>
      <c r="U7" s="12"/>
      <c r="V7" s="11"/>
      <c r="W7" s="12"/>
    </row>
    <row r="8" spans="1:23" ht="15" customHeight="1" x14ac:dyDescent="0.3">
      <c r="A8" s="27"/>
      <c r="B8" s="25"/>
      <c r="C8" s="56">
        <v>1</v>
      </c>
      <c r="D8" s="57">
        <v>20000</v>
      </c>
      <c r="E8" s="58">
        <v>20000</v>
      </c>
      <c r="F8" s="22"/>
      <c r="G8" s="23"/>
      <c r="H8" s="11"/>
      <c r="I8" s="10" t="s">
        <v>38</v>
      </c>
      <c r="J8" s="10" t="s">
        <v>39</v>
      </c>
      <c r="S8" s="12"/>
      <c r="T8" s="12"/>
      <c r="U8" s="12"/>
      <c r="V8" s="11"/>
      <c r="W8" s="12"/>
    </row>
    <row r="9" spans="1:23" x14ac:dyDescent="0.3">
      <c r="A9" s="27"/>
      <c r="B9" s="25"/>
      <c r="C9" s="59">
        <f>C8+1</f>
        <v>2</v>
      </c>
      <c r="D9" s="60">
        <v>50000</v>
      </c>
      <c r="E9" s="61">
        <v>50000</v>
      </c>
      <c r="F9" s="22"/>
      <c r="G9" s="23"/>
      <c r="H9" s="11"/>
      <c r="S9" s="12"/>
      <c r="T9" s="12"/>
      <c r="U9" s="12"/>
      <c r="V9" s="11"/>
      <c r="W9" s="12"/>
    </row>
    <row r="10" spans="1:23" x14ac:dyDescent="0.3">
      <c r="A10" s="24"/>
      <c r="B10" s="25"/>
      <c r="C10" s="59">
        <f t="shared" ref="C10:C17" si="0">C9+1</f>
        <v>3</v>
      </c>
      <c r="D10" s="60">
        <v>60000</v>
      </c>
      <c r="E10" s="61">
        <v>60000</v>
      </c>
      <c r="F10" s="22"/>
      <c r="G10" s="23"/>
      <c r="H10" s="11"/>
      <c r="J10" s="10" t="s">
        <v>40</v>
      </c>
      <c r="S10" s="12"/>
      <c r="T10" s="12"/>
      <c r="U10" s="12"/>
      <c r="V10" s="11"/>
      <c r="W10" s="12"/>
    </row>
    <row r="11" spans="1:23" x14ac:dyDescent="0.3">
      <c r="A11" s="24"/>
      <c r="B11" s="25"/>
      <c r="C11" s="59">
        <f t="shared" si="0"/>
        <v>4</v>
      </c>
      <c r="D11" s="60">
        <v>70000</v>
      </c>
      <c r="E11" s="61">
        <v>70000</v>
      </c>
      <c r="F11" s="22"/>
      <c r="G11" s="23"/>
      <c r="H11" s="11"/>
      <c r="S11" s="12"/>
      <c r="T11" s="12"/>
      <c r="U11" s="12"/>
      <c r="V11" s="11"/>
      <c r="W11" s="12"/>
    </row>
    <row r="12" spans="1:23" x14ac:dyDescent="0.3">
      <c r="A12" s="24"/>
      <c r="B12" s="25"/>
      <c r="C12" s="59">
        <f t="shared" si="0"/>
        <v>5</v>
      </c>
      <c r="D12" s="60">
        <v>80000</v>
      </c>
      <c r="E12" s="61">
        <v>80000</v>
      </c>
      <c r="F12" s="22"/>
      <c r="G12" s="23"/>
      <c r="H12" s="11"/>
      <c r="S12" s="12"/>
      <c r="T12" s="12"/>
      <c r="U12" s="12"/>
      <c r="V12" s="11"/>
      <c r="W12" s="12"/>
    </row>
    <row r="13" spans="1:23" x14ac:dyDescent="0.3">
      <c r="A13" s="24"/>
      <c r="B13" s="25"/>
      <c r="C13" s="59">
        <f t="shared" si="0"/>
        <v>6</v>
      </c>
      <c r="D13" s="60">
        <v>80000</v>
      </c>
      <c r="E13" s="61">
        <v>80000</v>
      </c>
      <c r="F13" s="22"/>
      <c r="G13" s="23"/>
      <c r="H13" s="11"/>
      <c r="K13" s="8" t="s">
        <v>41</v>
      </c>
      <c r="L13" s="8" t="s">
        <v>42</v>
      </c>
      <c r="M13" s="8" t="s">
        <v>43</v>
      </c>
      <c r="S13" s="12"/>
      <c r="T13" s="12"/>
      <c r="U13" s="12"/>
      <c r="V13" s="11"/>
      <c r="W13" s="12"/>
    </row>
    <row r="14" spans="1:23" x14ac:dyDescent="0.3">
      <c r="A14" s="24"/>
      <c r="B14" s="25"/>
      <c r="C14" s="59">
        <f t="shared" si="0"/>
        <v>7</v>
      </c>
      <c r="D14" s="60">
        <v>90000</v>
      </c>
      <c r="E14" s="61">
        <v>90000</v>
      </c>
      <c r="F14" s="22"/>
      <c r="G14" s="23"/>
      <c r="H14" s="11"/>
      <c r="J14" s="37" t="s">
        <v>35</v>
      </c>
      <c r="K14" s="37" t="s">
        <v>44</v>
      </c>
      <c r="L14" s="37" t="s">
        <v>44</v>
      </c>
      <c r="M14" s="37" t="s">
        <v>45</v>
      </c>
      <c r="S14" s="12"/>
      <c r="T14" s="12"/>
      <c r="U14" s="12"/>
      <c r="V14" s="11"/>
      <c r="W14" s="12"/>
    </row>
    <row r="15" spans="1:23" x14ac:dyDescent="0.3">
      <c r="A15" s="49"/>
      <c r="B15" s="22"/>
      <c r="C15" s="59">
        <f t="shared" si="0"/>
        <v>8</v>
      </c>
      <c r="D15" s="60">
        <v>100000</v>
      </c>
      <c r="E15" s="61">
        <v>100000</v>
      </c>
      <c r="F15" s="22"/>
      <c r="G15" s="23"/>
      <c r="H15" s="11"/>
      <c r="J15" s="8">
        <v>1</v>
      </c>
      <c r="K15" s="11">
        <f t="shared" ref="K15:K24" si="1">D8</f>
        <v>20000</v>
      </c>
      <c r="L15" s="11">
        <f t="shared" ref="L15:L24" si="2">E8</f>
        <v>20000</v>
      </c>
      <c r="M15" s="38">
        <f>L15/$D$18</f>
        <v>0.2</v>
      </c>
      <c r="S15" s="12"/>
      <c r="T15" s="12"/>
      <c r="U15" s="12"/>
      <c r="V15" s="11"/>
      <c r="W15" s="12"/>
    </row>
    <row r="16" spans="1:23" x14ac:dyDescent="0.3">
      <c r="A16" s="49"/>
      <c r="B16" s="22"/>
      <c r="C16" s="59">
        <f t="shared" si="0"/>
        <v>9</v>
      </c>
      <c r="D16" s="60">
        <v>150000</v>
      </c>
      <c r="E16" s="61">
        <v>120000</v>
      </c>
      <c r="F16" s="22"/>
      <c r="G16" s="23"/>
      <c r="H16" s="11"/>
      <c r="J16" s="8">
        <f t="shared" ref="J16:J24" si="3">J15+1</f>
        <v>2</v>
      </c>
      <c r="K16" s="11">
        <f t="shared" si="1"/>
        <v>50000</v>
      </c>
      <c r="L16" s="11">
        <f t="shared" si="2"/>
        <v>50000</v>
      </c>
      <c r="M16" s="38">
        <f t="shared" ref="M16:M24" si="4">L16/$D$18</f>
        <v>0.5</v>
      </c>
      <c r="S16" s="12"/>
      <c r="T16" s="12"/>
      <c r="U16" s="12"/>
      <c r="V16" s="11"/>
      <c r="W16" s="12"/>
    </row>
    <row r="17" spans="1:23" x14ac:dyDescent="0.3">
      <c r="A17" s="49"/>
      <c r="B17" s="22"/>
      <c r="C17" s="59">
        <f t="shared" si="0"/>
        <v>10</v>
      </c>
      <c r="D17" s="60">
        <v>300000</v>
      </c>
      <c r="E17" s="61">
        <v>250000</v>
      </c>
      <c r="F17" s="22"/>
      <c r="G17" s="23"/>
      <c r="H17" s="11"/>
      <c r="J17" s="8">
        <f t="shared" si="3"/>
        <v>3</v>
      </c>
      <c r="K17" s="11">
        <f t="shared" si="1"/>
        <v>60000</v>
      </c>
      <c r="L17" s="11">
        <f t="shared" si="2"/>
        <v>60000</v>
      </c>
      <c r="M17" s="38">
        <f t="shared" si="4"/>
        <v>0.6</v>
      </c>
      <c r="S17" s="12"/>
      <c r="T17" s="12"/>
      <c r="U17" s="12"/>
      <c r="V17" s="11"/>
      <c r="W17" s="12"/>
    </row>
    <row r="18" spans="1:23" x14ac:dyDescent="0.3">
      <c r="A18" s="49"/>
      <c r="B18" s="22"/>
      <c r="C18" s="62" t="s">
        <v>46</v>
      </c>
      <c r="D18" s="63">
        <f>AVERAGE(D8:D17)</f>
        <v>100000</v>
      </c>
      <c r="E18" s="64">
        <f>AVERAGE(E8:E17)</f>
        <v>92000</v>
      </c>
      <c r="F18" s="22"/>
      <c r="G18" s="23"/>
      <c r="H18" s="11"/>
      <c r="J18" s="8">
        <f t="shared" si="3"/>
        <v>4</v>
      </c>
      <c r="K18" s="11">
        <f t="shared" si="1"/>
        <v>70000</v>
      </c>
      <c r="L18" s="11">
        <f t="shared" si="2"/>
        <v>70000</v>
      </c>
      <c r="M18" s="38">
        <f t="shared" si="4"/>
        <v>0.7</v>
      </c>
      <c r="S18" s="12"/>
      <c r="T18" s="12"/>
      <c r="U18" s="12"/>
      <c r="V18" s="11"/>
      <c r="W18" s="12"/>
    </row>
    <row r="19" spans="1:23" ht="15" customHeight="1" x14ac:dyDescent="0.3">
      <c r="A19" s="49"/>
      <c r="B19" s="22"/>
      <c r="C19" s="22"/>
      <c r="D19" s="22"/>
      <c r="E19" s="22"/>
      <c r="F19" s="22"/>
      <c r="G19" s="23"/>
      <c r="H19" s="11"/>
      <c r="J19" s="8">
        <f t="shared" si="3"/>
        <v>5</v>
      </c>
      <c r="K19" s="11">
        <f t="shared" si="1"/>
        <v>80000</v>
      </c>
      <c r="L19" s="11">
        <f t="shared" si="2"/>
        <v>80000</v>
      </c>
      <c r="M19" s="38">
        <f t="shared" si="4"/>
        <v>0.8</v>
      </c>
      <c r="S19" s="12"/>
      <c r="T19" s="12"/>
      <c r="U19" s="12"/>
      <c r="V19" s="11"/>
      <c r="W19" s="12"/>
    </row>
    <row r="20" spans="1:23" ht="15" thickBot="1" x14ac:dyDescent="0.35">
      <c r="A20" s="65" t="s">
        <v>7</v>
      </c>
      <c r="B20" s="34"/>
      <c r="C20" s="34" t="s">
        <v>47</v>
      </c>
      <c r="D20" s="34"/>
      <c r="E20" s="34"/>
      <c r="F20" s="34"/>
      <c r="G20" s="35"/>
      <c r="H20" s="11"/>
      <c r="J20" s="8">
        <f t="shared" si="3"/>
        <v>6</v>
      </c>
      <c r="K20" s="11">
        <f t="shared" si="1"/>
        <v>80000</v>
      </c>
      <c r="L20" s="11">
        <f t="shared" si="2"/>
        <v>80000</v>
      </c>
      <c r="M20" s="38">
        <f t="shared" si="4"/>
        <v>0.8</v>
      </c>
      <c r="S20" s="12"/>
      <c r="T20" s="12"/>
      <c r="U20" s="12"/>
      <c r="V20" s="11"/>
      <c r="W20" s="12"/>
    </row>
    <row r="21" spans="1:23" x14ac:dyDescent="0.3">
      <c r="H21" s="11"/>
      <c r="J21" s="8">
        <f t="shared" si="3"/>
        <v>7</v>
      </c>
      <c r="K21" s="11">
        <f t="shared" si="1"/>
        <v>90000</v>
      </c>
      <c r="L21" s="11">
        <f t="shared" si="2"/>
        <v>90000</v>
      </c>
      <c r="M21" s="38">
        <f t="shared" si="4"/>
        <v>0.9</v>
      </c>
      <c r="S21" s="12"/>
      <c r="T21" s="12"/>
      <c r="U21" s="12"/>
      <c r="V21" s="11"/>
      <c r="W21" s="12"/>
    </row>
    <row r="22" spans="1:23" x14ac:dyDescent="0.3">
      <c r="H22" s="11"/>
      <c r="J22" s="8">
        <f t="shared" si="3"/>
        <v>8</v>
      </c>
      <c r="K22" s="11">
        <f t="shared" si="1"/>
        <v>100000</v>
      </c>
      <c r="L22" s="11">
        <f t="shared" si="2"/>
        <v>100000</v>
      </c>
      <c r="M22" s="38">
        <f t="shared" si="4"/>
        <v>1</v>
      </c>
      <c r="P22" s="12"/>
      <c r="Q22" s="12"/>
      <c r="R22" s="12"/>
      <c r="S22" s="12"/>
      <c r="T22" s="12"/>
      <c r="U22" s="12"/>
      <c r="V22" s="11"/>
      <c r="W22" s="12"/>
    </row>
    <row r="23" spans="1:23" ht="15" customHeight="1" x14ac:dyDescent="0.3">
      <c r="H23" s="11"/>
      <c r="J23" s="8">
        <f t="shared" si="3"/>
        <v>9</v>
      </c>
      <c r="K23" s="11">
        <f t="shared" si="1"/>
        <v>150000</v>
      </c>
      <c r="L23" s="11">
        <f t="shared" si="2"/>
        <v>120000</v>
      </c>
      <c r="M23" s="38">
        <f t="shared" si="4"/>
        <v>1.2</v>
      </c>
      <c r="P23" s="12"/>
      <c r="Q23" s="12"/>
      <c r="R23" s="12"/>
      <c r="S23" s="12"/>
      <c r="T23" s="12"/>
      <c r="U23" s="12"/>
      <c r="V23" s="11"/>
      <c r="W23" s="12"/>
    </row>
    <row r="24" spans="1:23" ht="15" customHeight="1" x14ac:dyDescent="0.3">
      <c r="H24" s="11"/>
      <c r="J24" s="8">
        <f t="shared" si="3"/>
        <v>10</v>
      </c>
      <c r="K24" s="11">
        <f t="shared" si="1"/>
        <v>300000</v>
      </c>
      <c r="L24" s="11">
        <f t="shared" si="2"/>
        <v>250000</v>
      </c>
      <c r="M24" s="38">
        <f t="shared" si="4"/>
        <v>2.5</v>
      </c>
      <c r="P24" s="12"/>
      <c r="Q24" s="12"/>
      <c r="R24" s="12"/>
      <c r="S24" s="12"/>
      <c r="T24" s="12"/>
      <c r="U24" s="12"/>
      <c r="V24" s="11"/>
      <c r="W24" s="12"/>
    </row>
    <row r="25" spans="1:23" ht="15" customHeight="1" x14ac:dyDescent="0.3">
      <c r="H25" s="11"/>
      <c r="P25" s="12"/>
      <c r="Q25" s="12"/>
      <c r="R25" s="12"/>
      <c r="S25" s="12"/>
      <c r="T25" s="12"/>
      <c r="U25" s="12"/>
      <c r="V25" s="11"/>
      <c r="W25" s="12"/>
    </row>
    <row r="26" spans="1:23" ht="15" customHeight="1" x14ac:dyDescent="0.3">
      <c r="H26" s="11"/>
      <c r="I26" s="10" t="s">
        <v>48</v>
      </c>
      <c r="J26" s="10" t="s">
        <v>49</v>
      </c>
      <c r="P26" s="12"/>
      <c r="Q26" s="12"/>
      <c r="R26" s="12"/>
      <c r="S26" s="12"/>
      <c r="T26" s="12"/>
      <c r="U26" s="12"/>
      <c r="V26" s="11"/>
      <c r="W26" s="12"/>
    </row>
    <row r="27" spans="1:23" ht="28.8" x14ac:dyDescent="0.3">
      <c r="H27" s="11"/>
      <c r="J27" s="39" t="s">
        <v>50</v>
      </c>
      <c r="K27" s="37" t="s">
        <v>51</v>
      </c>
      <c r="L27" s="37" t="s">
        <v>52</v>
      </c>
      <c r="M27" s="39" t="s">
        <v>53</v>
      </c>
      <c r="N27" s="37" t="s">
        <v>54</v>
      </c>
      <c r="O27" s="40"/>
      <c r="P27" s="41"/>
      <c r="Q27" s="12"/>
      <c r="R27" s="12"/>
      <c r="S27" s="12"/>
      <c r="T27" s="12"/>
      <c r="U27" s="12"/>
      <c r="V27" s="11"/>
      <c r="W27" s="12"/>
    </row>
    <row r="28" spans="1:23" ht="15" customHeight="1" x14ac:dyDescent="0.3">
      <c r="H28" s="11"/>
      <c r="J28" s="38">
        <v>0</v>
      </c>
      <c r="K28" s="8">
        <f>COUNTIF($M$15:$M$24,J28)</f>
        <v>0</v>
      </c>
      <c r="L28" s="42">
        <f>COUNT($M$15:$M$24)-SUM(K28:$K$28)</f>
        <v>10</v>
      </c>
      <c r="M28" s="43">
        <f>L28/COUNT($M$15:$M$24)</f>
        <v>1</v>
      </c>
      <c r="N28" s="38">
        <f t="shared" ref="N28:N35" si="5">J29-J28</f>
        <v>0.2</v>
      </c>
      <c r="O28" s="38">
        <f t="shared" ref="O28:O35" si="6">O29+N28*M28</f>
        <v>0.91999999999999993</v>
      </c>
      <c r="P28" s="44">
        <f>O28+$J$7</f>
        <v>0.99999999999999989</v>
      </c>
      <c r="Q28" s="12"/>
      <c r="R28" s="12"/>
      <c r="S28" s="12"/>
      <c r="T28" s="12"/>
      <c r="U28" s="12"/>
      <c r="V28" s="11"/>
      <c r="W28" s="12"/>
    </row>
    <row r="29" spans="1:23" x14ac:dyDescent="0.3">
      <c r="H29" s="11"/>
      <c r="J29" s="38">
        <f>MIN(M15:M24)</f>
        <v>0.2</v>
      </c>
      <c r="K29" s="8">
        <f>COUNTIF($M$15:$M$24,J29)</f>
        <v>1</v>
      </c>
      <c r="L29" s="42">
        <f>COUNT($M$15:$M$24)-SUM(K$28:$K29)</f>
        <v>9</v>
      </c>
      <c r="M29" s="43">
        <f t="shared" ref="M29:M37" si="7">L29/COUNT($M$15:$M$24)</f>
        <v>0.9</v>
      </c>
      <c r="N29" s="38">
        <f t="shared" si="5"/>
        <v>0.3</v>
      </c>
      <c r="O29" s="38">
        <f t="shared" si="6"/>
        <v>0.72</v>
      </c>
      <c r="P29" s="44">
        <f t="shared" ref="P29:P37" si="8">O29+$J$7</f>
        <v>0.79999999999999993</v>
      </c>
      <c r="Q29" s="12"/>
      <c r="R29" s="12"/>
      <c r="S29" s="12"/>
      <c r="T29" s="12"/>
      <c r="U29" s="12"/>
      <c r="V29" s="11"/>
      <c r="W29" s="12"/>
    </row>
    <row r="30" spans="1:23" x14ac:dyDescent="0.3">
      <c r="H30" s="11"/>
      <c r="J30" s="38">
        <f>INDEX($M$15:$M$24,MATCH(J29,$M$15:$M$24,1)+1)</f>
        <v>0.5</v>
      </c>
      <c r="K30" s="8">
        <f t="shared" ref="K30:K37" si="9">COUNTIF($M$15:$M$24,J30)</f>
        <v>1</v>
      </c>
      <c r="L30" s="42">
        <f>COUNT($M$15:$M$24)-SUM(K$28:$K30)</f>
        <v>8</v>
      </c>
      <c r="M30" s="43">
        <f t="shared" si="7"/>
        <v>0.8</v>
      </c>
      <c r="N30" s="38">
        <f t="shared" si="5"/>
        <v>9.9999999999999978E-2</v>
      </c>
      <c r="O30" s="38">
        <f t="shared" si="6"/>
        <v>0.44999999999999996</v>
      </c>
      <c r="P30" s="44">
        <f t="shared" si="8"/>
        <v>0.52999999999999992</v>
      </c>
      <c r="Q30" s="12"/>
      <c r="R30" s="12"/>
      <c r="S30" s="12"/>
      <c r="T30" s="12"/>
      <c r="U30" s="12"/>
      <c r="V30" s="11"/>
      <c r="W30" s="12"/>
    </row>
    <row r="31" spans="1:23" x14ac:dyDescent="0.3">
      <c r="H31" s="11"/>
      <c r="J31" s="38">
        <f t="shared" ref="J31:J37" si="10">INDEX($M$15:$M$24,MATCH(J30,$M$15:$M$24,1)+1)</f>
        <v>0.6</v>
      </c>
      <c r="K31" s="8">
        <f t="shared" si="9"/>
        <v>1</v>
      </c>
      <c r="L31" s="42">
        <f>COUNT($M$15:$M$24)-SUM(K$28:$K31)</f>
        <v>7</v>
      </c>
      <c r="M31" s="43">
        <f t="shared" si="7"/>
        <v>0.7</v>
      </c>
      <c r="N31" s="38">
        <f t="shared" si="5"/>
        <v>9.9999999999999978E-2</v>
      </c>
      <c r="O31" s="38">
        <f t="shared" si="6"/>
        <v>0.37</v>
      </c>
      <c r="P31" s="44">
        <f t="shared" si="8"/>
        <v>0.45</v>
      </c>
      <c r="Q31" s="12"/>
      <c r="R31" s="12"/>
      <c r="S31" s="12"/>
      <c r="T31" s="12"/>
      <c r="U31" s="12"/>
      <c r="V31" s="11"/>
      <c r="W31" s="12"/>
    </row>
    <row r="32" spans="1:23" x14ac:dyDescent="0.3">
      <c r="H32" s="11"/>
      <c r="J32" s="38">
        <f t="shared" si="10"/>
        <v>0.7</v>
      </c>
      <c r="K32" s="8">
        <f t="shared" si="9"/>
        <v>1</v>
      </c>
      <c r="L32" s="42">
        <f>COUNT($M$15:$M$24)-SUM(K$28:$K32)</f>
        <v>6</v>
      </c>
      <c r="M32" s="43">
        <f t="shared" si="7"/>
        <v>0.6</v>
      </c>
      <c r="N32" s="38">
        <f t="shared" si="5"/>
        <v>0.10000000000000009</v>
      </c>
      <c r="O32" s="38">
        <f t="shared" si="6"/>
        <v>0.30000000000000004</v>
      </c>
      <c r="P32" s="44">
        <f t="shared" si="8"/>
        <v>0.38000000000000006</v>
      </c>
      <c r="Q32" s="12"/>
      <c r="R32" s="12"/>
      <c r="S32" s="12"/>
      <c r="T32" s="12"/>
      <c r="U32" s="12"/>
      <c r="V32" s="11"/>
      <c r="W32" s="12"/>
    </row>
    <row r="33" spans="1:23" x14ac:dyDescent="0.3">
      <c r="H33" s="11"/>
      <c r="J33" s="38">
        <f t="shared" si="10"/>
        <v>0.8</v>
      </c>
      <c r="K33" s="8">
        <f t="shared" si="9"/>
        <v>2</v>
      </c>
      <c r="L33" s="42">
        <f>COUNT($M$15:$M$24)-SUM(K$28:$K33)</f>
        <v>4</v>
      </c>
      <c r="M33" s="43">
        <f t="shared" si="7"/>
        <v>0.4</v>
      </c>
      <c r="N33" s="38">
        <f t="shared" si="5"/>
        <v>9.9999999999999978E-2</v>
      </c>
      <c r="O33" s="38">
        <f t="shared" si="6"/>
        <v>0.24</v>
      </c>
      <c r="P33" s="44">
        <f t="shared" si="8"/>
        <v>0.32</v>
      </c>
      <c r="Q33" s="12"/>
      <c r="R33" s="12"/>
      <c r="S33" s="12"/>
      <c r="T33" s="12"/>
      <c r="U33" s="12"/>
      <c r="V33" s="11"/>
      <c r="W33" s="12"/>
    </row>
    <row r="34" spans="1:23" x14ac:dyDescent="0.3">
      <c r="H34" s="11"/>
      <c r="J34" s="38">
        <f t="shared" si="10"/>
        <v>0.9</v>
      </c>
      <c r="K34" s="8">
        <f t="shared" si="9"/>
        <v>1</v>
      </c>
      <c r="L34" s="42">
        <f>COUNT($M$15:$M$24)-SUM(K$28:$K34)</f>
        <v>3</v>
      </c>
      <c r="M34" s="43">
        <f t="shared" si="7"/>
        <v>0.3</v>
      </c>
      <c r="N34" s="38">
        <f t="shared" si="5"/>
        <v>9.9999999999999978E-2</v>
      </c>
      <c r="O34" s="38">
        <f t="shared" si="6"/>
        <v>0.19999999999999998</v>
      </c>
      <c r="P34" s="44">
        <f t="shared" si="8"/>
        <v>0.27999999999999997</v>
      </c>
      <c r="Q34" s="12"/>
      <c r="R34" s="12"/>
      <c r="S34" s="12"/>
      <c r="T34" s="12"/>
      <c r="U34" s="12"/>
      <c r="V34" s="11"/>
      <c r="W34" s="12"/>
    </row>
    <row r="35" spans="1:23" x14ac:dyDescent="0.3">
      <c r="H35" s="11"/>
      <c r="J35" s="38">
        <f t="shared" si="10"/>
        <v>1</v>
      </c>
      <c r="K35" s="8">
        <f t="shared" si="9"/>
        <v>1</v>
      </c>
      <c r="L35" s="42">
        <f>COUNT($M$15:$M$24)-SUM(K$28:$K35)</f>
        <v>2</v>
      </c>
      <c r="M35" s="43">
        <f t="shared" si="7"/>
        <v>0.2</v>
      </c>
      <c r="N35" s="38">
        <f t="shared" si="5"/>
        <v>0.19999999999999996</v>
      </c>
      <c r="O35" s="38">
        <f t="shared" si="6"/>
        <v>0.16999999999999998</v>
      </c>
      <c r="P35" s="44">
        <f t="shared" si="8"/>
        <v>0.25</v>
      </c>
      <c r="Q35" s="12"/>
      <c r="R35" s="12"/>
      <c r="S35" s="12"/>
      <c r="T35" s="12"/>
      <c r="U35" s="12"/>
      <c r="V35" s="11"/>
      <c r="W35" s="12"/>
    </row>
    <row r="36" spans="1:23" x14ac:dyDescent="0.3">
      <c r="H36" s="11"/>
      <c r="J36" s="38">
        <f t="shared" si="10"/>
        <v>1.2</v>
      </c>
      <c r="K36" s="8">
        <f t="shared" si="9"/>
        <v>1</v>
      </c>
      <c r="L36" s="42">
        <f>COUNT($M$15:$M$24)-SUM(K$28:$K36)</f>
        <v>1</v>
      </c>
      <c r="M36" s="43">
        <f t="shared" si="7"/>
        <v>0.1</v>
      </c>
      <c r="N36" s="38">
        <f>J37-J36</f>
        <v>1.3</v>
      </c>
      <c r="O36" s="38">
        <f>O37+N36*M36</f>
        <v>0.13</v>
      </c>
      <c r="P36" s="44">
        <f t="shared" si="8"/>
        <v>0.21000000000000002</v>
      </c>
      <c r="Q36" s="12"/>
      <c r="R36" s="12"/>
      <c r="S36" s="12"/>
      <c r="T36" s="12"/>
      <c r="U36" s="12"/>
      <c r="V36" s="11"/>
      <c r="W36" s="12"/>
    </row>
    <row r="37" spans="1:23" x14ac:dyDescent="0.3">
      <c r="H37" s="11"/>
      <c r="J37" s="38">
        <f t="shared" si="10"/>
        <v>2.5</v>
      </c>
      <c r="K37" s="8">
        <f t="shared" si="9"/>
        <v>1</v>
      </c>
      <c r="L37" s="42">
        <f>COUNT($M$15:$M$24)-SUM(K$28:$K37)</f>
        <v>0</v>
      </c>
      <c r="M37" s="43">
        <f t="shared" si="7"/>
        <v>0</v>
      </c>
      <c r="N37" s="38">
        <v>0</v>
      </c>
      <c r="O37" s="38">
        <v>0</v>
      </c>
      <c r="P37" s="44">
        <f t="shared" si="8"/>
        <v>0.08</v>
      </c>
      <c r="Q37" s="12"/>
      <c r="R37" s="12"/>
      <c r="S37" s="12"/>
      <c r="T37" s="12"/>
      <c r="U37" s="12"/>
      <c r="V37" s="11"/>
      <c r="W37" s="12"/>
    </row>
    <row r="38" spans="1:23" x14ac:dyDescent="0.3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3">
      <c r="A39" s="12"/>
      <c r="B39" s="12"/>
      <c r="H39" s="11"/>
      <c r="J39" s="10" t="s">
        <v>55</v>
      </c>
      <c r="P39" s="12"/>
      <c r="Q39" s="12"/>
      <c r="R39" s="12"/>
      <c r="S39" s="12"/>
      <c r="T39" s="12"/>
      <c r="U39" s="12"/>
      <c r="V39" s="11"/>
      <c r="W39" s="12"/>
    </row>
    <row r="40" spans="1:23" x14ac:dyDescent="0.3">
      <c r="H40" s="11"/>
      <c r="K40" s="10" t="s">
        <v>56</v>
      </c>
      <c r="P40" s="12"/>
      <c r="Q40" s="12"/>
      <c r="R40" s="12"/>
      <c r="S40" s="12"/>
      <c r="T40" s="12"/>
      <c r="U40" s="12"/>
      <c r="V40" s="11"/>
      <c r="W40" s="12"/>
    </row>
    <row r="41" spans="1:23" x14ac:dyDescent="0.3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3">
      <c r="H42" s="11"/>
      <c r="I42" s="10" t="s">
        <v>57</v>
      </c>
      <c r="J42" s="10" t="s">
        <v>58</v>
      </c>
      <c r="P42" s="12"/>
      <c r="Q42" s="12"/>
      <c r="R42" s="12"/>
      <c r="S42" s="12"/>
      <c r="T42" s="12"/>
      <c r="U42" s="12"/>
      <c r="V42" s="11"/>
      <c r="W42" s="12"/>
    </row>
    <row r="43" spans="1:23" x14ac:dyDescent="0.3">
      <c r="H43" s="11"/>
      <c r="J43" s="45" t="s">
        <v>59</v>
      </c>
      <c r="K43" s="46"/>
      <c r="L43" s="46"/>
      <c r="P43" s="12"/>
      <c r="Q43" s="12"/>
      <c r="R43" s="12"/>
      <c r="S43" s="12"/>
      <c r="T43" s="12"/>
      <c r="U43" s="12"/>
      <c r="V43" s="11"/>
      <c r="W43" s="12"/>
    </row>
    <row r="44" spans="1:23" x14ac:dyDescent="0.3">
      <c r="H44" s="11"/>
      <c r="J44" s="47">
        <f t="shared" ref="J44:J53" si="11">J28</f>
        <v>0</v>
      </c>
      <c r="K44" s="48">
        <f t="shared" ref="K44:K53" si="12">P28</f>
        <v>0.99999999999999989</v>
      </c>
      <c r="L44" s="48">
        <f>K44+J44-1</f>
        <v>0</v>
      </c>
      <c r="P44" s="12"/>
      <c r="Q44" s="12"/>
      <c r="R44" s="12"/>
      <c r="S44" s="12"/>
      <c r="T44" s="12"/>
      <c r="U44" s="12"/>
      <c r="V44" s="11"/>
      <c r="W44" s="12"/>
    </row>
    <row r="45" spans="1:23" x14ac:dyDescent="0.3">
      <c r="H45" s="11"/>
      <c r="J45" s="47">
        <f t="shared" si="11"/>
        <v>0.2</v>
      </c>
      <c r="K45" s="48">
        <f t="shared" si="12"/>
        <v>0.79999999999999993</v>
      </c>
      <c r="L45" s="48">
        <f t="shared" ref="L45:L53" si="13">K45+J45-1</f>
        <v>0</v>
      </c>
      <c r="P45" s="12"/>
      <c r="Q45" s="12"/>
      <c r="R45" s="12"/>
      <c r="S45" s="12"/>
      <c r="T45" s="12"/>
      <c r="U45" s="12"/>
      <c r="V45" s="11"/>
      <c r="W45" s="12"/>
    </row>
    <row r="46" spans="1:23" x14ac:dyDescent="0.3">
      <c r="H46" s="11"/>
      <c r="J46" s="47">
        <f t="shared" si="11"/>
        <v>0.5</v>
      </c>
      <c r="K46" s="48">
        <f t="shared" si="12"/>
        <v>0.52999999999999992</v>
      </c>
      <c r="L46" s="48">
        <f t="shared" si="13"/>
        <v>2.9999999999999805E-2</v>
      </c>
      <c r="P46" s="12"/>
      <c r="Q46" s="12"/>
      <c r="R46" s="12"/>
      <c r="S46" s="12"/>
      <c r="T46" s="12"/>
      <c r="U46" s="12"/>
      <c r="V46" s="11"/>
      <c r="W46" s="12"/>
    </row>
    <row r="47" spans="1:23" x14ac:dyDescent="0.3">
      <c r="H47" s="11"/>
      <c r="J47" s="47">
        <f t="shared" si="11"/>
        <v>0.6</v>
      </c>
      <c r="K47" s="48">
        <f t="shared" si="12"/>
        <v>0.45</v>
      </c>
      <c r="L47" s="48">
        <f t="shared" si="13"/>
        <v>5.0000000000000044E-2</v>
      </c>
      <c r="P47" s="12"/>
      <c r="Q47" s="12"/>
      <c r="R47" s="12"/>
      <c r="S47" s="12"/>
      <c r="T47" s="12"/>
      <c r="U47" s="12"/>
      <c r="V47" s="11"/>
      <c r="W47" s="12"/>
    </row>
    <row r="48" spans="1:23" x14ac:dyDescent="0.3">
      <c r="H48" s="11"/>
      <c r="J48" s="47">
        <f t="shared" si="11"/>
        <v>0.7</v>
      </c>
      <c r="K48" s="48">
        <f t="shared" si="12"/>
        <v>0.38000000000000006</v>
      </c>
      <c r="L48" s="48">
        <f t="shared" si="13"/>
        <v>8.0000000000000071E-2</v>
      </c>
      <c r="P48" s="12"/>
      <c r="Q48" s="12"/>
      <c r="R48" s="12"/>
      <c r="S48" s="12"/>
      <c r="T48" s="12"/>
      <c r="U48" s="12"/>
      <c r="V48" s="11"/>
      <c r="W48" s="12"/>
    </row>
    <row r="49" spans="8:23" x14ac:dyDescent="0.3">
      <c r="H49" s="11"/>
      <c r="J49" s="47">
        <f t="shared" si="11"/>
        <v>0.8</v>
      </c>
      <c r="K49" s="48">
        <f t="shared" si="12"/>
        <v>0.32</v>
      </c>
      <c r="L49" s="48">
        <f t="shared" si="13"/>
        <v>0.12000000000000011</v>
      </c>
      <c r="P49" s="12"/>
      <c r="Q49" s="12"/>
      <c r="R49" s="12"/>
      <c r="S49" s="12"/>
      <c r="T49" s="12"/>
      <c r="U49" s="12"/>
      <c r="V49" s="11"/>
      <c r="W49" s="12"/>
    </row>
    <row r="50" spans="8:23" x14ac:dyDescent="0.3">
      <c r="H50" s="11"/>
      <c r="J50" s="47">
        <f t="shared" si="11"/>
        <v>0.9</v>
      </c>
      <c r="K50" s="48">
        <f t="shared" si="12"/>
        <v>0.27999999999999997</v>
      </c>
      <c r="L50" s="48">
        <f t="shared" si="13"/>
        <v>0.17999999999999994</v>
      </c>
      <c r="P50" s="12"/>
      <c r="Q50" s="12"/>
      <c r="R50" s="12"/>
      <c r="S50" s="12"/>
      <c r="T50" s="12"/>
      <c r="U50" s="12"/>
      <c r="V50" s="11"/>
      <c r="W50" s="12"/>
    </row>
    <row r="51" spans="8:23" x14ac:dyDescent="0.3">
      <c r="H51" s="11"/>
      <c r="J51" s="47">
        <f t="shared" si="11"/>
        <v>1</v>
      </c>
      <c r="K51" s="48">
        <f t="shared" si="12"/>
        <v>0.25</v>
      </c>
      <c r="L51" s="48">
        <f t="shared" si="13"/>
        <v>0.25</v>
      </c>
      <c r="N51" s="12"/>
      <c r="P51" s="12"/>
      <c r="Q51" s="12"/>
      <c r="R51" s="12"/>
      <c r="S51" s="12"/>
      <c r="T51" s="12"/>
      <c r="U51" s="12"/>
      <c r="V51" s="11"/>
    </row>
    <row r="52" spans="8:23" x14ac:dyDescent="0.3">
      <c r="H52" s="11"/>
      <c r="J52" s="47">
        <f t="shared" si="11"/>
        <v>1.2</v>
      </c>
      <c r="K52" s="48">
        <f t="shared" si="12"/>
        <v>0.21000000000000002</v>
      </c>
      <c r="L52" s="48">
        <f t="shared" si="13"/>
        <v>0.40999999999999992</v>
      </c>
      <c r="N52" s="12"/>
      <c r="O52" s="12"/>
      <c r="P52" s="12"/>
      <c r="Q52" s="12"/>
      <c r="R52" s="12"/>
      <c r="S52" s="12"/>
      <c r="T52" s="12"/>
      <c r="U52" s="12"/>
      <c r="V52" s="11"/>
    </row>
    <row r="53" spans="8:23" x14ac:dyDescent="0.3">
      <c r="H53" s="11"/>
      <c r="J53" s="47">
        <f t="shared" si="11"/>
        <v>2.5</v>
      </c>
      <c r="K53" s="48">
        <f t="shared" si="12"/>
        <v>0.08</v>
      </c>
      <c r="L53" s="48">
        <f t="shared" si="13"/>
        <v>1.58</v>
      </c>
      <c r="N53" s="12"/>
      <c r="O53" s="12"/>
      <c r="P53" s="12"/>
      <c r="Q53" s="12"/>
      <c r="R53" s="12"/>
      <c r="S53" s="12"/>
      <c r="T53" s="12"/>
      <c r="U53" s="12"/>
      <c r="V53" s="11"/>
    </row>
    <row r="54" spans="8:23" x14ac:dyDescent="0.3">
      <c r="H54" s="11"/>
      <c r="O54" s="12"/>
      <c r="P54" s="12"/>
      <c r="Q54" s="12"/>
      <c r="R54" s="12"/>
      <c r="S54" s="12"/>
      <c r="T54" s="12"/>
      <c r="U54" s="12"/>
      <c r="V54" s="11"/>
    </row>
    <row r="55" spans="8:23" x14ac:dyDescent="0.3">
      <c r="H55" s="11"/>
      <c r="I55" s="12"/>
      <c r="J55" s="12"/>
      <c r="K55" s="8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1"/>
    </row>
    <row r="56" spans="8:23" x14ac:dyDescent="0.3">
      <c r="H56" s="11"/>
      <c r="I56" s="12"/>
      <c r="J56" s="12"/>
      <c r="K56" s="8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1"/>
    </row>
    <row r="57" spans="8:23" x14ac:dyDescent="0.3">
      <c r="H57" s="11"/>
      <c r="I57" s="12"/>
      <c r="J57" s="12"/>
      <c r="K57" s="8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1"/>
    </row>
    <row r="58" spans="8:23" x14ac:dyDescent="0.3">
      <c r="H58" s="11"/>
      <c r="I58" s="12"/>
      <c r="J58" s="12"/>
      <c r="K58" s="8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1"/>
    </row>
    <row r="59" spans="8:23" x14ac:dyDescent="0.3">
      <c r="H59" s="11"/>
      <c r="I59" s="12"/>
      <c r="J59" s="12"/>
      <c r="K59" s="8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1"/>
    </row>
    <row r="60" spans="8:23" x14ac:dyDescent="0.3">
      <c r="H60" s="11"/>
      <c r="V60" s="11"/>
    </row>
    <row r="61" spans="8:23" x14ac:dyDescent="0.3">
      <c r="H61" s="11"/>
      <c r="V61" s="11"/>
    </row>
    <row r="62" spans="8:23" x14ac:dyDescent="0.3">
      <c r="H62" s="11"/>
      <c r="V62" s="11"/>
    </row>
    <row r="63" spans="8:23" x14ac:dyDescent="0.3">
      <c r="H63" s="11"/>
      <c r="V63" s="11"/>
    </row>
    <row r="64" spans="8:23" x14ac:dyDescent="0.3">
      <c r="H64" s="11"/>
      <c r="V64" s="11"/>
    </row>
    <row r="65" spans="8:22" x14ac:dyDescent="0.3">
      <c r="H65" s="11"/>
      <c r="V65" s="11"/>
    </row>
    <row r="66" spans="8:22" x14ac:dyDescent="0.3">
      <c r="H66" s="11"/>
      <c r="V66" s="11"/>
    </row>
    <row r="67" spans="8:22" x14ac:dyDescent="0.3">
      <c r="H67" s="11"/>
      <c r="V67" s="11"/>
    </row>
  </sheetData>
  <sheetProtection algorithmName="SHA-512" hashValue="GnC2u4ExhkzldJTFAkkOaV0emQJdsRAbp0PxHtCOY9vOKY1NSVps2k7uV/Rtqk1WnmFsfnw6XaDpZIcVF6BQYg==" saltValue="SeameNaGZFjbCygyoOiBgA==" spinCount="100000" sheet="1" objects="1" scenarios="1" formatCells="0" formatColumns="0" formatRows="0"/>
  <hyperlinks>
    <hyperlink ref="G1" location="TOC!A1" display="Return to TOC" xr:uid="{2F6EF80D-612D-4D15-9395-5BE5907289E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898F-EECB-4161-B2C5-AEDB3F869B46}">
  <sheetPr codeName="Sheet62"/>
  <dimension ref="A1:AA158"/>
  <sheetViews>
    <sheetView zoomScaleNormal="100" workbookViewId="0"/>
  </sheetViews>
  <sheetFormatPr defaultColWidth="9.109375" defaultRowHeight="14.4" x14ac:dyDescent="0.3"/>
  <cols>
    <col min="1" max="1" width="10.6640625" style="10" customWidth="1"/>
    <col min="2" max="2" width="4.6640625" style="10" customWidth="1"/>
    <col min="3" max="3" width="19" style="10" customWidth="1"/>
    <col min="4" max="4" width="22.6640625" style="10" customWidth="1"/>
    <col min="5" max="10" width="7.6640625" style="10" customWidth="1"/>
    <col min="11" max="11" width="4.44140625" style="10" customWidth="1"/>
    <col min="12" max="12" width="2.6640625" style="10" customWidth="1"/>
    <col min="13" max="13" width="5.6640625" style="10" customWidth="1"/>
    <col min="14" max="16" width="15.6640625" style="10" customWidth="1"/>
    <col min="17" max="17" width="21.33203125" style="10" customWidth="1"/>
    <col min="18" max="18" width="15.6640625" style="10" customWidth="1"/>
    <col min="19" max="25" width="5.6640625" style="10" customWidth="1"/>
    <col min="26" max="16384" width="9.109375" style="10"/>
  </cols>
  <sheetData>
    <row r="1" spans="1:27" x14ac:dyDescent="0.3">
      <c r="A1" s="18" t="s">
        <v>3</v>
      </c>
      <c r="B1" s="19"/>
      <c r="C1" s="19" t="s">
        <v>13</v>
      </c>
      <c r="D1" s="20"/>
      <c r="E1" s="19"/>
      <c r="F1" s="19"/>
      <c r="G1" s="19"/>
      <c r="H1" s="19"/>
      <c r="I1" s="19"/>
      <c r="J1" s="19"/>
      <c r="K1" s="6" t="s">
        <v>8</v>
      </c>
      <c r="L1" s="8"/>
      <c r="M1" s="9" t="s">
        <v>9</v>
      </c>
      <c r="Z1" s="8"/>
    </row>
    <row r="2" spans="1:27" x14ac:dyDescent="0.3">
      <c r="A2" s="21" t="s">
        <v>4</v>
      </c>
      <c r="B2" s="22"/>
      <c r="C2" s="22" t="s">
        <v>28</v>
      </c>
      <c r="D2" s="22"/>
      <c r="E2" s="22"/>
      <c r="F2" s="22"/>
      <c r="G2" s="22"/>
      <c r="H2" s="22"/>
      <c r="I2" s="22"/>
      <c r="J2" s="22"/>
      <c r="K2" s="23"/>
      <c r="L2" s="8"/>
      <c r="Z2" s="8"/>
    </row>
    <row r="3" spans="1:27" x14ac:dyDescent="0.3">
      <c r="A3" s="21" t="s">
        <v>5</v>
      </c>
      <c r="B3" s="22"/>
      <c r="C3" s="22" t="s">
        <v>61</v>
      </c>
      <c r="D3" s="22"/>
      <c r="E3" s="22"/>
      <c r="F3" s="22"/>
      <c r="G3" s="22"/>
      <c r="H3" s="22"/>
      <c r="I3" s="22"/>
      <c r="J3" s="22"/>
      <c r="K3" s="23"/>
      <c r="L3" s="8"/>
      <c r="M3" s="10" t="s">
        <v>62</v>
      </c>
      <c r="Z3" s="8"/>
    </row>
    <row r="4" spans="1:27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  <c r="L4" s="11"/>
      <c r="Z4" s="11"/>
      <c r="AA4" s="12"/>
    </row>
    <row r="5" spans="1:27" ht="15" customHeight="1" x14ac:dyDescent="0.3">
      <c r="A5" s="27" t="s">
        <v>6</v>
      </c>
      <c r="B5" s="22"/>
      <c r="C5" s="22" t="s">
        <v>63</v>
      </c>
      <c r="D5" s="22"/>
      <c r="E5" s="22"/>
      <c r="F5" s="22"/>
      <c r="G5" s="22"/>
      <c r="H5" s="22"/>
      <c r="I5" s="22"/>
      <c r="J5" s="22"/>
      <c r="K5" s="26"/>
      <c r="L5" s="11"/>
      <c r="M5" s="10" t="s">
        <v>30</v>
      </c>
      <c r="N5" s="10" t="s">
        <v>64</v>
      </c>
      <c r="W5" s="12"/>
      <c r="X5" s="12"/>
      <c r="Y5" s="12"/>
      <c r="Z5" s="11"/>
      <c r="AA5" s="12"/>
    </row>
    <row r="6" spans="1:27" x14ac:dyDescent="0.3">
      <c r="A6" s="49"/>
      <c r="B6" s="22"/>
      <c r="C6" s="74">
        <v>250000</v>
      </c>
      <c r="D6" s="22" t="s">
        <v>65</v>
      </c>
      <c r="E6" s="22"/>
      <c r="F6" s="22"/>
      <c r="G6" s="22"/>
      <c r="H6" s="22"/>
      <c r="I6" s="22"/>
      <c r="J6" s="22"/>
      <c r="K6" s="26"/>
      <c r="L6" s="11"/>
      <c r="W6" s="12"/>
      <c r="X6" s="12"/>
      <c r="Y6" s="12"/>
      <c r="Z6" s="11"/>
      <c r="AA6" s="12"/>
    </row>
    <row r="7" spans="1:27" ht="15" customHeight="1" x14ac:dyDescent="0.3">
      <c r="A7" s="49"/>
      <c r="B7" s="22"/>
      <c r="C7" s="74">
        <v>750000</v>
      </c>
      <c r="D7" s="22" t="s">
        <v>66</v>
      </c>
      <c r="E7" s="22"/>
      <c r="F7" s="22"/>
      <c r="G7" s="22"/>
      <c r="H7" s="22"/>
      <c r="I7" s="22"/>
      <c r="J7" s="22"/>
      <c r="K7" s="26"/>
      <c r="L7" s="11"/>
      <c r="N7" s="10" t="s">
        <v>67</v>
      </c>
      <c r="W7" s="12"/>
      <c r="X7" s="12"/>
      <c r="Y7" s="12"/>
      <c r="Z7" s="11"/>
      <c r="AA7" s="12"/>
    </row>
    <row r="8" spans="1:27" ht="15" customHeight="1" x14ac:dyDescent="0.3">
      <c r="A8" s="49"/>
      <c r="B8" s="25"/>
      <c r="C8" s="74">
        <v>650000</v>
      </c>
      <c r="D8" s="22" t="s">
        <v>68</v>
      </c>
      <c r="E8" s="22"/>
      <c r="F8" s="22"/>
      <c r="G8" s="22"/>
      <c r="H8" s="22"/>
      <c r="I8" s="22"/>
      <c r="J8" s="22"/>
      <c r="K8" s="26"/>
      <c r="L8" s="11"/>
      <c r="N8" s="10" t="s">
        <v>69</v>
      </c>
      <c r="W8" s="12"/>
      <c r="X8" s="12"/>
      <c r="Y8" s="12"/>
      <c r="Z8" s="11"/>
      <c r="AA8" s="12"/>
    </row>
    <row r="9" spans="1:27" x14ac:dyDescent="0.3">
      <c r="A9" s="49"/>
      <c r="B9" s="25"/>
      <c r="C9" s="74">
        <v>490000</v>
      </c>
      <c r="D9" s="22" t="s">
        <v>70</v>
      </c>
      <c r="E9" s="22"/>
      <c r="F9" s="22"/>
      <c r="G9" s="22"/>
      <c r="H9" s="22"/>
      <c r="I9" s="22"/>
      <c r="J9" s="22"/>
      <c r="K9" s="26"/>
      <c r="L9" s="11"/>
      <c r="N9" s="10" t="s">
        <v>71</v>
      </c>
      <c r="O9" s="66" t="str">
        <f>"r = "&amp;TEXT(C7,"$0,0")&amp;" / "&amp;TEXT(C9,"$0,0")&amp;" = "&amp;N10</f>
        <v>r = $750,000 / $490,000 = 1.53</v>
      </c>
      <c r="W9" s="12"/>
      <c r="X9" s="12"/>
      <c r="Y9" s="12"/>
      <c r="Z9" s="11"/>
      <c r="AA9" s="12"/>
    </row>
    <row r="10" spans="1:27" x14ac:dyDescent="0.3">
      <c r="A10" s="24"/>
      <c r="B10" s="25"/>
      <c r="C10" s="22"/>
      <c r="D10" s="22"/>
      <c r="E10" s="22"/>
      <c r="F10" s="22"/>
      <c r="G10" s="22"/>
      <c r="H10" s="22"/>
      <c r="I10" s="22"/>
      <c r="J10" s="22"/>
      <c r="K10" s="26"/>
      <c r="L10" s="11"/>
      <c r="N10" s="67">
        <f>ROUND(C7/C9,2)</f>
        <v>1.53</v>
      </c>
      <c r="O10" s="68"/>
      <c r="W10" s="12"/>
      <c r="X10" s="12"/>
      <c r="Y10" s="12"/>
      <c r="Z10" s="11"/>
      <c r="AA10" s="12"/>
    </row>
    <row r="11" spans="1:27" x14ac:dyDescent="0.3">
      <c r="A11" s="75">
        <v>0.9</v>
      </c>
      <c r="B11" s="25"/>
      <c r="C11" s="22" t="str">
        <f>"The state/hazard group adjustment factor is "&amp;A11</f>
        <v>The state/hazard group adjustment factor is 0.9</v>
      </c>
      <c r="D11" s="22"/>
      <c r="E11" s="22"/>
      <c r="F11" s="22"/>
      <c r="G11" s="22"/>
      <c r="H11" s="22"/>
      <c r="I11" s="22"/>
      <c r="J11" s="22"/>
      <c r="K11" s="26"/>
      <c r="L11" s="11"/>
      <c r="M11" s="10" t="s">
        <v>38</v>
      </c>
      <c r="N11" s="10" t="s">
        <v>72</v>
      </c>
      <c r="W11" s="12"/>
      <c r="X11" s="12"/>
      <c r="Y11" s="12"/>
      <c r="Z11" s="11"/>
      <c r="AA11" s="12"/>
    </row>
    <row r="12" spans="1:27" x14ac:dyDescent="0.3">
      <c r="A12" s="24"/>
      <c r="B12" s="25"/>
      <c r="C12" s="22"/>
      <c r="D12" s="22"/>
      <c r="E12" s="22"/>
      <c r="F12" s="22"/>
      <c r="G12" s="22"/>
      <c r="H12" s="22"/>
      <c r="I12" s="22"/>
      <c r="J12" s="22"/>
      <c r="K12" s="26"/>
      <c r="L12" s="11"/>
      <c r="W12" s="12"/>
      <c r="X12" s="12"/>
      <c r="Y12" s="12"/>
      <c r="Z12" s="11"/>
      <c r="AA12" s="12"/>
    </row>
    <row r="13" spans="1:27" x14ac:dyDescent="0.3">
      <c r="A13" s="24"/>
      <c r="B13" s="25"/>
      <c r="C13" s="22" t="s">
        <v>73</v>
      </c>
      <c r="D13" s="22"/>
      <c r="E13" s="22"/>
      <c r="F13" s="22"/>
      <c r="G13" s="22"/>
      <c r="H13" s="22"/>
      <c r="I13" s="22"/>
      <c r="J13" s="22"/>
      <c r="K13" s="26"/>
      <c r="L13" s="11"/>
      <c r="N13" s="10" t="s">
        <v>71</v>
      </c>
      <c r="O13" s="10" t="str">
        <f>"k = ("&amp;TEXT(C8,"0,0")&amp;" - "&amp;TEXT(C9,"0,0")&amp;") / "&amp;TEXT(C8,"0,0") &amp; " = " &amp;N14</f>
        <v>k = (650,000 - 490,000) / 650,000 = 0.2462</v>
      </c>
      <c r="W13" s="12"/>
      <c r="X13" s="12"/>
      <c r="Y13" s="12"/>
      <c r="Z13" s="11"/>
      <c r="AA13" s="12"/>
    </row>
    <row r="14" spans="1:27" x14ac:dyDescent="0.3">
      <c r="A14" s="24"/>
      <c r="B14" s="25"/>
      <c r="C14" s="22"/>
      <c r="D14" s="22"/>
      <c r="E14" s="22"/>
      <c r="F14" s="22"/>
      <c r="G14" s="22"/>
      <c r="H14" s="22"/>
      <c r="I14" s="22"/>
      <c r="J14" s="22"/>
      <c r="K14" s="26"/>
      <c r="L14" s="11"/>
      <c r="N14" s="16">
        <f>ROUND((C8-C9)/C8,4)</f>
        <v>0.2462</v>
      </c>
      <c r="W14" s="12"/>
      <c r="X14" s="12"/>
      <c r="Y14" s="12"/>
      <c r="Z14" s="11"/>
      <c r="AA14" s="12"/>
    </row>
    <row r="15" spans="1:27" x14ac:dyDescent="0.3">
      <c r="A15" s="49"/>
      <c r="B15" s="22"/>
      <c r="C15" s="62" t="s">
        <v>74</v>
      </c>
      <c r="D15" s="76" t="s">
        <v>75</v>
      </c>
      <c r="E15" s="29" t="s">
        <v>76</v>
      </c>
      <c r="F15" s="22"/>
      <c r="G15" s="22"/>
      <c r="H15" s="22"/>
      <c r="I15" s="22"/>
      <c r="J15" s="22"/>
      <c r="K15" s="26"/>
      <c r="L15" s="11"/>
      <c r="M15" s="10" t="s">
        <v>48</v>
      </c>
      <c r="N15" s="10" t="s">
        <v>77</v>
      </c>
      <c r="W15" s="12"/>
      <c r="X15" s="12"/>
      <c r="Y15" s="12"/>
      <c r="Z15" s="11"/>
      <c r="AA15" s="12"/>
    </row>
    <row r="16" spans="1:27" x14ac:dyDescent="0.3">
      <c r="A16" s="49"/>
      <c r="B16" s="22"/>
      <c r="C16" s="59">
        <v>31</v>
      </c>
      <c r="D16" s="77" t="s">
        <v>78</v>
      </c>
      <c r="E16" s="30">
        <v>630000</v>
      </c>
      <c r="F16" s="22"/>
      <c r="G16" s="22"/>
      <c r="H16" s="22"/>
      <c r="I16" s="22"/>
      <c r="J16" s="22"/>
      <c r="K16" s="26"/>
      <c r="L16" s="11"/>
      <c r="W16" s="12"/>
      <c r="X16" s="12"/>
      <c r="Y16" s="12"/>
      <c r="Z16" s="11"/>
      <c r="AA16" s="12"/>
    </row>
    <row r="17" spans="1:27" x14ac:dyDescent="0.3">
      <c r="A17" s="49"/>
      <c r="B17" s="22"/>
      <c r="C17" s="59">
        <v>30</v>
      </c>
      <c r="D17" s="77" t="s">
        <v>79</v>
      </c>
      <c r="E17" s="30">
        <v>720001</v>
      </c>
      <c r="F17" s="22"/>
      <c r="G17" s="22"/>
      <c r="H17" s="22"/>
      <c r="I17" s="22"/>
      <c r="J17" s="22"/>
      <c r="K17" s="26"/>
      <c r="L17" s="11"/>
      <c r="N17" s="10" t="s">
        <v>80</v>
      </c>
      <c r="O17" s="10" t="str">
        <f>"ICRLL = (1 + 0.8 * "&amp;N14 &amp;") / (1 - "&amp;N14&amp;") = "&amp;N18</f>
        <v>ICRLL = (1 + 0.8 * 0.2462) / (1 - 0.2462) = 1.5879</v>
      </c>
      <c r="W17" s="12"/>
      <c r="X17" s="12"/>
      <c r="Y17" s="12"/>
      <c r="Z17" s="11"/>
      <c r="AA17" s="12"/>
    </row>
    <row r="18" spans="1:27" x14ac:dyDescent="0.3">
      <c r="A18" s="49"/>
      <c r="B18" s="22"/>
      <c r="C18" s="59">
        <v>29</v>
      </c>
      <c r="D18" s="77" t="s">
        <v>81</v>
      </c>
      <c r="E18" s="30">
        <v>830001</v>
      </c>
      <c r="F18" s="22"/>
      <c r="G18" s="22"/>
      <c r="H18" s="22"/>
      <c r="I18" s="22"/>
      <c r="J18" s="22"/>
      <c r="K18" s="26"/>
      <c r="L18" s="11"/>
      <c r="N18" s="16">
        <f>ROUND((1+0.8*N14)/(1-N14),4)</f>
        <v>1.5879000000000001</v>
      </c>
      <c r="W18" s="12"/>
      <c r="X18" s="12"/>
      <c r="Y18" s="12"/>
      <c r="Z18" s="11"/>
      <c r="AA18" s="12"/>
    </row>
    <row r="19" spans="1:27" ht="15" customHeight="1" x14ac:dyDescent="0.3">
      <c r="A19" s="49"/>
      <c r="B19" s="22"/>
      <c r="C19" s="59">
        <v>28</v>
      </c>
      <c r="D19" s="77" t="s">
        <v>82</v>
      </c>
      <c r="E19" s="30">
        <v>990001</v>
      </c>
      <c r="F19" s="22"/>
      <c r="G19" s="22"/>
      <c r="H19" s="22"/>
      <c r="I19" s="22"/>
      <c r="J19" s="22"/>
      <c r="K19" s="26"/>
      <c r="L19" s="11"/>
      <c r="M19" s="10" t="s">
        <v>57</v>
      </c>
      <c r="N19" s="10" t="s">
        <v>83</v>
      </c>
      <c r="W19" s="12"/>
      <c r="X19" s="12"/>
      <c r="Y19" s="12"/>
      <c r="Z19" s="11"/>
      <c r="AA19" s="12"/>
    </row>
    <row r="20" spans="1:27" x14ac:dyDescent="0.3">
      <c r="A20" s="49"/>
      <c r="B20" s="22"/>
      <c r="C20" s="59">
        <v>27</v>
      </c>
      <c r="D20" s="77" t="s">
        <v>84</v>
      </c>
      <c r="E20" s="30">
        <v>1180001</v>
      </c>
      <c r="F20" s="22"/>
      <c r="G20" s="22"/>
      <c r="H20" s="22"/>
      <c r="I20" s="22"/>
      <c r="J20" s="22"/>
      <c r="K20" s="26"/>
      <c r="L20" s="11"/>
      <c r="N20" s="10" t="s">
        <v>80</v>
      </c>
      <c r="O20" s="10" t="str">
        <f>"adjusted expected loss = "&amp;TEXT(C8,"$0,0")&amp;" * "&amp;A11&amp; " * " &amp;N18&amp; " = "&amp;TEXT(N21,"$0,0.00")</f>
        <v>adjusted expected loss = $650,000 * 0.9 * 1.5879 = $928,921.50</v>
      </c>
      <c r="W20" s="12"/>
      <c r="X20" s="12"/>
      <c r="Y20" s="12"/>
      <c r="Z20" s="11"/>
      <c r="AA20" s="12"/>
    </row>
    <row r="21" spans="1:27" x14ac:dyDescent="0.3">
      <c r="A21" s="49"/>
      <c r="B21" s="22"/>
      <c r="C21" s="53">
        <v>26</v>
      </c>
      <c r="D21" s="55" t="s">
        <v>85</v>
      </c>
      <c r="E21" s="30">
        <v>1415001</v>
      </c>
      <c r="F21" s="22"/>
      <c r="G21" s="22"/>
      <c r="H21" s="22"/>
      <c r="I21" s="22"/>
      <c r="J21" s="22"/>
      <c r="K21" s="26"/>
      <c r="L21" s="11"/>
      <c r="N21" s="69">
        <f>C8*A11*N18</f>
        <v>928921.5</v>
      </c>
      <c r="W21" s="12"/>
      <c r="X21" s="12"/>
      <c r="Y21" s="12"/>
      <c r="Z21" s="11"/>
      <c r="AA21" s="12"/>
    </row>
    <row r="22" spans="1:27" x14ac:dyDescent="0.3">
      <c r="A22" s="49"/>
      <c r="B22" s="22"/>
      <c r="C22" s="22"/>
      <c r="D22" s="22"/>
      <c r="E22" s="22"/>
      <c r="F22" s="22"/>
      <c r="G22" s="22"/>
      <c r="H22" s="22"/>
      <c r="I22" s="22"/>
      <c r="J22" s="22"/>
      <c r="K22" s="26"/>
      <c r="L22" s="11"/>
      <c r="M22" s="10" t="s">
        <v>86</v>
      </c>
      <c r="N22" s="10" t="s">
        <v>87</v>
      </c>
      <c r="T22" s="12"/>
      <c r="U22" s="12"/>
      <c r="V22" s="12"/>
      <c r="W22" s="12"/>
      <c r="X22" s="12"/>
      <c r="Y22" s="12"/>
      <c r="Z22" s="11"/>
      <c r="AA22" s="12"/>
    </row>
    <row r="23" spans="1:27" ht="15" customHeight="1" x14ac:dyDescent="0.3">
      <c r="A23" s="49"/>
      <c r="B23" s="22"/>
      <c r="C23" s="22"/>
      <c r="D23" s="62" t="s">
        <v>88</v>
      </c>
      <c r="E23" s="78" t="s">
        <v>74</v>
      </c>
      <c r="F23" s="79"/>
      <c r="G23" s="79"/>
      <c r="H23" s="79"/>
      <c r="I23" s="79"/>
      <c r="J23" s="80"/>
      <c r="K23" s="26"/>
      <c r="L23" s="11"/>
      <c r="N23" s="10" t="str">
        <f>"This is ELG "&amp;N24</f>
        <v>This is ELG 29</v>
      </c>
      <c r="T23" s="12"/>
      <c r="U23" s="12"/>
      <c r="V23" s="12"/>
      <c r="W23" s="12"/>
      <c r="X23" s="12"/>
      <c r="Y23" s="12"/>
      <c r="Z23" s="11"/>
      <c r="AA23" s="12"/>
    </row>
    <row r="24" spans="1:27" ht="15" customHeight="1" x14ac:dyDescent="0.3">
      <c r="A24" s="49"/>
      <c r="B24" s="22"/>
      <c r="C24" s="22"/>
      <c r="D24" s="62" t="s">
        <v>89</v>
      </c>
      <c r="E24" s="81">
        <v>31</v>
      </c>
      <c r="F24" s="62">
        <v>30</v>
      </c>
      <c r="G24" s="82">
        <v>29</v>
      </c>
      <c r="H24" s="62">
        <v>28</v>
      </c>
      <c r="I24" s="82">
        <v>27</v>
      </c>
      <c r="J24" s="62">
        <v>26</v>
      </c>
      <c r="K24" s="26"/>
      <c r="L24" s="11"/>
      <c r="N24" s="16">
        <f>INDEX(C16:C21,MATCH(N21,E16:E21,1))</f>
        <v>29</v>
      </c>
      <c r="T24" s="12"/>
      <c r="U24" s="12"/>
      <c r="V24" s="12"/>
      <c r="W24" s="12"/>
      <c r="X24" s="12"/>
      <c r="Y24" s="12"/>
      <c r="Z24" s="11"/>
      <c r="AA24" s="12"/>
    </row>
    <row r="25" spans="1:27" ht="15" customHeight="1" x14ac:dyDescent="0.3">
      <c r="A25" s="49"/>
      <c r="B25" s="22"/>
      <c r="C25" s="22"/>
      <c r="D25" s="59">
        <v>0.75</v>
      </c>
      <c r="E25" s="83">
        <v>0.41499999999999998</v>
      </c>
      <c r="F25" s="84">
        <v>0.40689999999999998</v>
      </c>
      <c r="G25" s="85">
        <v>0.39889999999999998</v>
      </c>
      <c r="H25" s="84">
        <v>0.3911</v>
      </c>
      <c r="I25" s="85">
        <v>0.38329999999999997</v>
      </c>
      <c r="J25" s="84">
        <v>0.3755</v>
      </c>
      <c r="K25" s="26"/>
      <c r="L25" s="11"/>
      <c r="M25" s="10" t="s">
        <v>90</v>
      </c>
      <c r="N25" s="10" t="str">
        <f>"Look up ELG "&amp;N24&amp;" and entry ratio "&amp;N10&amp; " in the given Table M to get the insurance charge."</f>
        <v>Look up ELG 29 and entry ratio 1.53 in the given Table M to get the insurance charge.</v>
      </c>
      <c r="T25" s="12"/>
      <c r="U25" s="12"/>
      <c r="V25" s="12"/>
      <c r="W25" s="12"/>
      <c r="X25" s="12"/>
      <c r="Y25" s="12"/>
      <c r="Z25" s="11"/>
      <c r="AA25" s="12"/>
    </row>
    <row r="26" spans="1:27" ht="15" customHeight="1" x14ac:dyDescent="0.3">
      <c r="A26" s="49"/>
      <c r="B26" s="22"/>
      <c r="C26" s="22"/>
      <c r="D26" s="59">
        <v>0.81</v>
      </c>
      <c r="E26" s="83">
        <v>0.38640000000000002</v>
      </c>
      <c r="F26" s="84">
        <v>0.37769999999999998</v>
      </c>
      <c r="G26" s="85">
        <v>0.36899999999999999</v>
      </c>
      <c r="H26" s="84">
        <v>0.36049999999999999</v>
      </c>
      <c r="I26" s="85">
        <v>0.35210000000000002</v>
      </c>
      <c r="J26" s="84">
        <v>0.34360000000000002</v>
      </c>
      <c r="K26" s="26"/>
      <c r="L26" s="11"/>
      <c r="N26" s="10" t="str">
        <f>"The insurance charge is "&amp;N27</f>
        <v>The insurance charge is 0.1583</v>
      </c>
      <c r="T26" s="12"/>
      <c r="U26" s="12"/>
      <c r="V26" s="12"/>
      <c r="W26" s="12"/>
      <c r="X26" s="12"/>
      <c r="Y26" s="12"/>
      <c r="Z26" s="11"/>
      <c r="AA26" s="12"/>
    </row>
    <row r="27" spans="1:27" ht="15" customHeight="1" x14ac:dyDescent="0.3">
      <c r="A27" s="49"/>
      <c r="B27" s="22"/>
      <c r="C27" s="22"/>
      <c r="D27" s="59">
        <v>1.07</v>
      </c>
      <c r="E27" s="83">
        <v>0.28670000000000001</v>
      </c>
      <c r="F27" s="84">
        <v>0.27639999999999998</v>
      </c>
      <c r="G27" s="85">
        <v>0.2661</v>
      </c>
      <c r="H27" s="84">
        <v>0.25569999999999998</v>
      </c>
      <c r="I27" s="85">
        <v>0.24529999999999999</v>
      </c>
      <c r="J27" s="84">
        <v>0.2349</v>
      </c>
      <c r="K27" s="26"/>
      <c r="L27" s="11"/>
      <c r="N27" s="16">
        <f>INDEX(E25:J29,MATCH(N10,D25:D29,0),MATCH(N24,E24:J24,0))</f>
        <v>0.1583</v>
      </c>
      <c r="T27" s="12"/>
      <c r="U27" s="12"/>
      <c r="V27" s="12"/>
      <c r="W27" s="12"/>
      <c r="X27" s="12"/>
      <c r="Y27" s="12"/>
      <c r="Z27" s="11"/>
      <c r="AA27" s="12"/>
    </row>
    <row r="28" spans="1:27" ht="15" customHeight="1" x14ac:dyDescent="0.3">
      <c r="A28" s="49"/>
      <c r="B28" s="22"/>
      <c r="C28" s="22"/>
      <c r="D28" s="59">
        <v>1.1499999999999999</v>
      </c>
      <c r="E28" s="83">
        <v>0.26279999999999998</v>
      </c>
      <c r="F28" s="84">
        <v>0.25219999999999998</v>
      </c>
      <c r="G28" s="85">
        <v>0.2417</v>
      </c>
      <c r="H28" s="84">
        <v>0.23100000000000001</v>
      </c>
      <c r="I28" s="85">
        <v>0.2203</v>
      </c>
      <c r="J28" s="84">
        <v>0.20960000000000001</v>
      </c>
      <c r="K28" s="26"/>
      <c r="L28" s="11"/>
      <c r="M28" s="10" t="s">
        <v>91</v>
      </c>
      <c r="N28" s="10" t="s">
        <v>92</v>
      </c>
      <c r="T28" s="12"/>
      <c r="U28" s="12"/>
      <c r="V28" s="12"/>
      <c r="W28" s="12"/>
      <c r="X28" s="12"/>
      <c r="Y28" s="12"/>
      <c r="Z28" s="11"/>
      <c r="AA28" s="12"/>
    </row>
    <row r="29" spans="1:27" x14ac:dyDescent="0.3">
      <c r="A29" s="49"/>
      <c r="B29" s="22"/>
      <c r="C29" s="22"/>
      <c r="D29" s="53">
        <v>1.53</v>
      </c>
      <c r="E29" s="86">
        <v>0.1797</v>
      </c>
      <c r="F29" s="87">
        <v>0.16900000000000001</v>
      </c>
      <c r="G29" s="88">
        <v>0.1583</v>
      </c>
      <c r="H29" s="87">
        <v>0.14760000000000001</v>
      </c>
      <c r="I29" s="88">
        <v>0.13689999999999999</v>
      </c>
      <c r="J29" s="87">
        <v>0.12609999999999999</v>
      </c>
      <c r="K29" s="26"/>
      <c r="L29" s="11"/>
      <c r="N29" s="10" t="str">
        <f>"This yields an aggregate limit charge of "&amp;N27&amp;" * "&amp;TEXT(C9,"$0,0")&amp;" = "&amp;N30</f>
        <v>This yields an aggregate limit charge of 0.1583 * $490,000 = $77,567</v>
      </c>
      <c r="T29" s="12"/>
      <c r="U29" s="12"/>
      <c r="V29" s="12"/>
      <c r="W29" s="12"/>
      <c r="X29" s="12"/>
      <c r="Y29" s="12"/>
      <c r="Z29" s="11"/>
      <c r="AA29" s="12"/>
    </row>
    <row r="30" spans="1:27" x14ac:dyDescent="0.3">
      <c r="A30" s="49"/>
      <c r="B30" s="22"/>
      <c r="C30" s="22"/>
      <c r="D30" s="22"/>
      <c r="E30" s="22"/>
      <c r="F30" s="22"/>
      <c r="G30" s="22"/>
      <c r="H30" s="22"/>
      <c r="I30" s="22"/>
      <c r="J30" s="22"/>
      <c r="K30" s="26"/>
      <c r="L30" s="11"/>
      <c r="N30" s="70" t="str">
        <f>TEXT(N27*C9,"$0,0")</f>
        <v>$77,567</v>
      </c>
      <c r="T30" s="12"/>
      <c r="U30" s="12"/>
      <c r="V30" s="12"/>
      <c r="W30" s="12"/>
      <c r="X30" s="12"/>
      <c r="Y30" s="12"/>
      <c r="Z30" s="11"/>
      <c r="AA30" s="12"/>
    </row>
    <row r="31" spans="1:27" ht="15" thickBot="1" x14ac:dyDescent="0.35">
      <c r="A31" s="65" t="s">
        <v>7</v>
      </c>
      <c r="B31" s="34"/>
      <c r="C31" s="34" t="s">
        <v>93</v>
      </c>
      <c r="D31" s="34"/>
      <c r="E31" s="34"/>
      <c r="F31" s="34"/>
      <c r="G31" s="34"/>
      <c r="H31" s="34"/>
      <c r="I31" s="34"/>
      <c r="J31" s="34"/>
      <c r="K31" s="89"/>
      <c r="L31" s="11"/>
      <c r="M31" s="10" t="s">
        <v>94</v>
      </c>
      <c r="N31" s="10" t="s">
        <v>95</v>
      </c>
      <c r="T31" s="12"/>
      <c r="U31" s="12"/>
      <c r="V31" s="12"/>
      <c r="W31" s="12"/>
      <c r="X31" s="12"/>
      <c r="Y31" s="12"/>
      <c r="Z31" s="11"/>
      <c r="AA31" s="12"/>
    </row>
    <row r="32" spans="1:27" x14ac:dyDescent="0.3">
      <c r="K32" s="12"/>
      <c r="L32" s="11"/>
      <c r="N32" s="10" t="str">
        <f>"This yields a per-occurrence limit charge of " &amp;TEXT(N33,"$0,0")</f>
        <v>This yields a per-occurrence limit charge of $160,000</v>
      </c>
      <c r="T32" s="12"/>
      <c r="U32" s="12"/>
      <c r="V32" s="12"/>
      <c r="W32" s="12"/>
      <c r="X32" s="12"/>
      <c r="Y32" s="12"/>
      <c r="Z32" s="11"/>
      <c r="AA32" s="12"/>
    </row>
    <row r="33" spans="1:27" x14ac:dyDescent="0.3">
      <c r="K33" s="12"/>
      <c r="L33" s="11"/>
      <c r="N33" s="70">
        <f>C8-C9</f>
        <v>160000</v>
      </c>
      <c r="T33" s="12"/>
      <c r="U33" s="12"/>
      <c r="V33" s="12"/>
      <c r="W33" s="12"/>
      <c r="X33" s="12"/>
      <c r="Y33" s="12"/>
      <c r="Z33" s="11"/>
      <c r="AA33" s="12"/>
    </row>
    <row r="34" spans="1:27" x14ac:dyDescent="0.3">
      <c r="K34" s="12"/>
      <c r="L34" s="11"/>
      <c r="M34" s="10" t="s">
        <v>96</v>
      </c>
      <c r="N34" s="10" t="s">
        <v>97</v>
      </c>
      <c r="T34" s="12"/>
      <c r="U34" s="12"/>
      <c r="V34" s="12"/>
      <c r="W34" s="12"/>
      <c r="X34" s="12"/>
      <c r="Y34" s="12"/>
      <c r="Z34" s="11"/>
      <c r="AA34" s="12"/>
    </row>
    <row r="35" spans="1:27" x14ac:dyDescent="0.3">
      <c r="K35" s="12"/>
      <c r="L35" s="11"/>
      <c r="N35" s="71" t="str">
        <f>"The total loss cost is " &amp;TEXT(N30+N33,"$0,0")</f>
        <v>The total loss cost is $237,567</v>
      </c>
      <c r="O35" s="72"/>
      <c r="T35" s="12"/>
      <c r="U35" s="12"/>
      <c r="V35" s="12"/>
      <c r="W35" s="12"/>
      <c r="X35" s="12"/>
      <c r="Y35" s="12"/>
      <c r="Z35" s="11"/>
      <c r="AA35" s="12"/>
    </row>
    <row r="36" spans="1:27" x14ac:dyDescent="0.3">
      <c r="K36" s="12"/>
      <c r="L36" s="11"/>
      <c r="T36" s="12"/>
      <c r="U36" s="12"/>
      <c r="V36" s="12"/>
      <c r="W36" s="12"/>
      <c r="X36" s="12"/>
      <c r="Y36" s="12"/>
      <c r="Z36" s="11"/>
      <c r="AA36" s="12"/>
    </row>
    <row r="37" spans="1:27" x14ac:dyDescent="0.3">
      <c r="K37" s="12"/>
      <c r="L37" s="11"/>
      <c r="T37" s="12"/>
      <c r="U37" s="12"/>
      <c r="V37" s="12"/>
      <c r="W37" s="12"/>
      <c r="X37" s="12"/>
      <c r="Y37" s="12"/>
      <c r="Z37" s="11"/>
      <c r="AA37" s="12"/>
    </row>
    <row r="38" spans="1:27" x14ac:dyDescent="0.3">
      <c r="K38" s="12"/>
      <c r="L38" s="11"/>
      <c r="T38" s="12"/>
      <c r="U38" s="12"/>
      <c r="V38" s="12"/>
      <c r="W38" s="12"/>
      <c r="X38" s="12"/>
      <c r="Y38" s="12"/>
      <c r="Z38" s="11"/>
      <c r="AA38" s="12"/>
    </row>
    <row r="39" spans="1:27" x14ac:dyDescent="0.3">
      <c r="A39" s="12"/>
      <c r="B39" s="12"/>
      <c r="K39" s="12"/>
      <c r="L39" s="11"/>
      <c r="T39" s="12"/>
      <c r="U39" s="12"/>
      <c r="V39" s="12"/>
      <c r="W39" s="12"/>
      <c r="X39" s="12"/>
      <c r="Y39" s="12"/>
      <c r="Z39" s="11"/>
      <c r="AA39" s="12"/>
    </row>
    <row r="40" spans="1:27" x14ac:dyDescent="0.3">
      <c r="L40" s="11"/>
      <c r="T40" s="12"/>
      <c r="U40" s="12"/>
      <c r="V40" s="12"/>
      <c r="W40" s="12"/>
      <c r="X40" s="12"/>
      <c r="Y40" s="12"/>
      <c r="Z40" s="11"/>
      <c r="AA40" s="12"/>
    </row>
    <row r="41" spans="1:27" x14ac:dyDescent="0.3">
      <c r="L41" s="11"/>
      <c r="T41" s="12"/>
      <c r="U41" s="12"/>
      <c r="V41" s="12"/>
      <c r="W41" s="12"/>
      <c r="X41" s="12"/>
      <c r="Y41" s="12"/>
      <c r="Z41" s="11"/>
      <c r="AA41" s="12"/>
    </row>
    <row r="42" spans="1:27" x14ac:dyDescent="0.3">
      <c r="L42" s="11"/>
      <c r="T42" s="12"/>
      <c r="U42" s="12"/>
      <c r="V42" s="12"/>
      <c r="W42" s="12"/>
      <c r="X42" s="12"/>
      <c r="Y42" s="12"/>
      <c r="Z42" s="11"/>
      <c r="AA42" s="12"/>
    </row>
    <row r="43" spans="1:27" x14ac:dyDescent="0.3">
      <c r="L43" s="11"/>
      <c r="T43" s="12"/>
      <c r="U43" s="12"/>
      <c r="V43" s="12"/>
      <c r="W43" s="12"/>
      <c r="X43" s="12"/>
      <c r="Y43" s="12"/>
      <c r="Z43" s="11"/>
      <c r="AA43" s="12"/>
    </row>
    <row r="44" spans="1:27" x14ac:dyDescent="0.3">
      <c r="L44" s="11"/>
      <c r="T44" s="12"/>
      <c r="U44" s="12"/>
      <c r="V44" s="12"/>
      <c r="W44" s="12"/>
      <c r="X44" s="12"/>
      <c r="Y44" s="12"/>
      <c r="Z44" s="11"/>
      <c r="AA44" s="12"/>
    </row>
    <row r="45" spans="1:27" x14ac:dyDescent="0.3">
      <c r="L45" s="11"/>
      <c r="T45" s="12"/>
      <c r="U45" s="12"/>
      <c r="V45" s="12"/>
      <c r="W45" s="12"/>
      <c r="X45" s="12"/>
      <c r="Y45" s="12"/>
      <c r="Z45" s="11"/>
      <c r="AA45" s="12"/>
    </row>
    <row r="46" spans="1:27" x14ac:dyDescent="0.3">
      <c r="L46" s="11"/>
      <c r="T46" s="12"/>
      <c r="U46" s="12"/>
      <c r="V46" s="12"/>
      <c r="W46" s="12"/>
      <c r="X46" s="12"/>
      <c r="Y46" s="12"/>
      <c r="Z46" s="11"/>
      <c r="AA46" s="12"/>
    </row>
    <row r="47" spans="1:27" x14ac:dyDescent="0.3">
      <c r="L47" s="11"/>
      <c r="T47" s="12"/>
      <c r="U47" s="12"/>
      <c r="V47" s="12"/>
      <c r="W47" s="12"/>
      <c r="X47" s="12"/>
      <c r="Y47" s="12"/>
      <c r="Z47" s="11"/>
      <c r="AA47" s="12"/>
    </row>
    <row r="48" spans="1:27" x14ac:dyDescent="0.3">
      <c r="L48" s="11"/>
      <c r="T48" s="12"/>
      <c r="U48" s="12"/>
      <c r="V48" s="12"/>
      <c r="W48" s="12"/>
      <c r="X48" s="12"/>
      <c r="Y48" s="12"/>
      <c r="Z48" s="11"/>
      <c r="AA48" s="12"/>
    </row>
    <row r="49" spans="1:27" x14ac:dyDescent="0.3">
      <c r="L49" s="11"/>
      <c r="T49" s="12"/>
      <c r="U49" s="12"/>
      <c r="V49" s="12"/>
      <c r="W49" s="12"/>
      <c r="X49" s="12"/>
      <c r="Y49" s="12"/>
      <c r="Z49" s="11"/>
      <c r="AA49" s="12"/>
    </row>
    <row r="50" spans="1:27" x14ac:dyDescent="0.3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7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1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1"/>
    </row>
    <row r="52" spans="1:27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1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1"/>
    </row>
    <row r="53" spans="1:27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1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1"/>
    </row>
    <row r="54" spans="1:27" x14ac:dyDescent="0.3">
      <c r="L54" s="11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1"/>
    </row>
    <row r="55" spans="1:27" x14ac:dyDescent="0.3">
      <c r="L55" s="11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1"/>
    </row>
    <row r="56" spans="1:27" x14ac:dyDescent="0.3">
      <c r="L56" s="11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1"/>
    </row>
    <row r="57" spans="1:27" x14ac:dyDescent="0.3">
      <c r="L57" s="11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1"/>
    </row>
    <row r="58" spans="1:27" x14ac:dyDescent="0.3">
      <c r="L58" s="11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1"/>
    </row>
    <row r="59" spans="1:27" x14ac:dyDescent="0.3">
      <c r="L59" s="11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1"/>
    </row>
    <row r="60" spans="1:27" x14ac:dyDescent="0.3">
      <c r="L60" s="11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1"/>
    </row>
    <row r="61" spans="1:27" x14ac:dyDescent="0.3">
      <c r="L61" s="11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1"/>
    </row>
    <row r="62" spans="1:27" x14ac:dyDescent="0.3">
      <c r="L62" s="11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1"/>
    </row>
    <row r="63" spans="1:27" x14ac:dyDescent="0.3">
      <c r="L63" s="11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1"/>
    </row>
    <row r="64" spans="1:27" x14ac:dyDescent="0.3">
      <c r="L64" s="11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1"/>
    </row>
    <row r="65" spans="12:26" x14ac:dyDescent="0.3">
      <c r="L65" s="11"/>
      <c r="Z65" s="11"/>
    </row>
    <row r="66" spans="12:26" x14ac:dyDescent="0.3">
      <c r="L66" s="11"/>
      <c r="Z66" s="11"/>
    </row>
    <row r="67" spans="12:26" x14ac:dyDescent="0.3">
      <c r="L67" s="11"/>
      <c r="Z67" s="11"/>
    </row>
    <row r="68" spans="12:26" x14ac:dyDescent="0.3">
      <c r="L68" s="11"/>
      <c r="Z68" s="11"/>
    </row>
    <row r="69" spans="12:26" x14ac:dyDescent="0.3">
      <c r="L69" s="11"/>
      <c r="Z69" s="11"/>
    </row>
    <row r="70" spans="12:26" x14ac:dyDescent="0.3">
      <c r="L70" s="11"/>
      <c r="Z70" s="11"/>
    </row>
    <row r="71" spans="12:26" x14ac:dyDescent="0.3">
      <c r="L71" s="11"/>
      <c r="Z71" s="11"/>
    </row>
    <row r="72" spans="12:26" x14ac:dyDescent="0.3">
      <c r="L72" s="11"/>
      <c r="Z72" s="11"/>
    </row>
    <row r="73" spans="12:26" x14ac:dyDescent="0.3">
      <c r="L73" s="11"/>
      <c r="Z73" s="11"/>
    </row>
    <row r="74" spans="12:26" x14ac:dyDescent="0.3">
      <c r="L74" s="11"/>
      <c r="Z74" s="11"/>
    </row>
    <row r="75" spans="12:26" x14ac:dyDescent="0.3">
      <c r="L75" s="11"/>
      <c r="Z75" s="11"/>
    </row>
    <row r="76" spans="12:26" x14ac:dyDescent="0.3">
      <c r="L76" s="11"/>
      <c r="Z76" s="11"/>
    </row>
    <row r="77" spans="12:26" x14ac:dyDescent="0.3">
      <c r="L77" s="11"/>
      <c r="Z77" s="11"/>
    </row>
    <row r="78" spans="12:26" x14ac:dyDescent="0.3">
      <c r="L78" s="11"/>
      <c r="Z78" s="11"/>
    </row>
    <row r="79" spans="12:26" x14ac:dyDescent="0.3">
      <c r="L79" s="11"/>
      <c r="Z79" s="11"/>
    </row>
    <row r="80" spans="12:26" x14ac:dyDescent="0.3">
      <c r="L80" s="11"/>
      <c r="Z80" s="11"/>
    </row>
    <row r="81" spans="12:26" x14ac:dyDescent="0.3">
      <c r="L81" s="11"/>
      <c r="Z81" s="11"/>
    </row>
    <row r="82" spans="12:26" x14ac:dyDescent="0.3">
      <c r="L82" s="11"/>
      <c r="Z82" s="11"/>
    </row>
    <row r="83" spans="12:26" x14ac:dyDescent="0.3">
      <c r="L83" s="11"/>
      <c r="Z83" s="11"/>
    </row>
    <row r="84" spans="12:26" x14ac:dyDescent="0.3">
      <c r="L84" s="11"/>
      <c r="Z84" s="11"/>
    </row>
    <row r="85" spans="12:26" x14ac:dyDescent="0.3">
      <c r="L85" s="11"/>
      <c r="Z85" s="11"/>
    </row>
    <row r="86" spans="12:26" x14ac:dyDescent="0.3">
      <c r="L86" s="11"/>
      <c r="Z86" s="11"/>
    </row>
    <row r="87" spans="12:26" x14ac:dyDescent="0.3">
      <c r="L87" s="11"/>
      <c r="Z87" s="11"/>
    </row>
    <row r="88" spans="12:26" x14ac:dyDescent="0.3">
      <c r="L88" s="11"/>
      <c r="Z88" s="11"/>
    </row>
    <row r="89" spans="12:26" x14ac:dyDescent="0.3">
      <c r="L89" s="11"/>
      <c r="Z89" s="11"/>
    </row>
    <row r="90" spans="12:26" x14ac:dyDescent="0.3">
      <c r="L90" s="11"/>
      <c r="Z90" s="11"/>
    </row>
    <row r="91" spans="12:26" x14ac:dyDescent="0.3">
      <c r="L91" s="11"/>
      <c r="Z91" s="11"/>
    </row>
    <row r="92" spans="12:26" x14ac:dyDescent="0.3">
      <c r="L92" s="11"/>
      <c r="Z92" s="11"/>
    </row>
    <row r="93" spans="12:26" x14ac:dyDescent="0.3">
      <c r="L93" s="11"/>
      <c r="Z93" s="11"/>
    </row>
    <row r="94" spans="12:26" x14ac:dyDescent="0.3">
      <c r="L94" s="11"/>
      <c r="Z94" s="11"/>
    </row>
    <row r="95" spans="12:26" x14ac:dyDescent="0.3">
      <c r="L95" s="11"/>
      <c r="Z95" s="11"/>
    </row>
    <row r="96" spans="12:26" x14ac:dyDescent="0.3">
      <c r="L96" s="11"/>
      <c r="Z96" s="11"/>
    </row>
    <row r="97" spans="1:26" x14ac:dyDescent="0.3">
      <c r="L97" s="11"/>
      <c r="Z97" s="11"/>
    </row>
    <row r="98" spans="1:26" x14ac:dyDescent="0.3">
      <c r="L98" s="11"/>
      <c r="Z98" s="11"/>
    </row>
    <row r="99" spans="1:26" x14ac:dyDescent="0.3">
      <c r="L99" s="11"/>
      <c r="Z99" s="11"/>
    </row>
    <row r="100" spans="1:26" x14ac:dyDescent="0.3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x14ac:dyDescent="0.3">
      <c r="C101" s="12"/>
      <c r="D101" s="12"/>
      <c r="E101" s="12"/>
      <c r="F101" s="12"/>
      <c r="G101" s="12"/>
      <c r="H101" s="12"/>
      <c r="I101" s="12"/>
      <c r="J101" s="12"/>
      <c r="K101" s="12"/>
      <c r="L101" s="11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1"/>
    </row>
    <row r="102" spans="1:26" x14ac:dyDescent="0.3">
      <c r="C102" s="12"/>
      <c r="D102" s="12"/>
      <c r="E102" s="12"/>
      <c r="F102" s="12"/>
      <c r="G102" s="12"/>
      <c r="H102" s="12"/>
      <c r="I102" s="12"/>
      <c r="J102" s="12"/>
      <c r="K102" s="12"/>
      <c r="L102" s="11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1"/>
    </row>
    <row r="103" spans="1:26" x14ac:dyDescent="0.3">
      <c r="C103" s="12"/>
      <c r="D103" s="12"/>
      <c r="E103" s="12"/>
      <c r="F103" s="12"/>
      <c r="G103" s="12"/>
      <c r="H103" s="12"/>
      <c r="I103" s="12"/>
      <c r="J103" s="12"/>
      <c r="K103" s="12"/>
      <c r="L103" s="11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1"/>
    </row>
    <row r="104" spans="1:26" x14ac:dyDescent="0.3">
      <c r="L104" s="11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1"/>
    </row>
    <row r="105" spans="1:26" x14ac:dyDescent="0.3">
      <c r="L105" s="11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1"/>
    </row>
    <row r="106" spans="1:26" x14ac:dyDescent="0.3">
      <c r="L106" s="11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1"/>
    </row>
    <row r="107" spans="1:26" x14ac:dyDescent="0.3">
      <c r="L107" s="11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1"/>
    </row>
    <row r="108" spans="1:26" x14ac:dyDescent="0.3">
      <c r="L108" s="11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1"/>
    </row>
    <row r="109" spans="1:26" x14ac:dyDescent="0.3">
      <c r="L109" s="11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1"/>
    </row>
    <row r="110" spans="1:26" x14ac:dyDescent="0.3">
      <c r="L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1"/>
    </row>
    <row r="111" spans="1:26" x14ac:dyDescent="0.3">
      <c r="L111" s="11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1"/>
    </row>
    <row r="112" spans="1:26" x14ac:dyDescent="0.3">
      <c r="L112" s="11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1"/>
    </row>
    <row r="113" spans="12:26" x14ac:dyDescent="0.3">
      <c r="L113" s="11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1"/>
    </row>
    <row r="114" spans="12:26" x14ac:dyDescent="0.3">
      <c r="L114" s="11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1"/>
    </row>
    <row r="115" spans="12:26" x14ac:dyDescent="0.3">
      <c r="L115" s="11"/>
      <c r="Z115" s="11"/>
    </row>
    <row r="116" spans="12:26" x14ac:dyDescent="0.3">
      <c r="L116" s="11"/>
      <c r="Z116" s="11"/>
    </row>
    <row r="117" spans="12:26" x14ac:dyDescent="0.3">
      <c r="L117" s="11"/>
      <c r="Z117" s="11"/>
    </row>
    <row r="118" spans="12:26" x14ac:dyDescent="0.3">
      <c r="L118" s="11"/>
      <c r="Z118" s="11"/>
    </row>
    <row r="119" spans="12:26" x14ac:dyDescent="0.3">
      <c r="L119" s="11"/>
      <c r="Z119" s="11"/>
    </row>
    <row r="120" spans="12:26" x14ac:dyDescent="0.3">
      <c r="L120" s="11"/>
      <c r="Z120" s="11"/>
    </row>
    <row r="121" spans="12:26" x14ac:dyDescent="0.3">
      <c r="L121" s="11"/>
      <c r="Z121" s="11"/>
    </row>
    <row r="122" spans="12:26" x14ac:dyDescent="0.3">
      <c r="L122" s="11"/>
      <c r="Z122" s="11"/>
    </row>
    <row r="123" spans="12:26" x14ac:dyDescent="0.3">
      <c r="L123" s="11"/>
      <c r="Z123" s="11"/>
    </row>
    <row r="124" spans="12:26" x14ac:dyDescent="0.3">
      <c r="L124" s="11"/>
      <c r="Z124" s="11"/>
    </row>
    <row r="125" spans="12:26" x14ac:dyDescent="0.3">
      <c r="L125" s="11"/>
      <c r="Z125" s="11"/>
    </row>
    <row r="126" spans="12:26" x14ac:dyDescent="0.3">
      <c r="L126" s="11"/>
      <c r="Z126" s="11"/>
    </row>
    <row r="127" spans="12:26" x14ac:dyDescent="0.3">
      <c r="L127" s="11"/>
      <c r="Z127" s="11"/>
    </row>
    <row r="128" spans="12:26" x14ac:dyDescent="0.3">
      <c r="L128" s="11"/>
      <c r="Z128" s="11"/>
    </row>
    <row r="129" spans="12:26" x14ac:dyDescent="0.3">
      <c r="L129" s="11"/>
      <c r="Z129" s="11"/>
    </row>
    <row r="130" spans="12:26" x14ac:dyDescent="0.3">
      <c r="L130" s="11"/>
      <c r="Z130" s="11"/>
    </row>
    <row r="131" spans="12:26" x14ac:dyDescent="0.3">
      <c r="L131" s="11"/>
      <c r="Z131" s="11"/>
    </row>
    <row r="132" spans="12:26" x14ac:dyDescent="0.3">
      <c r="L132" s="11"/>
      <c r="Z132" s="11"/>
    </row>
    <row r="133" spans="12:26" x14ac:dyDescent="0.3">
      <c r="L133" s="11"/>
      <c r="Z133" s="11"/>
    </row>
    <row r="134" spans="12:26" x14ac:dyDescent="0.3">
      <c r="L134" s="11"/>
      <c r="Z134" s="11"/>
    </row>
    <row r="135" spans="12:26" x14ac:dyDescent="0.3">
      <c r="L135" s="11"/>
      <c r="Z135" s="11"/>
    </row>
    <row r="136" spans="12:26" x14ac:dyDescent="0.3">
      <c r="L136" s="11"/>
      <c r="Z136" s="11"/>
    </row>
    <row r="137" spans="12:26" x14ac:dyDescent="0.3">
      <c r="L137" s="11"/>
      <c r="Z137" s="11"/>
    </row>
    <row r="138" spans="12:26" x14ac:dyDescent="0.3">
      <c r="L138" s="11"/>
      <c r="Z138" s="11"/>
    </row>
    <row r="139" spans="12:26" x14ac:dyDescent="0.3">
      <c r="L139" s="11"/>
      <c r="Z139" s="11"/>
    </row>
    <row r="140" spans="12:26" x14ac:dyDescent="0.3">
      <c r="L140" s="11"/>
      <c r="Z140" s="11"/>
    </row>
    <row r="141" spans="12:26" x14ac:dyDescent="0.3">
      <c r="L141" s="11"/>
      <c r="Z141" s="11"/>
    </row>
    <row r="142" spans="12:26" x14ac:dyDescent="0.3">
      <c r="L142" s="11"/>
      <c r="Z142" s="11"/>
    </row>
    <row r="143" spans="12:26" x14ac:dyDescent="0.3">
      <c r="L143" s="11"/>
      <c r="Z143" s="11"/>
    </row>
    <row r="144" spans="12:26" x14ac:dyDescent="0.3">
      <c r="L144" s="11"/>
      <c r="Z144" s="11"/>
    </row>
    <row r="145" spans="1:26" x14ac:dyDescent="0.3">
      <c r="L145" s="11"/>
      <c r="Z145" s="11"/>
    </row>
    <row r="146" spans="1:26" x14ac:dyDescent="0.3">
      <c r="L146" s="11"/>
      <c r="Z146" s="11"/>
    </row>
    <row r="147" spans="1:26" x14ac:dyDescent="0.3">
      <c r="L147" s="11"/>
      <c r="Z147" s="11"/>
    </row>
    <row r="148" spans="1:26" x14ac:dyDescent="0.3">
      <c r="L148" s="11"/>
      <c r="Z148" s="11"/>
    </row>
    <row r="149" spans="1:26" x14ac:dyDescent="0.3">
      <c r="L149" s="11"/>
      <c r="Z149" s="11"/>
    </row>
    <row r="150" spans="1:26" x14ac:dyDescent="0.3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x14ac:dyDescent="0.3">
      <c r="L151" s="11"/>
      <c r="Z151" s="11"/>
    </row>
    <row r="152" spans="1:26" x14ac:dyDescent="0.3">
      <c r="L152" s="11"/>
      <c r="Z152" s="11"/>
    </row>
    <row r="153" spans="1:26" x14ac:dyDescent="0.3">
      <c r="L153" s="11"/>
      <c r="Z153" s="11"/>
    </row>
    <row r="154" spans="1:26" x14ac:dyDescent="0.3">
      <c r="L154" s="11"/>
      <c r="Z154" s="11"/>
    </row>
    <row r="155" spans="1:26" x14ac:dyDescent="0.3">
      <c r="L155" s="11"/>
      <c r="Z155" s="11"/>
    </row>
    <row r="156" spans="1:26" x14ac:dyDescent="0.3">
      <c r="L156" s="11"/>
      <c r="Z156" s="11"/>
    </row>
    <row r="157" spans="1:26" x14ac:dyDescent="0.3">
      <c r="L157" s="11"/>
      <c r="Z157" s="11"/>
    </row>
    <row r="158" spans="1:26" x14ac:dyDescent="0.3">
      <c r="L158" s="11"/>
      <c r="Z158" s="11"/>
    </row>
  </sheetData>
  <sheetProtection algorithmName="SHA-512" hashValue="pro71K6Cy7shnZBV6M62YrifIkd5dIs8E0cBuqhzDLBKxtN6NQNKhjbJDohSGNB8QEGt5XeSzncLbH8BFSHH4g==" saltValue="PS4as6pen9UbgPpquTIsrA==" spinCount="100000" sheet="1" objects="1" scenarios="1" formatCells="0" formatColumns="0" formatRows="0"/>
  <hyperlinks>
    <hyperlink ref="K1" location="TOC!A1" display="Return to TOC" xr:uid="{BD6B65B1-32C9-4AB5-A119-53FBFA2DD9E2}"/>
  </hyperlink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W-Fisher_TableL1</vt:lpstr>
      <vt:lpstr>W-Fisher-TableL2</vt:lpstr>
      <vt:lpstr>W-Fisher-TableL3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2022-08-27T11:18:48Z</dcterms:modified>
</cp:coreProperties>
</file>