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183613BC-C8D8-447A-B14D-A46B1B44F168}" xr6:coauthVersionLast="47" xr6:coauthVersionMax="47" xr10:uidLastSave="{00000000-0000-0000-0000-000000000000}"/>
  <bookViews>
    <workbookView xWindow="28680" yWindow="-120" windowWidth="19440" windowHeight="15000" xr2:uid="{99148B98-BE82-4048-BAEB-2AC5CA05D139}"/>
  </bookViews>
  <sheets>
    <sheet name="TOC" sheetId="2" r:id="rId1"/>
    <sheet name="GLM_Basics1" sheetId="1" r:id="rId2"/>
    <sheet name="GLM_Basics2" sheetId="3" r:id="rId3"/>
    <sheet name="GLM_Basics3" sheetId="6" r:id="rId4"/>
    <sheet name="GLM_Basics4" sheetId="4" r:id="rId5"/>
    <sheet name="GLM_Basics5" sheetId="5" r:id="rId6"/>
    <sheet name="GLM_Basics6" sheetId="21" r:id="rId7"/>
    <sheet name="GLM_Basics7" sheetId="15" r:id="rId8"/>
    <sheet name="GLM_Basics8" sheetId="16" r:id="rId9"/>
    <sheet name="GLM_DataPrep1" sheetId="11" r:id="rId10"/>
    <sheet name="GLM_ModelSelection1" sheetId="18" r:id="rId11"/>
    <sheet name="GLM_ModelSelection2" sheetId="22" r:id="rId12"/>
    <sheet name="GLM_Interactions1" sheetId="17" r:id="rId13"/>
    <sheet name="GLM_ModelRefinement1" sheetId="7" r:id="rId14"/>
    <sheet name="GLM_ModelRefinement2" sheetId="8" r:id="rId15"/>
    <sheet name="GLM_ModelRefinement3" sheetId="9" r:id="rId16"/>
    <sheet name="GLM_ModelRefinement4" sheetId="10" r:id="rId17"/>
    <sheet name="GLM_ModelRefinement5" sheetId="14" r:id="rId18"/>
    <sheet name="GLM_ModelRefinement6" sheetId="19" r:id="rId19"/>
    <sheet name="GLM_Validation1" sheetId="12" r:id="rId20"/>
    <sheet name="GLM_Validation2" sheetId="23" r:id="rId21"/>
    <sheet name="GLM_Validation3" sheetId="24" r:id="rId22"/>
    <sheet name="GLM_Validation4" sheetId="25" r:id="rId23"/>
    <sheet name="GLM_Validation5" sheetId="26" r:id="rId2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8" i="19" l="1"/>
  <c r="AB30" i="26"/>
  <c r="AC30" i="26" s="1"/>
  <c r="Y30" i="26"/>
  <c r="S30" i="26"/>
  <c r="AB25" i="26" s="1"/>
  <c r="AC25" i="26" s="1"/>
  <c r="N30" i="26"/>
  <c r="M30" i="26"/>
  <c r="Y29" i="26"/>
  <c r="AB49" i="26" s="1"/>
  <c r="AC49" i="26" s="1"/>
  <c r="S29" i="26"/>
  <c r="N29" i="26"/>
  <c r="M29" i="26"/>
  <c r="Y28" i="26"/>
  <c r="AB48" i="26" s="1"/>
  <c r="AC48" i="26" s="1"/>
  <c r="S28" i="26"/>
  <c r="AB23" i="26" s="1"/>
  <c r="N28" i="26"/>
  <c r="M28" i="26"/>
  <c r="Y27" i="26"/>
  <c r="AB47" i="26" s="1"/>
  <c r="AC47" i="26" s="1"/>
  <c r="S27" i="26"/>
  <c r="N27" i="26"/>
  <c r="M27" i="26"/>
  <c r="Y26" i="26"/>
  <c r="AB46" i="26" s="1"/>
  <c r="AC46" i="26" s="1"/>
  <c r="S26" i="26"/>
  <c r="AB21" i="26" s="1"/>
  <c r="N26" i="26"/>
  <c r="M26" i="26"/>
  <c r="Y25" i="26"/>
  <c r="AB45" i="26" s="1"/>
  <c r="AC45" i="26" s="1"/>
  <c r="W25" i="26"/>
  <c r="S25" i="26"/>
  <c r="N25" i="26"/>
  <c r="M25" i="26"/>
  <c r="AB24" i="26"/>
  <c r="AC24" i="26" s="1"/>
  <c r="Y24" i="26"/>
  <c r="AB44" i="26" s="1"/>
  <c r="AC44" i="26" s="1"/>
  <c r="S24" i="26"/>
  <c r="AB19" i="26" s="1"/>
  <c r="AC19" i="26" s="1"/>
  <c r="N24" i="26"/>
  <c r="M24" i="26"/>
  <c r="AC23" i="26"/>
  <c r="Y23" i="26"/>
  <c r="AB43" i="26" s="1"/>
  <c r="AC43" i="26" s="1"/>
  <c r="W23" i="26"/>
  <c r="S23" i="26"/>
  <c r="N23" i="26"/>
  <c r="M23" i="26"/>
  <c r="AB22" i="26"/>
  <c r="AC22" i="26" s="1"/>
  <c r="Y22" i="26"/>
  <c r="AB42" i="26" s="1"/>
  <c r="AC42" i="26" s="1"/>
  <c r="S22" i="26"/>
  <c r="AB17" i="26" s="1"/>
  <c r="AC17" i="26" s="1"/>
  <c r="N22" i="26"/>
  <c r="M22" i="26"/>
  <c r="AC21" i="26"/>
  <c r="Y21" i="26"/>
  <c r="AB41" i="26" s="1"/>
  <c r="AC41" i="26" s="1"/>
  <c r="S21" i="26"/>
  <c r="AB16" i="26" s="1"/>
  <c r="AC16" i="26" s="1"/>
  <c r="N21" i="26"/>
  <c r="M21" i="26"/>
  <c r="AB20" i="26"/>
  <c r="AC20" i="26" s="1"/>
  <c r="Y20" i="26"/>
  <c r="AB40" i="26" s="1"/>
  <c r="AC40" i="26" s="1"/>
  <c r="S20" i="26"/>
  <c r="AB15" i="26" s="1"/>
  <c r="AC15" i="26" s="1"/>
  <c r="N20" i="26"/>
  <c r="M20" i="26"/>
  <c r="Y19" i="26"/>
  <c r="AB39" i="26" s="1"/>
  <c r="AC39" i="26" s="1"/>
  <c r="S19" i="26"/>
  <c r="N19" i="26"/>
  <c r="M19" i="26"/>
  <c r="AB18" i="26"/>
  <c r="AC18" i="26" s="1"/>
  <c r="Y18" i="26"/>
  <c r="AB38" i="26" s="1"/>
  <c r="AC38" i="26" s="1"/>
  <c r="S18" i="26"/>
  <c r="AB13" i="26" s="1"/>
  <c r="AC13" i="26" s="1"/>
  <c r="N18" i="26"/>
  <c r="M18" i="26"/>
  <c r="Y17" i="26"/>
  <c r="AB37" i="26" s="1"/>
  <c r="AC37" i="26" s="1"/>
  <c r="S17" i="26"/>
  <c r="N17" i="26"/>
  <c r="M17" i="26"/>
  <c r="Y16" i="26"/>
  <c r="AB36" i="26" s="1"/>
  <c r="AC36" i="26" s="1"/>
  <c r="S16" i="26"/>
  <c r="AB11" i="26" s="1"/>
  <c r="AC11" i="26" s="1"/>
  <c r="N16" i="26"/>
  <c r="M16" i="26"/>
  <c r="Y15" i="26"/>
  <c r="AB35" i="26" s="1"/>
  <c r="AC35" i="26" s="1"/>
  <c r="S15" i="26"/>
  <c r="AB10" i="26" s="1"/>
  <c r="AC10" i="26" s="1"/>
  <c r="N15" i="26"/>
  <c r="M15" i="26"/>
  <c r="AB14" i="26"/>
  <c r="AC14" i="26" s="1"/>
  <c r="Y14" i="26"/>
  <c r="AB34" i="26" s="1"/>
  <c r="AC34" i="26" s="1"/>
  <c r="S14" i="26"/>
  <c r="AB9" i="26" s="1"/>
  <c r="N14" i="26"/>
  <c r="M14" i="26"/>
  <c r="Y13" i="26"/>
  <c r="AB33" i="26" s="1"/>
  <c r="AC33" i="26" s="1"/>
  <c r="S13" i="26"/>
  <c r="N13" i="26"/>
  <c r="M13" i="26"/>
  <c r="AB12" i="26"/>
  <c r="AC12" i="26" s="1"/>
  <c r="Y12" i="26"/>
  <c r="AB32" i="26" s="1"/>
  <c r="AC32" i="26" s="1"/>
  <c r="S12" i="26"/>
  <c r="AB7" i="26" s="1"/>
  <c r="N12" i="26"/>
  <c r="M12" i="26"/>
  <c r="Y11" i="26"/>
  <c r="AB31" i="26" s="1"/>
  <c r="AC31" i="26" s="1"/>
  <c r="S11" i="26"/>
  <c r="N11" i="26"/>
  <c r="M11" i="26"/>
  <c r="Y10" i="26"/>
  <c r="S10" i="26"/>
  <c r="AB5" i="26" s="1"/>
  <c r="AC5" i="26" s="1"/>
  <c r="N10" i="26"/>
  <c r="M10" i="26"/>
  <c r="AC9" i="26"/>
  <c r="Y9" i="26"/>
  <c r="AB29" i="26" s="1"/>
  <c r="AC29" i="26" s="1"/>
  <c r="S9" i="26"/>
  <c r="AB4" i="26" s="1"/>
  <c r="AC4" i="26" s="1"/>
  <c r="N9" i="26"/>
  <c r="M9" i="26"/>
  <c r="AB8" i="26"/>
  <c r="AC8" i="26" s="1"/>
  <c r="Y8" i="26"/>
  <c r="AB28" i="26" s="1"/>
  <c r="AC28" i="26" s="1"/>
  <c r="S8" i="26"/>
  <c r="AB3" i="26" s="1"/>
  <c r="AC3" i="26" s="1"/>
  <c r="N8" i="26"/>
  <c r="M8" i="26"/>
  <c r="AC7" i="26"/>
  <c r="Y7" i="26"/>
  <c r="AB27" i="26" s="1"/>
  <c r="AC27" i="26" s="1"/>
  <c r="S7" i="26"/>
  <c r="N7" i="26"/>
  <c r="M7" i="26"/>
  <c r="AB6" i="26"/>
  <c r="AC6" i="26" s="1"/>
  <c r="Y6" i="26"/>
  <c r="AB26" i="26" s="1"/>
  <c r="AC26" i="26" s="1"/>
  <c r="S6" i="26"/>
  <c r="AB1" i="26" s="1"/>
  <c r="AC1" i="26" s="1"/>
  <c r="N6" i="26"/>
  <c r="M6" i="26"/>
  <c r="R14" i="26" s="1"/>
  <c r="AC2" i="26"/>
  <c r="AB2" i="26"/>
  <c r="Y17" i="23"/>
  <c r="Y15" i="23"/>
  <c r="Y14" i="23"/>
  <c r="Y13" i="23"/>
  <c r="Y12" i="23"/>
  <c r="Y11" i="23"/>
  <c r="Y10" i="23"/>
  <c r="Y9" i="23"/>
  <c r="Y8" i="23"/>
  <c r="Y7" i="23"/>
  <c r="Y6" i="23"/>
  <c r="M5" i="7"/>
  <c r="R21" i="26" l="1"/>
  <c r="Q14" i="26"/>
  <c r="X23" i="26"/>
  <c r="R29" i="26"/>
  <c r="S31" i="26"/>
  <c r="R10" i="26"/>
  <c r="X15" i="26"/>
  <c r="W29" i="26"/>
  <c r="R26" i="26"/>
  <c r="X30" i="26"/>
  <c r="X16" i="26"/>
  <c r="Q22" i="26"/>
  <c r="R27" i="26"/>
  <c r="W7" i="26"/>
  <c r="R8" i="26"/>
  <c r="X10" i="26"/>
  <c r="X13" i="26"/>
  <c r="Q18" i="26"/>
  <c r="R22" i="26"/>
  <c r="X25" i="26"/>
  <c r="X26" i="26"/>
  <c r="Q28" i="26"/>
  <c r="X24" i="26"/>
  <c r="W19" i="26"/>
  <c r="W21" i="26"/>
  <c r="R28" i="26"/>
  <c r="X6" i="26"/>
  <c r="X29" i="26"/>
  <c r="Q8" i="26"/>
  <c r="W13" i="26"/>
  <c r="X19" i="26"/>
  <c r="X7" i="26"/>
  <c r="W17" i="26"/>
  <c r="W11" i="26"/>
  <c r="X21" i="26"/>
  <c r="Q24" i="26"/>
  <c r="W9" i="26"/>
  <c r="R20" i="26"/>
  <c r="Q26" i="26"/>
  <c r="X9" i="26"/>
  <c r="R17" i="26"/>
  <c r="R11" i="26"/>
  <c r="X20" i="26"/>
  <c r="Q12" i="26"/>
  <c r="R15" i="26"/>
  <c r="R18" i="26"/>
  <c r="R23" i="26"/>
  <c r="Q6" i="26"/>
  <c r="R9" i="26"/>
  <c r="R12" i="26"/>
  <c r="X14" i="26"/>
  <c r="X17" i="26"/>
  <c r="X22" i="26"/>
  <c r="W27" i="26"/>
  <c r="R6" i="26"/>
  <c r="X8" i="26"/>
  <c r="X11" i="26"/>
  <c r="Q16" i="26"/>
  <c r="R19" i="26"/>
  <c r="R24" i="26"/>
  <c r="X27" i="26"/>
  <c r="X28" i="26"/>
  <c r="Q30" i="26"/>
  <c r="R7" i="26"/>
  <c r="X12" i="26"/>
  <c r="Q10" i="26"/>
  <c r="R13" i="26"/>
  <c r="W15" i="26"/>
  <c r="R16" i="26"/>
  <c r="X18" i="26"/>
  <c r="Q20" i="26"/>
  <c r="R25" i="26"/>
  <c r="R30" i="26"/>
  <c r="W6" i="26"/>
  <c r="Q7" i="26"/>
  <c r="W8" i="26"/>
  <c r="Q9" i="26"/>
  <c r="W10" i="26"/>
  <c r="Q11" i="26"/>
  <c r="W12" i="26"/>
  <c r="Q13" i="26"/>
  <c r="W14" i="26"/>
  <c r="Q15" i="26"/>
  <c r="W16" i="26"/>
  <c r="Q17" i="26"/>
  <c r="W18" i="26"/>
  <c r="Q19" i="26"/>
  <c r="W20" i="26"/>
  <c r="Q21" i="26"/>
  <c r="W22" i="26"/>
  <c r="Q23" i="26"/>
  <c r="W24" i="26"/>
  <c r="Q25" i="26"/>
  <c r="W26" i="26"/>
  <c r="Q27" i="26"/>
  <c r="W28" i="26"/>
  <c r="Q29" i="26"/>
  <c r="W30" i="26"/>
  <c r="R16" i="25"/>
  <c r="P7" i="25"/>
  <c r="P8" i="25" s="1"/>
  <c r="P9" i="25" s="1"/>
  <c r="P10" i="25" s="1"/>
  <c r="P11" i="25" s="1"/>
  <c r="P12" i="25" s="1"/>
  <c r="P13" i="25" s="1"/>
  <c r="P14" i="25" s="1"/>
  <c r="Q6" i="25"/>
  <c r="Q7" i="25" s="1"/>
  <c r="Q8" i="25" s="1"/>
  <c r="Q9" i="25" s="1"/>
  <c r="Q10" i="25" s="1"/>
  <c r="Q11" i="25" s="1"/>
  <c r="Q12" i="25" s="1"/>
  <c r="Q13" i="25" s="1"/>
  <c r="Q14" i="25" s="1"/>
  <c r="P6" i="25"/>
  <c r="L24" i="25"/>
  <c r="L23" i="25"/>
  <c r="L22" i="25"/>
  <c r="L21" i="25"/>
  <c r="L20" i="25"/>
  <c r="L19" i="25"/>
  <c r="L18" i="25"/>
  <c r="L17" i="25"/>
  <c r="L16" i="25"/>
  <c r="L15" i="25"/>
  <c r="L14" i="25"/>
  <c r="L13" i="25"/>
  <c r="L12" i="25"/>
  <c r="L11" i="25"/>
  <c r="L10" i="25"/>
  <c r="L9" i="25"/>
  <c r="L8" i="25"/>
  <c r="L7" i="25"/>
  <c r="L6" i="25"/>
  <c r="L5" i="25"/>
  <c r="O33" i="24"/>
  <c r="P33" i="24"/>
  <c r="O34" i="24"/>
  <c r="P34" i="24"/>
  <c r="O35" i="24"/>
  <c r="P35" i="24"/>
  <c r="O36" i="24"/>
  <c r="P36" i="24"/>
  <c r="O37" i="24"/>
  <c r="P37" i="24"/>
  <c r="O38" i="24"/>
  <c r="P38" i="24"/>
  <c r="O39" i="24"/>
  <c r="P39" i="24"/>
  <c r="O40" i="24"/>
  <c r="P40" i="24"/>
  <c r="O41" i="24"/>
  <c r="P41" i="24"/>
  <c r="P32" i="24"/>
  <c r="P42" i="24" s="1"/>
  <c r="O32" i="24"/>
  <c r="O42" i="24" s="1"/>
  <c r="M33" i="24"/>
  <c r="N33" i="24"/>
  <c r="M34" i="24"/>
  <c r="N34" i="24"/>
  <c r="M35" i="24"/>
  <c r="N35" i="24"/>
  <c r="M36" i="24"/>
  <c r="N36" i="24"/>
  <c r="M37" i="24"/>
  <c r="N37" i="24"/>
  <c r="M38" i="24"/>
  <c r="N38" i="24"/>
  <c r="M39" i="24"/>
  <c r="N39" i="24"/>
  <c r="M40" i="24"/>
  <c r="N40" i="24"/>
  <c r="M41" i="24"/>
  <c r="N41" i="24"/>
  <c r="N32" i="24"/>
  <c r="M32" i="24"/>
  <c r="Z15" i="24"/>
  <c r="Y15" i="24"/>
  <c r="Y6" i="24"/>
  <c r="Z6" i="24"/>
  <c r="Y7" i="24"/>
  <c r="Z7" i="24"/>
  <c r="Y8" i="24"/>
  <c r="Z8" i="24"/>
  <c r="Y9" i="24"/>
  <c r="Z9" i="24"/>
  <c r="Y10" i="24"/>
  <c r="Z10" i="24"/>
  <c r="Y11" i="24"/>
  <c r="Z11" i="24"/>
  <c r="Y12" i="24"/>
  <c r="Z12" i="24"/>
  <c r="Y13" i="24"/>
  <c r="Z13" i="24"/>
  <c r="Y14" i="24"/>
  <c r="Z14" i="24"/>
  <c r="Z5" i="24"/>
  <c r="Y5" i="24"/>
  <c r="V6" i="24"/>
  <c r="W6" i="24"/>
  <c r="X6" i="24"/>
  <c r="V7" i="24"/>
  <c r="W7" i="24"/>
  <c r="X7" i="24"/>
  <c r="V8" i="24"/>
  <c r="W8" i="24"/>
  <c r="X8" i="24"/>
  <c r="V9" i="24"/>
  <c r="W9" i="24"/>
  <c r="X9" i="24"/>
  <c r="V10" i="24"/>
  <c r="W10" i="24"/>
  <c r="X10" i="24"/>
  <c r="V11" i="24"/>
  <c r="W11" i="24"/>
  <c r="X11" i="24"/>
  <c r="V12" i="24"/>
  <c r="W12" i="24"/>
  <c r="X12" i="24"/>
  <c r="V13" i="24"/>
  <c r="W13" i="24"/>
  <c r="X13" i="24"/>
  <c r="V14" i="24"/>
  <c r="W14" i="24"/>
  <c r="X14" i="24"/>
  <c r="X5" i="24"/>
  <c r="W5" i="24"/>
  <c r="V5" i="24"/>
  <c r="T30" i="26" l="1"/>
  <c r="Z29" i="26"/>
  <c r="T28" i="26"/>
  <c r="Z27" i="26"/>
  <c r="Z25" i="26"/>
  <c r="T24" i="26"/>
  <c r="Z23" i="26"/>
  <c r="Z21" i="26"/>
  <c r="T20" i="26"/>
  <c r="Z19" i="26"/>
  <c r="T26" i="26"/>
  <c r="T22" i="26"/>
  <c r="T29" i="26"/>
  <c r="Z22" i="26"/>
  <c r="Z17" i="26"/>
  <c r="Z14" i="26"/>
  <c r="T12" i="26"/>
  <c r="T9" i="26"/>
  <c r="T23" i="26"/>
  <c r="T18" i="26"/>
  <c r="T15" i="26"/>
  <c r="Z7" i="26"/>
  <c r="Z13" i="26"/>
  <c r="Z10" i="26"/>
  <c r="Z20" i="26"/>
  <c r="Z16" i="26"/>
  <c r="Z15" i="26"/>
  <c r="Z28" i="26"/>
  <c r="Z11" i="26"/>
  <c r="T6" i="26"/>
  <c r="Z26" i="26"/>
  <c r="T8" i="26"/>
  <c r="T14" i="26"/>
  <c r="T11" i="26"/>
  <c r="T16" i="26"/>
  <c r="T27" i="26"/>
  <c r="T10" i="26"/>
  <c r="T25" i="26"/>
  <c r="Z30" i="26"/>
  <c r="T21" i="26"/>
  <c r="T17" i="26"/>
  <c r="Z9" i="26"/>
  <c r="Z6" i="26"/>
  <c r="T31" i="26" s="1"/>
  <c r="Z24" i="26"/>
  <c r="Z12" i="26"/>
  <c r="T7" i="26"/>
  <c r="Z18" i="26"/>
  <c r="T13" i="26"/>
  <c r="T19" i="26"/>
  <c r="Z8" i="26"/>
  <c r="M9" i="25"/>
  <c r="M17" i="25"/>
  <c r="M10" i="25"/>
  <c r="M18" i="25"/>
  <c r="M11" i="25"/>
  <c r="M19" i="25"/>
  <c r="M12" i="25"/>
  <c r="M20" i="25"/>
  <c r="M13" i="25"/>
  <c r="M21" i="25"/>
  <c r="M6" i="25"/>
  <c r="M14" i="25"/>
  <c r="M22" i="25"/>
  <c r="M7" i="25"/>
  <c r="M15" i="25"/>
  <c r="M23" i="25"/>
  <c r="M8" i="25"/>
  <c r="M16" i="25"/>
  <c r="M24" i="25"/>
  <c r="M5" i="25"/>
  <c r="R6" i="25" l="1"/>
  <c r="R14" i="25"/>
  <c r="R7" i="25"/>
  <c r="R8" i="25"/>
  <c r="R9" i="25"/>
  <c r="R10" i="25"/>
  <c r="R11" i="25"/>
  <c r="R12" i="25"/>
  <c r="R13" i="25"/>
  <c r="R5" i="25"/>
  <c r="U15" i="24" l="1"/>
  <c r="T15" i="24"/>
  <c r="S15" i="24"/>
  <c r="U6" i="24"/>
  <c r="U7" i="24"/>
  <c r="U8" i="24"/>
  <c r="U9" i="24"/>
  <c r="U10" i="24"/>
  <c r="U11" i="24"/>
  <c r="U12" i="24"/>
  <c r="U13" i="24"/>
  <c r="U14" i="24"/>
  <c r="U5" i="24"/>
  <c r="T6" i="24"/>
  <c r="T7" i="24"/>
  <c r="T8" i="24"/>
  <c r="T9" i="24"/>
  <c r="T10" i="24"/>
  <c r="T11" i="24"/>
  <c r="T12" i="24"/>
  <c r="T13" i="24"/>
  <c r="T14" i="24"/>
  <c r="T5" i="24"/>
  <c r="S6" i="24"/>
  <c r="S7" i="24"/>
  <c r="S8" i="24"/>
  <c r="S9" i="24"/>
  <c r="S10" i="24"/>
  <c r="S11" i="24"/>
  <c r="S12" i="24"/>
  <c r="S13" i="24"/>
  <c r="S14" i="24"/>
  <c r="S5" i="24"/>
  <c r="R6" i="24"/>
  <c r="R7" i="24" s="1"/>
  <c r="R8" i="24" s="1"/>
  <c r="R9" i="24" s="1"/>
  <c r="R10" i="24" s="1"/>
  <c r="R11" i="24" s="1"/>
  <c r="R12" i="24" s="1"/>
  <c r="R13" i="24" s="1"/>
  <c r="R14" i="24" s="1"/>
  <c r="Q6" i="24"/>
  <c r="Q7" i="24" s="1"/>
  <c r="Q8" i="24" s="1"/>
  <c r="Q9" i="24" s="1"/>
  <c r="Q10" i="24" s="1"/>
  <c r="Q11" i="24" s="1"/>
  <c r="Q12" i="24" s="1"/>
  <c r="Q13" i="24" s="1"/>
  <c r="Q14" i="24" s="1"/>
  <c r="N6" i="24"/>
  <c r="N7" i="24"/>
  <c r="N8" i="24"/>
  <c r="N9" i="24"/>
  <c r="N10" i="24"/>
  <c r="N11" i="24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5" i="24"/>
  <c r="M6" i="24"/>
  <c r="M7" i="24"/>
  <c r="M8" i="24"/>
  <c r="M9" i="24"/>
  <c r="M10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5" i="24"/>
  <c r="X19" i="23"/>
  <c r="X17" i="23"/>
  <c r="X15" i="23"/>
  <c r="X14" i="23"/>
  <c r="X13" i="23"/>
  <c r="X12" i="23"/>
  <c r="X11" i="23"/>
  <c r="X10" i="23"/>
  <c r="X9" i="23"/>
  <c r="X8" i="23"/>
  <c r="X7" i="23"/>
  <c r="X6" i="23"/>
  <c r="Q8" i="23"/>
  <c r="Q9" i="23" s="1"/>
  <c r="Q10" i="23" s="1"/>
  <c r="Q11" i="23" s="1"/>
  <c r="Q12" i="23" s="1"/>
  <c r="Q13" i="23" s="1"/>
  <c r="Q14" i="23" s="1"/>
  <c r="Q15" i="23" s="1"/>
  <c r="R8" i="23"/>
  <c r="R9" i="23" s="1"/>
  <c r="R10" i="23" s="1"/>
  <c r="R11" i="23" s="1"/>
  <c r="R12" i="23" s="1"/>
  <c r="R13" i="23" s="1"/>
  <c r="R14" i="23" s="1"/>
  <c r="R15" i="23" s="1"/>
  <c r="R7" i="23"/>
  <c r="Q7" i="23"/>
  <c r="N25" i="23" l="1"/>
  <c r="N17" i="23"/>
  <c r="N9" i="23"/>
  <c r="M22" i="23"/>
  <c r="N22" i="23"/>
  <c r="N24" i="23"/>
  <c r="N16" i="23"/>
  <c r="N8" i="23"/>
  <c r="N23" i="23"/>
  <c r="N7" i="23"/>
  <c r="N15" i="23"/>
  <c r="M9" i="23"/>
  <c r="N21" i="23"/>
  <c r="N13" i="23"/>
  <c r="M17" i="23"/>
  <c r="N12" i="23"/>
  <c r="M25" i="23"/>
  <c r="N20" i="23"/>
  <c r="N10" i="23"/>
  <c r="M16" i="23"/>
  <c r="N11" i="23"/>
  <c r="N19" i="23"/>
  <c r="M23" i="23"/>
  <c r="M15" i="23"/>
  <c r="M7" i="23"/>
  <c r="M24" i="23"/>
  <c r="M8" i="23"/>
  <c r="M21" i="23"/>
  <c r="N6" i="23"/>
  <c r="N14" i="23"/>
  <c r="M12" i="23"/>
  <c r="N18" i="23"/>
  <c r="M13" i="23"/>
  <c r="M20" i="23"/>
  <c r="M6" i="23"/>
  <c r="M18" i="23"/>
  <c r="M10" i="23"/>
  <c r="M11" i="23"/>
  <c r="M19" i="23"/>
  <c r="M14" i="23"/>
  <c r="L43" i="21"/>
  <c r="K39" i="21"/>
  <c r="L35" i="21"/>
  <c r="K36" i="21" s="1"/>
  <c r="U15" i="23" l="1"/>
  <c r="U14" i="23"/>
  <c r="U13" i="23"/>
  <c r="U12" i="23"/>
  <c r="U11" i="23"/>
  <c r="U10" i="23"/>
  <c r="U6" i="23"/>
  <c r="U9" i="23"/>
  <c r="U8" i="23"/>
  <c r="U7" i="23"/>
  <c r="V15" i="23"/>
  <c r="V11" i="23"/>
  <c r="V7" i="23"/>
  <c r="V13" i="23"/>
  <c r="V8" i="23"/>
  <c r="V12" i="23"/>
  <c r="V14" i="23"/>
  <c r="V10" i="23"/>
  <c r="V9" i="23"/>
  <c r="V6" i="23"/>
  <c r="T15" i="23"/>
  <c r="T7" i="23"/>
  <c r="T14" i="23"/>
  <c r="T13" i="23"/>
  <c r="T11" i="23"/>
  <c r="T9" i="23"/>
  <c r="T8" i="23"/>
  <c r="T12" i="23"/>
  <c r="T10" i="23"/>
  <c r="T6" i="23"/>
  <c r="S14" i="23"/>
  <c r="W14" i="23" s="1"/>
  <c r="S12" i="23"/>
  <c r="W12" i="23" s="1"/>
  <c r="S15" i="23"/>
  <c r="W15" i="23" s="1"/>
  <c r="S11" i="23"/>
  <c r="S7" i="23"/>
  <c r="W7" i="23" s="1"/>
  <c r="S10" i="23"/>
  <c r="S13" i="23"/>
  <c r="W13" i="23" s="1"/>
  <c r="S8" i="23"/>
  <c r="W8" i="23" s="1"/>
  <c r="S9" i="23"/>
  <c r="S6" i="23"/>
  <c r="W6" i="23" s="1"/>
  <c r="M24" i="19"/>
  <c r="M12" i="19"/>
  <c r="W11" i="23" l="1"/>
  <c r="W9" i="23"/>
  <c r="W10" i="23"/>
  <c r="W19" i="23"/>
  <c r="L13" i="18"/>
  <c r="P12" i="18"/>
  <c r="L4" i="18"/>
  <c r="L5" i="18" s="1"/>
  <c r="K12" i="17"/>
  <c r="K9" i="17"/>
  <c r="L18" i="17"/>
  <c r="L4" i="17"/>
  <c r="K6" i="17" s="1"/>
  <c r="W17" i="23" l="1"/>
  <c r="L10" i="18"/>
  <c r="L7" i="18"/>
  <c r="M15" i="18" s="1"/>
  <c r="L19" i="17"/>
  <c r="M21" i="17" s="1"/>
  <c r="K10" i="17"/>
  <c r="K13" i="17"/>
  <c r="J6" i="16"/>
  <c r="K6" i="16"/>
  <c r="J7" i="16"/>
  <c r="K7" i="16"/>
  <c r="J8" i="16"/>
  <c r="K8" i="16"/>
  <c r="J9" i="16"/>
  <c r="K9" i="16"/>
  <c r="K5" i="16"/>
  <c r="J5" i="16"/>
  <c r="O14" i="15" l="1"/>
  <c r="O11" i="15"/>
  <c r="O8" i="15"/>
  <c r="L9" i="15" s="1"/>
  <c r="N4" i="15"/>
  <c r="N3" i="15"/>
  <c r="N2" i="15"/>
  <c r="L11" i="14"/>
  <c r="L15" i="15" l="1"/>
  <c r="L12" i="15"/>
  <c r="R17" i="12" l="1"/>
  <c r="R16" i="12"/>
  <c r="Q17" i="12"/>
  <c r="Q16" i="12"/>
  <c r="N17" i="12"/>
  <c r="N16" i="12"/>
  <c r="M17" i="12"/>
  <c r="M16" i="12"/>
  <c r="O12" i="12"/>
  <c r="N12" i="12"/>
  <c r="M12" i="12"/>
  <c r="O11" i="12"/>
  <c r="N11" i="12"/>
  <c r="M11" i="12"/>
  <c r="O10" i="12"/>
  <c r="N10" i="12"/>
  <c r="M10" i="12"/>
  <c r="O9" i="12"/>
  <c r="N9" i="12"/>
  <c r="M9" i="12"/>
  <c r="O8" i="12"/>
  <c r="N8" i="12"/>
  <c r="M8" i="12"/>
  <c r="O7" i="12"/>
  <c r="N7" i="12"/>
  <c r="M7" i="12"/>
  <c r="O6" i="12"/>
  <c r="N6" i="12"/>
  <c r="M6" i="12"/>
  <c r="O5" i="12"/>
  <c r="N5" i="12"/>
  <c r="M5" i="12"/>
  <c r="O4" i="12"/>
  <c r="N4" i="12"/>
  <c r="M4" i="12"/>
  <c r="N3" i="12"/>
  <c r="O3" i="12"/>
  <c r="M3" i="12"/>
  <c r="N26" i="12" l="1"/>
  <c r="M26" i="12"/>
  <c r="N27" i="12"/>
  <c r="M27" i="12"/>
  <c r="M7" i="10" l="1"/>
  <c r="M11" i="10"/>
  <c r="L10" i="10"/>
  <c r="L6" i="10"/>
  <c r="N4" i="9"/>
  <c r="L3" i="9"/>
  <c r="L17" i="8" l="1"/>
  <c r="L16" i="8"/>
  <c r="M12" i="8"/>
  <c r="L9" i="8"/>
  <c r="P3" i="8"/>
  <c r="M7" i="7"/>
  <c r="L10" i="6"/>
  <c r="L9" i="6"/>
  <c r="L8" i="6"/>
  <c r="L7" i="6"/>
  <c r="K9" i="5"/>
  <c r="J6" i="5"/>
  <c r="K10" i="5" s="1"/>
  <c r="K3" i="5"/>
  <c r="K2" i="5"/>
  <c r="L4" i="3" l="1"/>
  <c r="L7" i="3" s="1"/>
  <c r="K7" i="1"/>
  <c r="K6" i="1"/>
  <c r="K5" i="1"/>
  <c r="K4" i="1"/>
</calcChain>
</file>

<file path=xl/sharedStrings.xml><?xml version="1.0" encoding="utf-8"?>
<sst xmlns="http://schemas.openxmlformats.org/spreadsheetml/2006/main" count="1170" uniqueCount="810">
  <si>
    <t>Problem Set 1 – Solutions</t>
  </si>
  <si>
    <t>Question</t>
  </si>
  <si>
    <t>Sheet</t>
  </si>
  <si>
    <t>Type</t>
  </si>
  <si>
    <t>Exam 8: GLM</t>
  </si>
  <si>
    <t>Reading:</t>
  </si>
  <si>
    <t>Return to TOC</t>
  </si>
  <si>
    <t>Solution</t>
  </si>
  <si>
    <t>Model:</t>
  </si>
  <si>
    <t>Problem Type:</t>
  </si>
  <si>
    <t>Given</t>
  </si>
  <si>
    <t>2012 Exam 8 Q2</t>
  </si>
  <si>
    <t>Set up the GLM equation</t>
  </si>
  <si>
    <t>A private passenger auto insurance company orders a report whenever</t>
  </si>
  <si>
    <t>it writes a policy, showing what other insurance the policyholder has</t>
  </si>
  <si>
    <t>purchased. The following table shows claim frequencies (per 100 earned</t>
  </si>
  <si>
    <t>car-years) for bodily injury liability coverage, split by whether the</t>
  </si>
  <si>
    <t xml:space="preserve">policyholder has a homeowners policy and whether the policyholder </t>
  </si>
  <si>
    <t>had a prior auto policy:</t>
  </si>
  <si>
    <t>Policy</t>
  </si>
  <si>
    <t>Yes</t>
  </si>
  <si>
    <t>No</t>
  </si>
  <si>
    <t>Homeowners Policy</t>
  </si>
  <si>
    <t>Prior Auto</t>
  </si>
  <si>
    <t xml:space="preserve">The table does not include the experience of policyholders with </t>
  </si>
  <si>
    <t>missing data.</t>
  </si>
  <si>
    <t>a.) Specify the following structural components of a generalized linear</t>
  </si>
  <si>
    <t>model that estimates frequencies for this book of business:</t>
  </si>
  <si>
    <t>i.) Error distribution</t>
  </si>
  <si>
    <t>ii.) Link function</t>
  </si>
  <si>
    <t>iii.) Vector of responses</t>
  </si>
  <si>
    <t>iv.) Vector of model parameters</t>
  </si>
  <si>
    <t>v.) Design matrix</t>
  </si>
  <si>
    <t>b.) Describe how the missing data may cause problems for the company</t>
  </si>
  <si>
    <t>in developing the model, and suggest a solution.</t>
  </si>
  <si>
    <t>a.)</t>
  </si>
  <si>
    <t>i.) We're modeling claim frequency so a Poisson (or a negative binomial) distribution would be appropriate.</t>
  </si>
  <si>
    <t>ii.) The log-link function would be a good choice.</t>
  </si>
  <si>
    <t xml:space="preserve">iii.) </t>
  </si>
  <si>
    <t>This is the vector of responses</t>
  </si>
  <si>
    <t>iv.)</t>
  </si>
  <si>
    <t>b0</t>
  </si>
  <si>
    <t>b1</t>
  </si>
  <si>
    <t>b2</t>
  </si>
  <si>
    <t>← Intercept</t>
  </si>
  <si>
    <t>← Prior Auto</t>
  </si>
  <si>
    <t>← Prior Homeowners</t>
  </si>
  <si>
    <t>This is the vector of model parameters</t>
  </si>
  <si>
    <t>v.)</t>
  </si>
  <si>
    <t>This is the design matrix</t>
  </si>
  <si>
    <t>b.) Missing data can lead to convergence issues, produce confusing results, or make it difficult to compare results.</t>
  </si>
  <si>
    <t>For example, if a variable is added to the model which has records with missing values then the number of records</t>
  </si>
  <si>
    <t>on which the model is built decreases. This prevents a direct comparison from being made.</t>
  </si>
  <si>
    <t>One possible solution is replacing the missing values with an inferred value such as the median or average value.</t>
  </si>
  <si>
    <t>GLM.Basics</t>
  </si>
  <si>
    <t>Find</t>
  </si>
  <si>
    <t>2012 Exam 8 Q4</t>
  </si>
  <si>
    <t>Calculate the renewal probability using logistic regression.</t>
  </si>
  <si>
    <t>An actuary has historical information relating to customer retention.</t>
  </si>
  <si>
    <t>A logistic model was used to estimate the probability of renewal for a</t>
  </si>
  <si>
    <t>given customer. The two variables determined to be significant were</t>
  </si>
  <si>
    <t>the size of rate change and number of phone calls the insured made to</t>
  </si>
  <si>
    <t>the company.</t>
  </si>
  <si>
    <t>The parameter estimates were determined to be as follows:</t>
  </si>
  <si>
    <t>Rate Change</t>
  </si>
  <si>
    <t>Decrease to 3.9% increase</t>
  </si>
  <si>
    <t>4.0% to 6.9% increase</t>
  </si>
  <si>
    <t>Increase of 7.0% or more</t>
  </si>
  <si>
    <t>Parameter</t>
  </si>
  <si>
    <t>Number of Phone Calls in Past Year</t>
  </si>
  <si>
    <t>2+</t>
  </si>
  <si>
    <t>Intercept</t>
  </si>
  <si>
    <t>a.) Calculate the renewal probability for a customer who has a 7% rate</t>
  </si>
  <si>
    <t>increase and called the company twice in the past year.</t>
  </si>
  <si>
    <t xml:space="preserve">b.) The company needs policyholder retention to be above 78% to </t>
  </si>
  <si>
    <t xml:space="preserve">maintain growth and expense ratio goals. A possible strategy is to add </t>
  </si>
  <si>
    <t>the number of phone calls to the classification plan and use the model</t>
  </si>
  <si>
    <t>results to determine the rate increase.</t>
  </si>
  <si>
    <t>Construct an argument either in favor of or against the strategy above,</t>
  </si>
  <si>
    <t>describing two reasons for that position.</t>
  </si>
  <si>
    <t>ln(u/(1-u)) =</t>
  </si>
  <si>
    <t>Solve for u</t>
  </si>
  <si>
    <t>renewal probability</t>
  </si>
  <si>
    <t>b.)</t>
  </si>
  <si>
    <t>The question feels structured towards arguing against the strategy but I'll provide a solution for each way</t>
  </si>
  <si>
    <t>Against</t>
  </si>
  <si>
    <t>• Including the number of phone calls in the classification plan allows the insured to manipulate their</t>
  </si>
  <si>
    <t>rate. If they know they are charged more when they call in then they may refrain from calling in so they</t>
  </si>
  <si>
    <t>get a lower rate even though their underlying risk profile hasn't changed.</t>
  </si>
  <si>
    <t xml:space="preserve">• The variable is likely to lack predictive stability as the same insured likely makes a different number </t>
  </si>
  <si>
    <t>of calls to the insurer each year.</t>
  </si>
  <si>
    <t>For</t>
  </si>
  <si>
    <t xml:space="preserve">• There are expenses associated with staffing call centers. Including the number of phone calls in the classification plan </t>
  </si>
  <si>
    <t>will better allocate those costs to risks.</t>
  </si>
  <si>
    <t>• The variable is likely acceptable to the general public as there is a reasonable relationship between the number of calls</t>
  </si>
  <si>
    <t>made and the expenses incurred by the insurer.</t>
  </si>
  <si>
    <t>2014 Exam 8 Q3</t>
  </si>
  <si>
    <t>The random component of a generalized linear model must come from</t>
  </si>
  <si>
    <t>the exponential family of distributions.</t>
  </si>
  <si>
    <t xml:space="preserve">The variance of a distribution from the exponential family can be </t>
  </si>
  <si>
    <t>expressed using the following formula:</t>
  </si>
  <si>
    <r>
      <t xml:space="preserve">a.) Define the parameters </t>
    </r>
    <r>
      <rPr>
        <sz val="11"/>
        <color theme="1"/>
        <rFont val="Calibri"/>
        <family val="2"/>
      </rPr>
      <t>φ and ω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 xml:space="preserve"> in the formula above.</t>
    </r>
  </si>
  <si>
    <t>b.) For each of the data sets below, identify the error distribution that</t>
  </si>
  <si>
    <t>should be used to model the data. Briefly explain why that error</t>
  </si>
  <si>
    <t>distribution is appropriate.</t>
  </si>
  <si>
    <t>i.) Severity</t>
  </si>
  <si>
    <t>ii.) Policy Renewal Retention</t>
  </si>
  <si>
    <t>c.) For each of the error distributions in part b.) above, provide an</t>
  </si>
  <si>
    <t>modeled.</t>
  </si>
  <si>
    <r>
      <t xml:space="preserve">example of how </t>
    </r>
    <r>
      <rPr>
        <sz val="11"/>
        <color theme="1"/>
        <rFont val="Calibri"/>
        <family val="2"/>
      </rPr>
      <t>ω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 xml:space="preserve"> should be assigned for the type of data being </t>
    </r>
  </si>
  <si>
    <t>φ is the dispersion parameter. It is constant for all records in the data set and is used to scale the variance.</t>
  </si>
  <si>
    <r>
      <t>ω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 xml:space="preserve"> is the weight assigned to the i</t>
    </r>
    <r>
      <rPr>
        <vertAlign val="superscript"/>
        <sz val="11"/>
        <color theme="1"/>
        <rFont val="Calibri"/>
        <family val="2"/>
      </rPr>
      <t>th</t>
    </r>
    <r>
      <rPr>
        <sz val="11"/>
        <color theme="1"/>
        <rFont val="Calibri"/>
        <family val="2"/>
      </rPr>
      <t xml:space="preserve"> record in the data set.</t>
    </r>
  </si>
  <si>
    <t>i.) Severity - use a gamma distribution as claims tend to be small but have a large right tail. This also only produces positive outcomes which is logical.</t>
  </si>
  <si>
    <t>ii.) Policy Renewal Retention - use a binomial distribution because a policy either renews or it doesn't - a binomial distribution models yes/no outcomes.</t>
  </si>
  <si>
    <t>c.)</t>
  </si>
  <si>
    <t>i.) A severity model should use the claim counts as the weights.</t>
  </si>
  <si>
    <t>ii.) A retention model should use the number of policies up for renewal as the weights.</t>
  </si>
  <si>
    <t>Understanding the components of a GLM</t>
  </si>
  <si>
    <t>2015 Exam S Q34</t>
  </si>
  <si>
    <t>The following information about a model for vehicle claim counts by</t>
  </si>
  <si>
    <t>policy.</t>
  </si>
  <si>
    <t>• The error distribution is Poisson and the model has a log-link function.</t>
  </si>
  <si>
    <t>• The model uses two categorical explanatory variables:</t>
  </si>
  <si>
    <t>○ Number of Youthful Drivers, and</t>
  </si>
  <si>
    <t>○ Number of Adult Drivers</t>
  </si>
  <si>
    <t>Coefficient</t>
  </si>
  <si>
    <t>Determine the predicted claim counts and associated variance</t>
  </si>
  <si>
    <t>• The following model output was produced:</t>
  </si>
  <si>
    <t>Number of Youthful Drivers: 1</t>
  </si>
  <si>
    <t>Number of Adult Drivers: 2</t>
  </si>
  <si>
    <t>Dispersion</t>
  </si>
  <si>
    <t>a.) Calculate the predicted claim count for a policy with one adult driver</t>
  </si>
  <si>
    <t>and one youthful driver.</t>
  </si>
  <si>
    <t>ln(u) =</t>
  </si>
  <si>
    <t xml:space="preserve">u = </t>
  </si>
  <si>
    <t xml:space="preserve">b.) Calculate the variance associated with the predicted claim count from </t>
  </si>
  <si>
    <t>part a.) above</t>
  </si>
  <si>
    <t>Variance =</t>
  </si>
  <si>
    <t>c.) Interpret your results from parts a.) and b.) above.</t>
  </si>
  <si>
    <t>mean =</t>
  </si>
  <si>
    <t>std dev =</t>
  </si>
  <si>
    <t>Policies with one adult driver and one youthful driver have a Poisson claim count distribution with</t>
  </si>
  <si>
    <t>2013 Exam 8 Q2</t>
  </si>
  <si>
    <t>Number of Claims</t>
  </si>
  <si>
    <t>Gender</t>
  </si>
  <si>
    <t>Territory A</t>
  </si>
  <si>
    <t>Territory B</t>
  </si>
  <si>
    <t>Male</t>
  </si>
  <si>
    <t>Female</t>
  </si>
  <si>
    <t>Number of Exposures</t>
  </si>
  <si>
    <r>
      <t xml:space="preserve">average frequency for males,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is the average frequency for Territory A, </t>
    </r>
  </si>
  <si>
    <r>
      <t xml:space="preserve">The model will include three parameters: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>, 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, and  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>, where 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 xml:space="preserve"> is the </t>
    </r>
  </si>
  <si>
    <r>
      <t>and  β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is an intercept.</t>
    </r>
  </si>
  <si>
    <t>a.) Define the design matrix (X).</t>
  </si>
  <si>
    <t>b.) Define the vector of responses (Y).</t>
  </si>
  <si>
    <t>d.) The actuary determines that the analysis results would be improved by</t>
  </si>
  <si>
    <t xml:space="preserve">assuming a Poisson error structure with a log link function. </t>
  </si>
  <si>
    <t>Identify two reasons this structure may better suit this data.</t>
  </si>
  <si>
    <t>Set up and solve the GLM equation</t>
  </si>
  <si>
    <t>An actuary at a private passenger auto insurance company wishes to use a</t>
  </si>
  <si>
    <t>generalized linear model to create an auto frequency model using the</t>
  </si>
  <si>
    <t>data below.</t>
  </si>
  <si>
    <r>
      <t xml:space="preserve">c.) Assuming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= 0.35, solve a generalized linear model with a normal</t>
    </r>
  </si>
  <si>
    <r>
      <t xml:space="preserve">error structure and identity link function for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>.</t>
    </r>
  </si>
  <si>
    <t xml:space="preserve">X = </t>
  </si>
  <si>
    <t>Y =</t>
  </si>
  <si>
    <t>← Male, Territory A</t>
  </si>
  <si>
    <t>← Male, Territory B</t>
  </si>
  <si>
    <t>← Female, Territory A</t>
  </si>
  <si>
    <t>← Female, Territory B</t>
  </si>
  <si>
    <t>GLM Equations</t>
  </si>
  <si>
    <r>
      <t>0.4 = 0*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+ 1*β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+ 1*β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+ ε</t>
    </r>
    <r>
      <rPr>
        <vertAlign val="subscript"/>
        <sz val="11"/>
        <color theme="1"/>
        <rFont val="Calibri"/>
        <family val="2"/>
      </rPr>
      <t>3</t>
    </r>
  </si>
  <si>
    <r>
      <t>0.6 = 1*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+ 0*β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+ 1*β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+ ε</t>
    </r>
    <r>
      <rPr>
        <vertAlign val="subscript"/>
        <sz val="11"/>
        <color theme="1"/>
        <rFont val="Calibri"/>
        <family val="2"/>
      </rPr>
      <t>2</t>
    </r>
  </si>
  <si>
    <r>
      <t>0.5 = 1*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+ 1*β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+ 1*β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+ ε</t>
    </r>
    <r>
      <rPr>
        <vertAlign val="subscript"/>
        <sz val="11"/>
        <color theme="1"/>
        <rFont val="Calibri"/>
        <family val="2"/>
      </rPr>
      <t>1</t>
    </r>
  </si>
  <si>
    <r>
      <t>0.35 = 0*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+ 0*β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+ 1*β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+ ε</t>
    </r>
    <r>
      <rPr>
        <vertAlign val="subscript"/>
        <sz val="11"/>
        <color theme="1"/>
        <rFont val="Calibri"/>
        <family val="2"/>
      </rPr>
      <t>4</t>
    </r>
  </si>
  <si>
    <r>
      <t xml:space="preserve">Note: The </t>
    </r>
    <r>
      <rPr>
        <sz val="11"/>
        <color theme="1"/>
        <rFont val="Calibri"/>
        <family val="2"/>
      </rPr>
      <t>ε terms are the error terms</t>
    </r>
  </si>
  <si>
    <r>
      <t xml:space="preserve">We're told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= 0.35 so the fourth equation yields ε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= 0</t>
    </r>
  </si>
  <si>
    <t>We get the following expressions for the other error terms</t>
  </si>
  <si>
    <r>
      <t>ε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= 0.25 - β</t>
    </r>
    <r>
      <rPr>
        <vertAlign val="subscript"/>
        <sz val="11"/>
        <color theme="1"/>
        <rFont val="Calibri"/>
        <family val="2"/>
      </rPr>
      <t>1</t>
    </r>
  </si>
  <si>
    <r>
      <t>ε</t>
    </r>
    <r>
      <rPr>
        <vertAlign val="sub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 xml:space="preserve"> = 0.05 - β</t>
    </r>
    <r>
      <rPr>
        <vertAlign val="subscript"/>
        <sz val="11"/>
        <color theme="1"/>
        <rFont val="Calibri"/>
        <family val="2"/>
      </rPr>
      <t>2</t>
    </r>
  </si>
  <si>
    <t>The GLM solution minimizes the sum of the squared errors</t>
  </si>
  <si>
    <r>
      <t>ε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= 0.15 - 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- β</t>
    </r>
    <r>
      <rPr>
        <vertAlign val="subscript"/>
        <sz val="11"/>
        <color theme="1"/>
        <rFont val="Calibri"/>
        <family val="2"/>
      </rPr>
      <t>2</t>
    </r>
  </si>
  <si>
    <r>
      <t>SSE = (0.15 - β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- β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+ (0.25 - β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+ (0.05 - β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</si>
  <si>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>To minimize, differentiate and solve where this equals 0.</t>
  </si>
  <si>
    <r>
      <t>dSSE / d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=</t>
    </r>
  </si>
  <si>
    <r>
      <t xml:space="preserve">2(0.15 -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- 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) *(-1) + 2(0.25 - β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)*(-1)</t>
    </r>
  </si>
  <si>
    <t>→</t>
  </si>
  <si>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= 0.2 - 0.5β</t>
    </r>
    <r>
      <rPr>
        <vertAlign val="subscript"/>
        <sz val="11"/>
        <color theme="1"/>
        <rFont val="Calibri"/>
        <family val="2"/>
      </rPr>
      <t>2</t>
    </r>
  </si>
  <si>
    <r>
      <t>dSSE / d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=</t>
    </r>
  </si>
  <si>
    <r>
      <t xml:space="preserve">2(0.15 -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- 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) *(-1) + 2(0.05 - β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)*(-1)</t>
    </r>
  </si>
  <si>
    <r>
      <t>β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 xml:space="preserve"> = 0.1 - 0.5β</t>
    </r>
    <r>
      <rPr>
        <vertAlign val="subscript"/>
        <sz val="11"/>
        <color theme="1"/>
        <rFont val="Calibri"/>
        <family val="2"/>
      </rPr>
      <t>1</t>
    </r>
  </si>
  <si>
    <t>Substituting the second equation into the first yields</t>
  </si>
  <si>
    <r>
      <t>β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= 0.2</t>
    </r>
  </si>
  <si>
    <t>d.)</t>
  </si>
  <si>
    <t>1.) Frequency is non-negative. A normal distribution may produce negative values but a Poisson distribution won't.</t>
  </si>
  <si>
    <t xml:space="preserve">2.) A normal distribution assumes fixed variance but a Poisson distribution allows the variance to </t>
  </si>
  <si>
    <t>increases with the mean (more weight given to observations with more exposures).</t>
  </si>
  <si>
    <t>2015 Exam S Q 36</t>
  </si>
  <si>
    <t>The following information for two potential logistic models used to predict the</t>
  </si>
  <si>
    <t>occurrence of a claim:</t>
  </si>
  <si>
    <t>Model 1</t>
  </si>
  <si>
    <t>AIC</t>
  </si>
  <si>
    <t>Vehicle Value ($000s)</t>
  </si>
  <si>
    <t>Gender: Male</t>
  </si>
  <si>
    <t>Model 2</t>
  </si>
  <si>
    <t>• AIC is used to select the most appropriate model.</t>
  </si>
  <si>
    <t>Use AIC to choose the best model.</t>
  </si>
  <si>
    <t>The model with the lowest AIC value is the best model.</t>
  </si>
  <si>
    <t>u =</t>
  </si>
  <si>
    <t>a.) Calculate the probability of a claim for a male policyholder with a vehicle value</t>
  </si>
  <si>
    <t>b.) Identify an issue with the chosen model.</t>
  </si>
  <si>
    <t>of $300,000 by using the selected model.</t>
  </si>
  <si>
    <r>
      <t xml:space="preserve">If </t>
    </r>
    <r>
      <rPr>
        <b/>
        <sz val="11"/>
        <color theme="1"/>
        <rFont val="Calibri"/>
        <family val="2"/>
        <scheme val="minor"/>
      </rPr>
      <t>Model 2</t>
    </r>
    <r>
      <rPr>
        <sz val="11"/>
        <color theme="1"/>
        <rFont val="Calibri"/>
        <family val="2"/>
        <scheme val="minor"/>
      </rPr>
      <t xml:space="preserve"> was chosen:</t>
    </r>
  </si>
  <si>
    <r>
      <t xml:space="preserve">If </t>
    </r>
    <r>
      <rPr>
        <b/>
        <sz val="11"/>
        <color theme="1"/>
        <rFont val="Calibri"/>
        <family val="2"/>
        <scheme val="minor"/>
      </rPr>
      <t>Model 1</t>
    </r>
    <r>
      <rPr>
        <sz val="11"/>
        <color theme="1"/>
        <rFont val="Calibri"/>
        <family val="2"/>
        <scheme val="minor"/>
      </rPr>
      <t xml:space="preserve"> was chosen:</t>
    </r>
  </si>
  <si>
    <r>
      <t xml:space="preserve">So use </t>
    </r>
    <r>
      <rPr>
        <b/>
        <sz val="11"/>
        <color theme="1"/>
        <rFont val="Calibri"/>
        <family val="2"/>
      </rPr>
      <t>Model 1</t>
    </r>
  </si>
  <si>
    <t>2015 Exam S Q38</t>
  </si>
  <si>
    <t>Calculate the number of observations in the model.</t>
  </si>
  <si>
    <t>You are testing the addition of a new categorical variable into an existing GLM.</t>
  </si>
  <si>
    <t>You are given the following information:</t>
  </si>
  <si>
    <t>The change in model scaled deviance after adding the new variable</t>
  </si>
  <si>
    <t>The change in AIC after adding the new variable</t>
  </si>
  <si>
    <t>The change in BIC after adding the new variable</t>
  </si>
  <si>
    <t>Number of parameters in the model prior to adding the new variable</t>
  </si>
  <si>
    <t>The change in scaled deviance equals - 2 * change in log-likelihood.</t>
  </si>
  <si>
    <t>2 * log-likelihood(old) - 2 * log-likelihood(new) =</t>
  </si>
  <si>
    <t>AIC(old) - AIC(new) = [2 * log-likelihood(old) - 2* # parameter (old)] - [2 * log-likelihood(new) - 2* # parameter (old + x)]</t>
  </si>
  <si>
    <t>where x is the number of new degrees of freedom (parameters added).</t>
  </si>
  <si>
    <t>These equations yield -47 = -53 - 30 + 30 + 2x</t>
  </si>
  <si>
    <t>x =</t>
  </si>
  <si>
    <t>BIC = -2 * log-likelihood + p*ln(n) where n is the number of observations in the model.</t>
  </si>
  <si>
    <t>p = 15 + x =</t>
  </si>
  <si>
    <t>BIC(old) - BIC(new) = [-2 * log-likelihood(old) + 15*ln(n)] - [-2 * log-likelihood(new) + 18*ln(n)]</t>
  </si>
  <si>
    <t>This yields -32 = -53 + 3ln(n)</t>
  </si>
  <si>
    <t>So ln(n) =</t>
  </si>
  <si>
    <t>n =</t>
  </si>
  <si>
    <t>So there are 1,097 observations in the model</t>
  </si>
  <si>
    <t>GLM.ModelRefinement</t>
  </si>
  <si>
    <t>2016 Exam 8 Q6</t>
  </si>
  <si>
    <t>Producing a renewal model from an existing model.</t>
  </si>
  <si>
    <t>An actuary has constructed a three-variable Tweedie GLM with a log-link function</t>
  </si>
  <si>
    <t>to estimate loss ratios for commercial property new business. The actuary wants</t>
  </si>
  <si>
    <t>to create a second model for renewal business that will include all of the variables</t>
  </si>
  <si>
    <t>from the new business model, plus a variable for the prior year claim count.</t>
  </si>
  <si>
    <t>The actuary requires that the coefficients of the variables (Average Building Age,</t>
  </si>
  <si>
    <t>log(Manual Premium), and Location Count) are consistent between the new and</t>
  </si>
  <si>
    <t>renewal models. The fitted new business model parameters are as follows:</t>
  </si>
  <si>
    <t>Variable</t>
  </si>
  <si>
    <t>Name</t>
  </si>
  <si>
    <t>Estimate</t>
  </si>
  <si>
    <t>Average Building Age (Years)</t>
  </si>
  <si>
    <t>intercept</t>
  </si>
  <si>
    <t>log(Manual Premium)</t>
  </si>
  <si>
    <t>age</t>
  </si>
  <si>
    <t>Location Count</t>
  </si>
  <si>
    <t>logprem</t>
  </si>
  <si>
    <t>loccnt</t>
  </si>
  <si>
    <t xml:space="preserve">a.) Calculate the modeled loss ratio for a new business policy with a manual </t>
  </si>
  <si>
    <t>premium of $25,000, an average building age of four years, and having eight</t>
  </si>
  <si>
    <t>locations.</t>
  </si>
  <si>
    <t>b.) Briefly describe how to produce the renewal business model, and specify</t>
  </si>
  <si>
    <t>the resulting equation for the renewal business modeled loss ratio.</t>
  </si>
  <si>
    <t>c.) Identify and briefly describe two techniques that the actuary can use to assess</t>
  </si>
  <si>
    <t>the stability of the new variable in the renewal business model.</t>
  </si>
  <si>
    <r>
      <t>ln(</t>
    </r>
    <r>
      <rPr>
        <sz val="11"/>
        <color theme="1"/>
        <rFont val="Calibri"/>
        <family val="2"/>
      </rPr>
      <t>μ) = 0.91 + 0.013*4 + -0.187*ln(25000) + 0.062*8</t>
    </r>
  </si>
  <si>
    <t xml:space="preserve">ln(μ) = </t>
  </si>
  <si>
    <r>
      <t xml:space="preserve">The modelled loss ratio, </t>
    </r>
    <r>
      <rPr>
        <sz val="11"/>
        <color theme="1"/>
        <rFont val="Calibri"/>
        <family val="2"/>
      </rPr>
      <t>μ, is</t>
    </r>
  </si>
  <si>
    <t>The renewal model may be written as</t>
  </si>
  <si>
    <r>
      <t>ln(</t>
    </r>
    <r>
      <rPr>
        <sz val="11"/>
        <color theme="1"/>
        <rFont val="Calibri"/>
        <family val="2"/>
      </rPr>
      <t>μ) = β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</rPr>
      <t xml:space="preserve"> + 0.013*(age) + -0.187*(logprem) + 0.062*(loccnt) + β</t>
    </r>
    <r>
      <rPr>
        <vertAlign val="subscript"/>
        <sz val="11"/>
        <color theme="1"/>
        <rFont val="Calibri"/>
        <family val="2"/>
      </rPr>
      <t>4</t>
    </r>
    <r>
      <rPr>
        <sz val="11"/>
        <color theme="1"/>
        <rFont val="Calibri"/>
        <family val="2"/>
      </rPr>
      <t>*(priorYears)</t>
    </r>
  </si>
  <si>
    <r>
      <t xml:space="preserve">To produce the renewal model we need to estimate the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4</t>
    </r>
    <r>
      <rPr>
        <sz val="11"/>
        <color theme="1"/>
        <rFont val="Calibri"/>
        <family val="2"/>
      </rPr>
      <t xml:space="preserve"> parameter and </t>
    </r>
  </si>
  <si>
    <r>
      <t xml:space="preserve">re-estimate the intercept, </t>
    </r>
    <r>
      <rPr>
        <sz val="11"/>
        <color theme="1"/>
        <rFont val="Calibri"/>
        <family val="2"/>
      </rPr>
      <t>β</t>
    </r>
    <r>
      <rPr>
        <vertAlign val="subscript"/>
        <sz val="11"/>
        <color theme="1"/>
        <rFont val="Calibri"/>
        <family val="2"/>
      </rPr>
      <t>0</t>
    </r>
    <r>
      <rPr>
        <sz val="11"/>
        <color theme="1"/>
        <rFont val="Calibri"/>
        <family val="2"/>
      </rPr>
      <t>.</t>
    </r>
  </si>
  <si>
    <r>
      <rPr>
        <b/>
        <sz val="11"/>
        <color theme="1"/>
        <rFont val="Calibri"/>
        <family val="2"/>
        <scheme val="minor"/>
      </rPr>
      <t>Cross-validation</t>
    </r>
    <r>
      <rPr>
        <sz val="11"/>
        <color theme="1"/>
        <rFont val="Calibri"/>
        <family val="2"/>
        <scheme val="minor"/>
      </rPr>
      <t>: Split the data into k parts, run the model on (k-1) parts and then</t>
    </r>
  </si>
  <si>
    <t>validate the result on the kth part. Iterate k times and compare how similar the</t>
  </si>
  <si>
    <t>estimates are across the k iterations to assess the variable stability.</t>
  </si>
  <si>
    <r>
      <rPr>
        <b/>
        <sz val="11"/>
        <color theme="1"/>
        <rFont val="Calibri"/>
        <family val="2"/>
        <scheme val="minor"/>
      </rPr>
      <t>Cook's Distance</t>
    </r>
    <r>
      <rPr>
        <sz val="11"/>
        <color theme="1"/>
        <rFont val="Calibri"/>
        <family val="2"/>
        <scheme val="minor"/>
      </rPr>
      <t>: Sort the observations in the data set according to their Cook's</t>
    </r>
  </si>
  <si>
    <t>Distance value (higher values have more influence on the model). Systematically</t>
  </si>
  <si>
    <t>remove some of the more influential observations and re-run the model to</t>
  </si>
  <si>
    <t>see if the estimated parameters change significantly.</t>
  </si>
  <si>
    <t>e.)</t>
  </si>
  <si>
    <t>Any TWO of:</t>
  </si>
  <si>
    <r>
      <t>Bootstrapping:</t>
    </r>
    <r>
      <rPr>
        <sz val="11"/>
        <color theme="1"/>
        <rFont val="Calibri"/>
        <family val="2"/>
        <scheme val="minor"/>
      </rPr>
      <t xml:space="preserve"> Create multiple datasets from the initial train data set by sampling with replacement.</t>
    </r>
  </si>
  <si>
    <t>Run the model (with the same specification) on each sample data set. Assess the stability of the</t>
  </si>
  <si>
    <t>coefficient estimates by comparing the results from each run. You can compute standard errors,</t>
  </si>
  <si>
    <t>means and confidence intervals for the each variable.</t>
  </si>
  <si>
    <r>
      <t>Validation on Holdout Data Set:</t>
    </r>
    <r>
      <rPr>
        <sz val="11"/>
        <color theme="1"/>
        <rFont val="Calibri"/>
        <family val="2"/>
        <scheme val="minor"/>
      </rPr>
      <t xml:space="preserve"> Split the data into train and test. Run the model on the train and</t>
    </r>
  </si>
  <si>
    <t>validate on test data by comparing variable fit. The models should produce similar results.</t>
  </si>
  <si>
    <r>
      <t>Time Consistency:</t>
    </r>
    <r>
      <rPr>
        <sz val="11"/>
        <color theme="1"/>
        <rFont val="Calibri"/>
        <family val="2"/>
        <scheme val="minor"/>
      </rPr>
      <t xml:space="preserve"> Review the results of the model by accident year to assess stability over time.</t>
    </r>
  </si>
  <si>
    <t>2016 Exam 8 Q7</t>
  </si>
  <si>
    <t>A company is considering modifying its rating plan to include factors by age</t>
  </si>
  <si>
    <t>group. Below are statistics for the base model and for the new model.</t>
  </si>
  <si>
    <t>Statistic</t>
  </si>
  <si>
    <t>Base Model</t>
  </si>
  <si>
    <t>New Model</t>
  </si>
  <si>
    <t>Log-likelihood</t>
  </si>
  <si>
    <t>Deviance</t>
  </si>
  <si>
    <t>Parameters</t>
  </si>
  <si>
    <t>Data points</t>
  </si>
  <si>
    <t xml:space="preserve">a.) Calculate the Akaike Information Criterion (AIC) and the Bayesian </t>
  </si>
  <si>
    <t>Information Criterion (BIC) for both models.</t>
  </si>
  <si>
    <t xml:space="preserve">b.) Explain whether AIC or BIC is a more reliable test statistic as an indicator </t>
  </si>
  <si>
    <t>of whether to adopt the new model.</t>
  </si>
  <si>
    <t>c.) Recommend and briefly justify whether to adopt the new model.</t>
  </si>
  <si>
    <t>AIC = -2*log-likelihood + 2*(# parameters)</t>
  </si>
  <si>
    <t>BIC = -2*log-likelihood + p*ln(n)</t>
  </si>
  <si>
    <t>Base model</t>
  </si>
  <si>
    <t>AIC = -2*(-750) + 2*10 =</t>
  </si>
  <si>
    <t xml:space="preserve">BIC = -2*(-750) + 10*ln(1,000,000) = </t>
  </si>
  <si>
    <t>AIC = -2*(-737.5) + 2*15 =</t>
  </si>
  <si>
    <t>BIC = -2*(-737.5) + 15*ln(1,000,000) =</t>
  </si>
  <si>
    <t>The BIC measure penalizes more when there are a large number of data points as is the case here.</t>
  </si>
  <si>
    <t xml:space="preserve">The AIC measure is generally preferred in this situation as BIC may cause predictive variables to be </t>
  </si>
  <si>
    <t>excluded.</t>
  </si>
  <si>
    <t>The AIC for the new model is lower than the AIC for the base model. Therefore, adopt the new model.</t>
  </si>
  <si>
    <t>Calculate AIC, BIC, and determine the best model.</t>
  </si>
  <si>
    <t>2017 Exam 8 Q4</t>
  </si>
  <si>
    <t>Evaluate the model's performance</t>
  </si>
  <si>
    <t>An actuary has split data into training and test groups for a model. The chart below shows</t>
  </si>
  <si>
    <t>the relationship between model performance and model complexity. Model performance</t>
  </si>
  <si>
    <t>is represented by model error and model complexity is represented by degrees of freedom.</t>
  </si>
  <si>
    <t>complexity and performance.</t>
  </si>
  <si>
    <t xml:space="preserve">   i. Model iteration 1: 10 degrees of freedom</t>
  </si>
  <si>
    <t xml:space="preserve">  ii. Model iteration 2: 60 degrees of freedom</t>
  </si>
  <si>
    <t xml:space="preserve"> iii. Model iteration 3: 100 degrees of freedom</t>
  </si>
  <si>
    <t>rather than by random assignment.</t>
  </si>
  <si>
    <t>a.) Briefly describe two reasons for splitting modeling data into training and test groups.</t>
  </si>
  <si>
    <t>b.) Briefly describe whether each of the following model iterations has an optimal balance of</t>
  </si>
  <si>
    <t>c.) Identify and briefly describe one situation where it is an advantage to split the data by time</t>
  </si>
  <si>
    <t>• To prevent overfitting. As more parameters are added to the model, the fit on the training</t>
  </si>
  <si>
    <t>data set always improves. The test data set may not improve, indicating the model is being</t>
  </si>
  <si>
    <t>fit to noise in the training data set instead.</t>
  </si>
  <si>
    <t>• To measure the predictive power of the model. If we try to assess the model on the training</t>
  </si>
  <si>
    <t>data set it will be too optimistic of its performance.</t>
  </si>
  <si>
    <t xml:space="preserve">   i. The model isn't optimal because the model error is relatively high for both the train and test</t>
  </si>
  <si>
    <t xml:space="preserve">       datasets, and we can increase the degrees of freedom in the model and have both model errors decrease.</t>
  </si>
  <si>
    <t xml:space="preserve">  ii. The model is optimal because the model error on the test data set is at its lowest.</t>
  </si>
  <si>
    <t xml:space="preserve"> iii. The model is overfitted to the training data set because although the model error is lowest</t>
  </si>
  <si>
    <t xml:space="preserve">       for the train data set, the model error on the test data set has increased again.</t>
  </si>
  <si>
    <t>When the data is impacted by a large weather event (such as a hurricane). Splitting the data</t>
  </si>
  <si>
    <t>by time keeps the event in either the train or the test data set. This prevents producing an</t>
  </si>
  <si>
    <t>overly optimistic view of the model using the test set when losses from the same underlying</t>
  </si>
  <si>
    <t>cause are present in both the train and test data sets.</t>
  </si>
  <si>
    <t>2017 Exam 8 Q6</t>
  </si>
  <si>
    <t>A logistic model was built to predict the probability of a claim being fraudulent. Consider the</t>
  </si>
  <si>
    <t xml:space="preserve">predicted probabilities for the 10 claims below to be a representative sample of the total </t>
  </si>
  <si>
    <t>model.</t>
  </si>
  <si>
    <t>Claim Number</t>
  </si>
  <si>
    <t>Actual Fraud Indicator</t>
  </si>
  <si>
    <t>Predicted Probability of Fraud</t>
  </si>
  <si>
    <t>Y</t>
  </si>
  <si>
    <t>N</t>
  </si>
  <si>
    <t>business with low frequency and high severity.</t>
  </si>
  <si>
    <t>instead of 0.50.</t>
  </si>
  <si>
    <t>a.) Construct confusion matrices for discrimination thresholds of 0.50 and 0.25.</t>
  </si>
  <si>
    <t xml:space="preserve">c.) Describe an advantage and a disadvantage of selecting a discrimination threshold of 0.25 </t>
  </si>
  <si>
    <t>d.) Describe whether a discrimination threshold of 0.25 or 0.50 is more appropriate for a line of</t>
  </si>
  <si>
    <t>Claim</t>
  </si>
  <si>
    <t>Actual</t>
  </si>
  <si>
    <t>Confusion Matrix at 0.50</t>
  </si>
  <si>
    <t>Confusion Matrix at 0.25</t>
  </si>
  <si>
    <t>Predicted</t>
  </si>
  <si>
    <t>The ROC curve has the sensitivity on the y-axis and the false positive rate on the x-axis.</t>
  </si>
  <si>
    <t>Sensitivity = TP / (TP + FN)</t>
  </si>
  <si>
    <t>Specificity = TN / (TN + FP)</t>
  </si>
  <si>
    <t>False Positive Rate = 1 - Specificity</t>
  </si>
  <si>
    <t>Threshold</t>
  </si>
  <si>
    <t>x-coord</t>
  </si>
  <si>
    <t>y-coord</t>
  </si>
  <si>
    <t>An advantage of a lower threshold is we correctly identify more of the fraudulent claims.</t>
  </si>
  <si>
    <t>A disadvantage of a lower threshold is we will flag more non-fraudulent claims as potentially fraudulent,</t>
  </si>
  <si>
    <t>so more time will be spent investigating.</t>
  </si>
  <si>
    <t>A threshold of 0.25 is more appropriate because the high severity means the cost of not</t>
  </si>
  <si>
    <t>investigating a fraudulent claim is high. The low frequency means there will not be</t>
  </si>
  <si>
    <t>many claims to begin with, so flagging more claims as potentially fraudulent will not</t>
  </si>
  <si>
    <t>drastically increase the workload yet will result in correctly identifying more fraud.</t>
  </si>
  <si>
    <t xml:space="preserve">b.) Produce a table of coordinates for the Receiver Operating Characteristic (ROC) curve using </t>
  </si>
  <si>
    <t xml:space="preserve">discrimination thresholds of 1, 0.50, 0.25, and 0. Describe the quantities which are plotted on </t>
  </si>
  <si>
    <t>each axis of the ROC curve.</t>
  </si>
  <si>
    <t>Produce confusion matrices for a logistic model.</t>
  </si>
  <si>
    <r>
      <t>Bin the Variable</t>
    </r>
    <r>
      <rPr>
        <sz val="11"/>
        <color theme="1"/>
        <rFont val="Calibri"/>
        <family val="2"/>
        <scheme val="minor"/>
      </rPr>
      <t>: We could create categorical variables by grouping together ages that have</t>
    </r>
  </si>
  <si>
    <t>similar residuals. For instance creating groups for "15-25", "26-80" and "81+" captures the broad</t>
  </si>
  <si>
    <t>pattern of the residuals without the individual variability.</t>
  </si>
  <si>
    <r>
      <t>Piecewise Linear Functions:</t>
    </r>
    <r>
      <rPr>
        <sz val="11"/>
        <color theme="1"/>
        <rFont val="Calibri"/>
        <family val="2"/>
        <scheme val="minor"/>
      </rPr>
      <t xml:space="preserve"> We could use hinge functions to fit piecewise linear functions to the residuals.</t>
    </r>
  </si>
  <si>
    <t>This captures the different slopes of the residuals and allows for interpolation to give greater</t>
  </si>
  <si>
    <t>rating refinement. In this case we can use hinge points at 25 and 75 years old.</t>
  </si>
  <si>
    <t>Not all bins may contain sufficient data to produce credible estimates of the coefficients or produce stable predictions.</t>
  </si>
  <si>
    <t>The hinge points must be chosen by manual inspection. This is time consuming and subject to</t>
  </si>
  <si>
    <t>judgment so may not be optimal.</t>
  </si>
  <si>
    <t>2018 Exam 8 Q5</t>
  </si>
  <si>
    <t>Analyze the partial residual plot</t>
  </si>
  <si>
    <t>2018 Exam 8 Q6</t>
  </si>
  <si>
    <t>Model</t>
  </si>
  <si>
    <t>Saturated</t>
  </si>
  <si>
    <t>A</t>
  </si>
  <si>
    <t>B</t>
  </si>
  <si>
    <t>Log-Likelihood</t>
  </si>
  <si>
    <t>Estimated Dispersion Parameter</t>
  </si>
  <si>
    <t>• Driver age is fit using a second-order polynomial.</t>
  </si>
  <si>
    <t>• The critical value to be used from the F-distribution is 19.5.</t>
  </si>
  <si>
    <t xml:space="preserve">An actuary is comparing the output of two generalized linear models to develop a </t>
  </si>
  <si>
    <t>new rating plan for personal auto. Model statistics are shown below:</t>
  </si>
  <si>
    <t xml:space="preserve">• Model A is a nested model of Model B, where Model B has an additional variable </t>
  </si>
  <si>
    <t xml:space="preserve">   for driver age.</t>
  </si>
  <si>
    <t>b.) Describe why the deviance statistic alone should not be used to assess model fit.</t>
  </si>
  <si>
    <t xml:space="preserve">a.) Using two statistical tests, recommend whether or not driver age should be </t>
  </si>
  <si>
    <t>included in the rating plan.</t>
  </si>
  <si>
    <t xml:space="preserve">F-Test and AIC </t>
  </si>
  <si>
    <t>F-Test</t>
  </si>
  <si>
    <t>The F-statistic is</t>
  </si>
  <si>
    <t>is the estimated dispersion parameter for the larger model (model B)</t>
  </si>
  <si>
    <r>
      <t>D denotes the deviance of the model and is given by D = 2*(ll</t>
    </r>
    <r>
      <rPr>
        <vertAlign val="subscript"/>
        <sz val="11"/>
        <color theme="1"/>
        <rFont val="Calibri"/>
        <family val="2"/>
        <scheme val="minor"/>
      </rPr>
      <t>sat</t>
    </r>
    <r>
      <rPr>
        <sz val="11"/>
        <color theme="1"/>
        <rFont val="Calibri"/>
        <family val="2"/>
        <scheme val="minor"/>
      </rPr>
      <t xml:space="preserve"> - ll</t>
    </r>
    <r>
      <rPr>
        <vertAlign val="subscript"/>
        <sz val="11"/>
        <color theme="1"/>
        <rFont val="Calibri"/>
        <family val="2"/>
        <scheme val="minor"/>
      </rPr>
      <t>model</t>
    </r>
    <r>
      <rPr>
        <sz val="11"/>
        <color theme="1"/>
        <rFont val="Calibri"/>
        <family val="2"/>
        <scheme val="minor"/>
      </rPr>
      <t>)</t>
    </r>
  </si>
  <si>
    <t>where ll stands for log-likelihood.</t>
  </si>
  <si>
    <t>Model B adds the Driver Age variable which is a 2nd order polynomial. This adds 2 parameters</t>
  </si>
  <si>
    <r>
      <t xml:space="preserve">(the coefficient for </t>
    </r>
    <r>
      <rPr>
        <i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and the coefficient for </t>
    </r>
    <r>
      <rPr>
        <i/>
        <sz val="11"/>
        <color theme="1"/>
        <rFont val="Calibri"/>
        <family val="2"/>
        <scheme val="minor"/>
      </rPr>
      <t>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</si>
  <si>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&gt; 19.5 which is the critical value.</t>
  </si>
  <si>
    <t xml:space="preserve">Here, F = </t>
  </si>
  <si>
    <t>So we reject the null hypothesis and accept model B.</t>
  </si>
  <si>
    <r>
      <t>AIC = -2ll</t>
    </r>
    <r>
      <rPr>
        <vertAlign val="subscript"/>
        <sz val="11"/>
        <color theme="1"/>
        <rFont val="Calibri"/>
        <family val="2"/>
        <scheme val="minor"/>
      </rPr>
      <t>model</t>
    </r>
    <r>
      <rPr>
        <sz val="11"/>
        <color theme="1"/>
        <rFont val="Calibri"/>
        <family val="2"/>
        <scheme val="minor"/>
      </rPr>
      <t xml:space="preserve"> + 2p</t>
    </r>
  </si>
  <si>
    <t>Here p is the number of parameters in the model, which is unknown.</t>
  </si>
  <si>
    <r>
      <t>We have AIC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= -2(-1500) +2p</t>
    </r>
    <r>
      <rPr>
        <vertAlign val="subscript"/>
        <sz val="11"/>
        <color theme="1"/>
        <rFont val="Calibri"/>
        <family val="2"/>
        <scheme val="minor"/>
      </rPr>
      <t>S</t>
    </r>
  </si>
  <si>
    <r>
      <t>and AIC</t>
    </r>
    <r>
      <rPr>
        <vertAlign val="sub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= -2(-1465) +2(p</t>
    </r>
    <r>
      <rPr>
        <vertAlign val="sub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+ 2)</t>
    </r>
  </si>
  <si>
    <r>
      <t>because p</t>
    </r>
    <r>
      <rPr>
        <vertAlign val="sub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= p</t>
    </r>
    <r>
      <rPr>
        <vertAlign val="sub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+ 2 for the 2nd degree polynomial added for Driver Age.</t>
    </r>
  </si>
  <si>
    <r>
      <t>Thus, AIC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- AIC</t>
    </r>
    <r>
      <rPr>
        <vertAlign val="sub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= 66 &gt; 0 which implies model B is better because it has the smaller AIC value.</t>
    </r>
  </si>
  <si>
    <t>Both the F-Test and AIC test imply model B is the better model. Therefore, include driver age</t>
  </si>
  <si>
    <t>in the rating plan.</t>
  </si>
  <si>
    <t>The deviance statistic shouldn't be used by itself because adding more variables to the model</t>
  </si>
  <si>
    <t>will always decrease the deviance even though the model may become overfit to the training data (lose predictiveness).</t>
  </si>
  <si>
    <t>2018 Exam 8 Q7</t>
  </si>
  <si>
    <t xml:space="preserve">An actuary is planning to add a credit-based insurance score to a model that estimates the </t>
  </si>
  <si>
    <t>Given the following:</t>
  </si>
  <si>
    <t xml:space="preserve">   • The current model (without the insurance score variable) is a logit-link binomial GLM</t>
  </si>
  <si>
    <t xml:space="preserve">      (logistic regression).</t>
  </si>
  <si>
    <t xml:space="preserve">   • The logit link function is defined as</t>
  </si>
  <si>
    <t xml:space="preserve">   • The insurance score is a continuous variable having a value between 1 and 100.</t>
  </si>
  <si>
    <t>Fitted Probability</t>
  </si>
  <si>
    <t>Insurance</t>
  </si>
  <si>
    <t>Policy Number</t>
  </si>
  <si>
    <t>Without Insurance Score</t>
  </si>
  <si>
    <t>Score</t>
  </si>
  <si>
    <t>Parameter Estimate</t>
  </si>
  <si>
    <t>Insurance Score</t>
  </si>
  <si>
    <t xml:space="preserve">     i. the logit function</t>
  </si>
  <si>
    <t xml:space="preserve">    ii. the logistic function</t>
  </si>
  <si>
    <t>(re)fitting all variables.</t>
  </si>
  <si>
    <t xml:space="preserve">probability of a policy having a claim. The actuary has decided to offset all of the current </t>
  </si>
  <si>
    <t>model variables before fitting the new variable.</t>
  </si>
  <si>
    <t xml:space="preserve">   • The current fitted values and insurance score for three policies as well as regression </t>
  </si>
  <si>
    <t xml:space="preserve">       results from the fit of the insurance score variable are given below:</t>
  </si>
  <si>
    <t>a.) Calculate the offset term to be used in the regression for each of the three policies above.</t>
  </si>
  <si>
    <t>b.) Calculate the revised fitted probability of having a claim for each of the three policies above.</t>
  </si>
  <si>
    <t>c.) Identify the range of:</t>
  </si>
  <si>
    <t>d.) Briefly explain why logistic regression is often used to model probabilities.</t>
  </si>
  <si>
    <t>e.) Identify and briefly describe one situation in which the use of an offset is preferable to</t>
  </si>
  <si>
    <t>Policy 1</t>
  </si>
  <si>
    <t>ln( 1.3% / [1 - 1.3%]) =</t>
  </si>
  <si>
    <t>Policy 2</t>
  </si>
  <si>
    <t>ln( 20.3% / [1 - 20.3%]) =</t>
  </si>
  <si>
    <t>Policy 3</t>
  </si>
  <si>
    <t>ln( 2.5% / [1 - 2.5%]) =</t>
  </si>
  <si>
    <t>ln( u / [1 -  u]) = -0.02 * 78 + 1.25 + -4.330 =</t>
  </si>
  <si>
    <t>so u =</t>
  </si>
  <si>
    <t>ln( u / [1 -  u]) = -0.02 * 92 + 1.25 + -1.368 =</t>
  </si>
  <si>
    <t>ln( u / [1 -  u]) = -0.02 * 35 + 1.25 + -3.664 =</t>
  </si>
  <si>
    <r>
      <t>Logit function has range (-</t>
    </r>
    <r>
      <rPr>
        <sz val="11"/>
        <color theme="1"/>
        <rFont val="Calibri"/>
        <family val="2"/>
      </rPr>
      <t>ꚙ, ꚙ)</t>
    </r>
  </si>
  <si>
    <t>Logistic function has range (0, 1)</t>
  </si>
  <si>
    <t>The logistic function is often used to model probabilities because it takes any number</t>
  </si>
  <si>
    <t>between negative infinity and infinity, and maps it to a unique value between 0 and 1.</t>
  </si>
  <si>
    <t>Since this is the same range as probabilities, this is a natural mapping.</t>
  </si>
  <si>
    <t>A GLM often produces illogical results when estimation relativities for deductibles or increased limits.</t>
  </si>
  <si>
    <t>This is due to selection effects, such as underwriters not offering higher limits or low deductibles</t>
  </si>
  <si>
    <t>to riskier insureds.</t>
  </si>
  <si>
    <t>The deductible and ILF relativities should be calculated outside of the GLM and then brought</t>
  </si>
  <si>
    <t>into the GLM by offsetting the relativities.</t>
  </si>
  <si>
    <t>Exploring logistic regression</t>
  </si>
  <si>
    <t>Source Text</t>
  </si>
  <si>
    <t>Offset increased limits factors</t>
  </si>
  <si>
    <t>Limit</t>
  </si>
  <si>
    <t>Relativity</t>
  </si>
  <si>
    <t xml:space="preserve">An actuary is building a GLM with a log-link function for a rating plan </t>
  </si>
  <si>
    <t xml:space="preserve">and wants to include the increased limits relativities that they have </t>
  </si>
  <si>
    <t>estimated from a separate analysis.</t>
  </si>
  <si>
    <t>Determine the appropriate offset term for each limit.</t>
  </si>
  <si>
    <t>Since the model uses a log-link function we need to match its scale by taking the natural log of each relativity.</t>
  </si>
  <si>
    <t>Offset</t>
  </si>
  <si>
    <t>Source text</t>
  </si>
  <si>
    <t>Calculate the premium for the given risk</t>
  </si>
  <si>
    <t>Territory:2</t>
  </si>
  <si>
    <t>Territory:3</t>
  </si>
  <si>
    <t>Territory:4</t>
  </si>
  <si>
    <t>VehicleAge:&lt; 10 Years</t>
  </si>
  <si>
    <t>(Intercept)</t>
  </si>
  <si>
    <t>Territory:2, VehicleAge:&lt; 10 Years</t>
  </si>
  <si>
    <t>Territory:3, VehicleAge:&lt; 10 Years</t>
  </si>
  <si>
    <t>Territory:4, VehicleAge:&lt; 10 Years</t>
  </si>
  <si>
    <t>The company has the following expense information:</t>
  </si>
  <si>
    <t>Profit provision</t>
  </si>
  <si>
    <t>UW expense</t>
  </si>
  <si>
    <t xml:space="preserve">• Loss adjustment expenses were included in the modeling data set </t>
  </si>
  <si>
    <t>and are reflected in the pure premium.</t>
  </si>
  <si>
    <t>The base class is a risk in territory 1 with a vehicle age 10 years or older.</t>
  </si>
  <si>
    <t>The GLM indicates</t>
  </si>
  <si>
    <t xml:space="preserve">You are given the following output from a pure premium GLM used to </t>
  </si>
  <si>
    <t>We must load this for the expense and profit provisions.</t>
  </si>
  <si>
    <t xml:space="preserve">Premium </t>
  </si>
  <si>
    <t>GLM</t>
  </si>
  <si>
    <t>Premium</t>
  </si>
  <si>
    <t>a.) Determine the premium for:</t>
  </si>
  <si>
    <t>ii.) A vehicle aged 5 years old in territory 2</t>
  </si>
  <si>
    <t>iii.) A vehicle aged 3 years old in territory 4</t>
  </si>
  <si>
    <t>b.) Calculate the percent change in their premium.</t>
  </si>
  <si>
    <t>i.)</t>
  </si>
  <si>
    <t>ii.)</t>
  </si>
  <si>
    <t>iii.)</t>
  </si>
  <si>
    <t>i.) A vehicle aged 9 years old in territory 1</t>
  </si>
  <si>
    <t xml:space="preserve">At their next annual renewal, the owner of the vehicle in part a.) i.) </t>
  </si>
  <si>
    <t xml:space="preserve">above moves to Territory 3. </t>
  </si>
  <si>
    <t>Insurer XYZ writes annual Private Passenger Automobile policies.</t>
  </si>
  <si>
    <t>model their Comprehensive coverage:</t>
  </si>
  <si>
    <t>Since one year has elapsed and only annual policies are written, we know the vehicle is now</t>
  </si>
  <si>
    <t>10 years old.</t>
  </si>
  <si>
    <t xml:space="preserve">New GLM </t>
  </si>
  <si>
    <t>New Premium</t>
  </si>
  <si>
    <t>% Change in Premium</t>
  </si>
  <si>
    <t>as the pure premium for a risk in territory 1 with vehicle age &lt; 10 years old.</t>
  </si>
  <si>
    <t>p-value</t>
  </si>
  <si>
    <t>c.) Assuming a 5% significance level, discuss whether the model could</t>
  </si>
  <si>
    <t>potentially be improved.</t>
  </si>
  <si>
    <t>All parameters except for Territory:3, VehicleAge:&lt;10 Years have p-values &lt; 0.05.</t>
  </si>
  <si>
    <t>The model could potentially be improved by grouping the vehicles with age &lt; 10 years</t>
  </si>
  <si>
    <t>that are in territories 1 and 3.</t>
  </si>
  <si>
    <t xml:space="preserve">An actuary is building a GLM to model Homeowner Liability claim severity using </t>
  </si>
  <si>
    <t>Log(Age of Home)</t>
  </si>
  <si>
    <t>Dogs Present</t>
  </si>
  <si>
    <r>
      <t>the following three variables:</t>
    </r>
    <r>
      <rPr>
        <i/>
        <sz val="11"/>
        <color theme="1"/>
        <rFont val="Calibri"/>
        <family val="2"/>
        <scheme val="minor"/>
      </rPr>
      <t xml:space="preserve"> Territory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, and </t>
    </r>
    <r>
      <rPr>
        <i/>
        <sz val="11"/>
        <color theme="1"/>
        <rFont val="Calibri"/>
        <family val="2"/>
        <scheme val="minor"/>
      </rPr>
      <t>Dogs Present</t>
    </r>
    <r>
      <rPr>
        <sz val="11"/>
        <color theme="1"/>
        <rFont val="Calibri"/>
        <family val="2"/>
        <scheme val="minor"/>
      </rPr>
      <t>.</t>
    </r>
  </si>
  <si>
    <r>
      <t xml:space="preserve">• </t>
    </r>
    <r>
      <rPr>
        <i/>
        <sz val="11"/>
        <color theme="1"/>
        <rFont val="Calibri"/>
        <family val="2"/>
        <scheme val="minor"/>
      </rPr>
      <t>Dogs Present</t>
    </r>
    <r>
      <rPr>
        <sz val="11"/>
        <color theme="1"/>
        <rFont val="Calibri"/>
        <family val="2"/>
        <scheme val="minor"/>
      </rPr>
      <t xml:space="preserve"> is a binary variable.</t>
    </r>
  </si>
  <si>
    <t>GLM.ModelSelection</t>
  </si>
  <si>
    <t>GLM.Interactions</t>
  </si>
  <si>
    <t>Calculate and analyze the partial residuals</t>
  </si>
  <si>
    <t>• The GLM uses a log-link function.</t>
  </si>
  <si>
    <r>
      <t>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u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=</t>
    </r>
  </si>
  <si>
    <r>
      <t>u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=</t>
    </r>
  </si>
  <si>
    <r>
      <t>ln(u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 =</t>
    </r>
  </si>
  <si>
    <r>
      <t xml:space="preserve">a.) Calculate the partial residual for the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 variable for an insured in </t>
    </r>
  </si>
  <si>
    <t xml:space="preserve">Territory 2, with a 20 year old  home and 2 dogs. </t>
  </si>
  <si>
    <t>Their actual claim severity is:</t>
  </si>
  <si>
    <t>g'(u) = 1 / u</t>
  </si>
  <si>
    <t xml:space="preserve">g'(u) = </t>
  </si>
  <si>
    <r>
      <t xml:space="preserve">We're looking at the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>variable so b</t>
    </r>
    <r>
      <rPr>
        <vertAlign val="subscript"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 xml:space="preserve"> =</t>
    </r>
  </si>
  <si>
    <r>
      <t>and x</t>
    </r>
    <r>
      <rPr>
        <vertAlign val="subscript"/>
        <sz val="11"/>
        <color theme="1"/>
        <rFont val="Calibri"/>
        <family val="2"/>
        <scheme val="minor"/>
      </rPr>
      <t>i,j</t>
    </r>
    <r>
      <rPr>
        <sz val="11"/>
        <color theme="1"/>
        <rFont val="Calibri"/>
        <family val="2"/>
        <scheme val="minor"/>
      </rPr>
      <t xml:space="preserve"> =</t>
    </r>
  </si>
  <si>
    <t>Partial residual =</t>
  </si>
  <si>
    <t>variable.</t>
  </si>
  <si>
    <r>
      <t>You are given the following partial residual plot for the Log(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>)</t>
    </r>
  </si>
  <si>
    <r>
      <t>b.) Based on the graph, describe two ways that the ln(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) variable may </t>
    </r>
  </si>
  <si>
    <t>be transformed to produce a better fit.</t>
  </si>
  <si>
    <r>
      <t xml:space="preserve">• Fit a higher order polynomial to the continuous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 variable.</t>
    </r>
  </si>
  <si>
    <r>
      <t xml:space="preserve">•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 is a continuous variable.</t>
    </r>
  </si>
  <si>
    <r>
      <t xml:space="preserve">• Use hinge functions to fit piecewise linear functions for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 between 0 and 12 years, and 13 + years.</t>
    </r>
  </si>
  <si>
    <t>c.) Briefly describe a drawback to each of the suggested improvements above.</t>
  </si>
  <si>
    <t>• Increases the chance of overfitting substantially if the polynomial is highly tuned to the training data. End scale behavior may become erratic.</t>
  </si>
  <si>
    <t>• The split point for the hinge function must be determined manually so may not be optimal and is time consuming to fit.</t>
  </si>
  <si>
    <t>Source</t>
  </si>
  <si>
    <t>Perform an F-Test</t>
  </si>
  <si>
    <t xml:space="preserve">An actuary has constructed a Generalized Linear Model for Homeowners Water </t>
  </si>
  <si>
    <r>
      <rPr>
        <i/>
        <sz val="11"/>
        <color theme="1"/>
        <rFont val="Calibri"/>
        <family val="2"/>
        <scheme val="minor"/>
      </rPr>
      <t>Age of Plumbing</t>
    </r>
    <r>
      <rPr>
        <sz val="11"/>
        <color theme="1"/>
        <rFont val="Calibri"/>
        <family val="2"/>
        <scheme val="minor"/>
      </rPr>
      <t>.</t>
    </r>
  </si>
  <si>
    <r>
      <t xml:space="preserve">Peril Frequency. The model has three rating variables: </t>
    </r>
    <r>
      <rPr>
        <i/>
        <sz val="11"/>
        <color theme="1"/>
        <rFont val="Calibri"/>
        <family val="2"/>
        <scheme val="minor"/>
      </rPr>
      <t>County, Age of Home,</t>
    </r>
    <r>
      <rPr>
        <sz val="11"/>
        <color theme="1"/>
        <rFont val="Calibri"/>
        <family val="2"/>
        <scheme val="minor"/>
      </rPr>
      <t xml:space="preserve"> and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/>
    </r>
  </si>
  <si>
    <t>You are given the following information about this model:</t>
  </si>
  <si>
    <t>Number of observations in the data set</t>
  </si>
  <si>
    <t>Estimated unscaled deviance</t>
  </si>
  <si>
    <t>Estimated dispersion parameter</t>
  </si>
  <si>
    <t xml:space="preserve">The actuary is deciding whether to include an additional variable in the model </t>
  </si>
  <si>
    <t xml:space="preserve">which has 4 levels. With the additional variable included, they obtain the </t>
  </si>
  <si>
    <t>following model output</t>
  </si>
  <si>
    <t>a.) State the null hypothesis for an F-test.</t>
  </si>
  <si>
    <t xml:space="preserve">b.) Perform an F-test at the 5% significance level to decide which model </t>
  </si>
  <si>
    <t>performs best.</t>
  </si>
  <si>
    <t>The null hypothesis is there is no statistical difference between the two models.</t>
  </si>
  <si>
    <t>The models are nested so we may perform an F-test</t>
  </si>
  <si>
    <t>The smaller model is the one with fewer parameters.</t>
  </si>
  <si>
    <t>Since the bigger model adds a variable with 4 levels, one of which will be the base level, the bigger</t>
  </si>
  <si>
    <t>model has an additional 3 parameters.</t>
  </si>
  <si>
    <t>F-statistic =</t>
  </si>
  <si>
    <t xml:space="preserve">The numerator has the number of added parameters as its degrees of freedom, </t>
  </si>
  <si>
    <t>The denominator has the number of observations less the number of parameters used in the bigger model.</t>
  </si>
  <si>
    <t>Numerator df =</t>
  </si>
  <si>
    <t>Denominator df =</t>
  </si>
  <si>
    <r>
      <t xml:space="preserve">• </t>
    </r>
    <r>
      <rPr>
        <i/>
        <sz val="11"/>
        <color theme="1"/>
        <rFont val="Calibri"/>
        <family val="2"/>
        <scheme val="minor"/>
      </rPr>
      <t>County</t>
    </r>
    <r>
      <rPr>
        <sz val="11"/>
        <color theme="1"/>
        <rFont val="Calibri"/>
        <family val="2"/>
        <scheme val="minor"/>
      </rPr>
      <t xml:space="preserve"> has 11 levels.</t>
    </r>
  </si>
  <si>
    <r>
      <t xml:space="preserve">• </t>
    </r>
    <r>
      <rPr>
        <i/>
        <sz val="11"/>
        <color theme="1"/>
        <rFont val="Calibri"/>
        <family val="2"/>
        <scheme val="minor"/>
      </rPr>
      <t>Age of Home</t>
    </r>
    <r>
      <rPr>
        <sz val="11"/>
        <color theme="1"/>
        <rFont val="Calibri"/>
        <family val="2"/>
        <scheme val="minor"/>
      </rPr>
      <t xml:space="preserve"> is continous and modeled by a second-order polynomial.</t>
    </r>
  </si>
  <si>
    <r>
      <t xml:space="preserve">• </t>
    </r>
    <r>
      <rPr>
        <i/>
        <sz val="11"/>
        <color theme="1"/>
        <rFont val="Calibri"/>
        <family val="2"/>
        <scheme val="minor"/>
      </rPr>
      <t>Age of Plumbing</t>
    </r>
    <r>
      <rPr>
        <sz val="11"/>
        <color theme="1"/>
        <rFont val="Calibri"/>
        <family val="2"/>
        <scheme val="minor"/>
      </rPr>
      <t xml:space="preserve"> is categorical with 3 levels.</t>
    </r>
  </si>
  <si>
    <r>
      <t>Age of Plumbing</t>
    </r>
    <r>
      <rPr>
        <sz val="11"/>
        <color theme="1"/>
        <rFont val="Calibri"/>
        <family val="2"/>
        <scheme val="minor"/>
      </rPr>
      <t xml:space="preserve"> has 2 degrees of freedom</t>
    </r>
  </si>
  <si>
    <r>
      <rPr>
        <i/>
        <sz val="11"/>
        <color theme="1"/>
        <rFont val="Calibri"/>
        <family val="2"/>
        <scheme val="minor"/>
      </rPr>
      <t>County</t>
    </r>
    <r>
      <rPr>
        <sz val="11"/>
        <color theme="1"/>
        <rFont val="Calibri"/>
        <family val="2"/>
        <scheme val="minor"/>
      </rPr>
      <t xml:space="preserve"> has 10 degrees of freedom</t>
    </r>
  </si>
  <si>
    <r>
      <t>Age of Home</t>
    </r>
    <r>
      <rPr>
        <sz val="11"/>
        <color theme="1"/>
        <rFont val="Calibri"/>
        <family val="2"/>
        <scheme val="minor"/>
      </rPr>
      <t xml:space="preserve"> has an intercept, </t>
    </r>
    <r>
      <rPr>
        <i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coefficient, and </t>
    </r>
    <r>
      <rPr>
        <i/>
        <sz val="11"/>
        <color theme="1"/>
        <rFont val="Calibri"/>
        <family val="2"/>
        <scheme val="minor"/>
      </rPr>
      <t>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coefficient.</t>
    </r>
  </si>
  <si>
    <t>Critical value =</t>
  </si>
  <si>
    <t>c.) Identify a potential concern the actuary should look out for when evaluating</t>
  </si>
  <si>
    <t>nested models and briefly describe why it is a concern.</t>
  </si>
  <si>
    <t>The actuary should watch out for missing data. The number of records used in each data set for fitting nested models</t>
  </si>
  <si>
    <t>must be the same. If data is missing then the smaller model needs to be refitted on the subset of records which</t>
  </si>
  <si>
    <t>have complete data for both models as otherwise the comparison is not valid.</t>
  </si>
  <si>
    <t>An actuary has constructed a pure premium model using the Tweedie distribution with parameter</t>
  </si>
  <si>
    <t>The following variables were considered for inclusion in the model:</t>
  </si>
  <si>
    <t>Description or Source of Data</t>
  </si>
  <si>
    <t>Industry</t>
  </si>
  <si>
    <t>Construction, Manufacturing, All Other</t>
  </si>
  <si>
    <t>Return to Work Program</t>
  </si>
  <si>
    <t>Yes or No</t>
  </si>
  <si>
    <t>Employee Age</t>
  </si>
  <si>
    <t>Average Age in Years</t>
  </si>
  <si>
    <t>Employee Tenure</t>
  </si>
  <si>
    <t>Average Number of Years of Employment</t>
  </si>
  <si>
    <t>Location</t>
  </si>
  <si>
    <t>State of Jurisdiction</t>
  </si>
  <si>
    <t>Employee Morale</t>
  </si>
  <si>
    <t>Based on Results of Annual Company Survey</t>
  </si>
  <si>
    <t>Number of Back Injuries</t>
  </si>
  <si>
    <t>Supplied by Employer</t>
  </si>
  <si>
    <t>Return to Work Program: Yes</t>
  </si>
  <si>
    <t>Industry Type: Construction</t>
  </si>
  <si>
    <t>Industry Type: All Other</t>
  </si>
  <si>
    <r>
      <t xml:space="preserve">1 &lt; </t>
    </r>
    <r>
      <rPr>
        <i/>
        <sz val="11"/>
        <color theme="1"/>
        <rFont val="Calibri"/>
        <family val="2"/>
        <scheme val="minor"/>
      </rPr>
      <t xml:space="preserve">p </t>
    </r>
    <r>
      <rPr>
        <sz val="11"/>
        <color theme="1"/>
        <rFont val="Calibri"/>
        <family val="2"/>
        <scheme val="minor"/>
      </rPr>
      <t xml:space="preserve">&lt; 2 to determine manual rates for a Workers' Compensation book of business. The output of the </t>
    </r>
  </si>
  <si>
    <t>model is pure premium per $100 of payroll.</t>
  </si>
  <si>
    <r>
      <rPr>
        <i/>
        <sz val="11"/>
        <color theme="1"/>
        <rFont val="Calibri"/>
        <family val="2"/>
        <scheme val="minor"/>
      </rPr>
      <t>Return to Work Program</t>
    </r>
    <r>
      <rPr>
        <sz val="11"/>
        <color theme="1"/>
        <rFont val="Calibri"/>
        <family val="2"/>
        <scheme val="minor"/>
      </rPr>
      <t>.</t>
    </r>
  </si>
  <si>
    <r>
      <t xml:space="preserve">The actuary has decided to use the following variables in the model: </t>
    </r>
    <r>
      <rPr>
        <i/>
        <sz val="11"/>
        <color theme="1"/>
        <rFont val="Calibri"/>
        <family val="2"/>
        <scheme val="minor"/>
      </rPr>
      <t>Industry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Employee Tenure</t>
    </r>
    <r>
      <rPr>
        <sz val="11"/>
        <color theme="1"/>
        <rFont val="Calibri"/>
        <family val="2"/>
        <scheme val="minor"/>
      </rPr>
      <t>, and</t>
    </r>
  </si>
  <si>
    <t xml:space="preserve">The actuary fits the log link GLM model using the three selected variables. Given the fitted model </t>
  </si>
  <si>
    <t xml:space="preserve">parameters below and the following information for a Manufacturing Workers' Compensation risk, </t>
  </si>
  <si>
    <t>Industry:</t>
  </si>
  <si>
    <t>This has a low p-value which implies the variable is statistically significant, i.e. a good predictor of future loss.</t>
  </si>
  <si>
    <t>Industry is a variable that is easy and practical to collect and verify.</t>
  </si>
  <si>
    <t>Employee Tenure:</t>
  </si>
  <si>
    <t>The low p-value implies it is significant and a good predictor of future loss.</t>
  </si>
  <si>
    <t>Employee tenure is directly related to future loss activity as newer employees</t>
  </si>
  <si>
    <t>may not be as experienced with machinary for example.</t>
  </si>
  <si>
    <t>Return to Work Program:</t>
  </si>
  <si>
    <t>This has a low p-value so it is significant and a good predictor of future loss activity.</t>
  </si>
  <si>
    <t>There is a clear relationship between the length of time off of work and the cost occurred</t>
  </si>
  <si>
    <t>by the employer. It is a binary variable that is easy to obtain and verify.</t>
  </si>
  <si>
    <t>Employee Age:</t>
  </si>
  <si>
    <t>It has a low p-value implying it is significant and a predictor of future loss.</t>
  </si>
  <si>
    <t>However, it may be against the law (discriminatory practice) to use age.</t>
  </si>
  <si>
    <t>Location:</t>
  </si>
  <si>
    <t>The p-value is high which suggests this variable is not likely to be a significant predictor of future loss activity.</t>
  </si>
  <si>
    <t>The variable makes intuitive sense as some states have more generous laws for workers' compensation</t>
  </si>
  <si>
    <t>which favor the worker but increase costs for the employer.</t>
  </si>
  <si>
    <t>Employee Moral:</t>
  </si>
  <si>
    <t>The p-value suggests this is not a signficant variable (not a good predictor of future loss).</t>
  </si>
  <si>
    <t>This variable is highly subjective and time dependent. It would be difficult to objectively collect and verify.</t>
  </si>
  <si>
    <t>Number of Back Injury Claims:</t>
  </si>
  <si>
    <t>The p-value is quite small, indicating it is significant and may be a fair</t>
  </si>
  <si>
    <t>predictor of future loss.</t>
  </si>
  <si>
    <t xml:space="preserve">The information is supplied by the employer which may make it difficult to </t>
  </si>
  <si>
    <t>verify or open to gaming by the insured to achieve lower rates.</t>
  </si>
  <si>
    <t>I will treat a manufacturing risk as an "All Other" industry type.</t>
  </si>
  <si>
    <r>
      <rPr>
        <b/>
        <sz val="11"/>
        <color rgb="FF0070C0"/>
        <rFont val="Calibri"/>
        <family val="2"/>
        <scheme val="minor"/>
      </rPr>
      <t xml:space="preserve">← </t>
    </r>
    <r>
      <rPr>
        <b/>
        <i/>
        <sz val="11"/>
        <color rgb="FF0070C0"/>
        <rFont val="Calibri"/>
        <family val="2"/>
        <scheme val="minor"/>
      </rPr>
      <t>Alice: "The other option is to assume Manufacturing risks are the base class.</t>
    </r>
  </si>
  <si>
    <t>Treat employee tenure as a discrete variable.</t>
  </si>
  <si>
    <t>since the base class always has 1.000 for its coefficient, it isn't listed."</t>
  </si>
  <si>
    <t>Apply GLM</t>
  </si>
  <si>
    <t>ln(u) = -0.631 + -0.04*5 + -0.2*0 + -0.55*1</t>
  </si>
  <si>
    <t>Expected Loss = u * Payroll/$100</t>
  </si>
  <si>
    <t xml:space="preserve">P = </t>
  </si>
  <si>
    <t>Manual Premium = Loss + Fixed Expense + Variable Expense</t>
  </si>
  <si>
    <t>2017 Exam 8 Q1 (abbreviated/revised)</t>
  </si>
  <si>
    <t xml:space="preserve">b.) Discuss the statistical and non-statistical considerations of excluding each of the remaining four </t>
  </si>
  <si>
    <r>
      <t>variables (</t>
    </r>
    <r>
      <rPr>
        <i/>
        <sz val="11"/>
        <color theme="1"/>
        <rFont val="Calibri"/>
        <family val="2"/>
        <scheme val="minor"/>
      </rPr>
      <t>Employee Age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Location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Employee Morale</t>
    </r>
    <r>
      <rPr>
        <sz val="11"/>
        <color theme="1"/>
        <rFont val="Calibri"/>
        <family val="2"/>
        <scheme val="minor"/>
      </rPr>
      <t xml:space="preserve">, and </t>
    </r>
    <r>
      <rPr>
        <i/>
        <sz val="11"/>
        <color theme="1"/>
        <rFont val="Calibri"/>
        <family val="2"/>
        <scheme val="minor"/>
      </rPr>
      <t>Number of Back Injuries</t>
    </r>
    <r>
      <rPr>
        <sz val="11"/>
        <color theme="1"/>
        <rFont val="Calibri"/>
        <family val="2"/>
        <scheme val="minor"/>
      </rPr>
      <t>) from the model.</t>
    </r>
  </si>
  <si>
    <r>
      <t xml:space="preserve">c.) Calculate the </t>
    </r>
    <r>
      <rPr>
        <u/>
        <sz val="11"/>
        <color theme="1"/>
        <rFont val="Calibri"/>
        <family val="2"/>
        <scheme val="minor"/>
      </rPr>
      <t>manual</t>
    </r>
    <r>
      <rPr>
        <sz val="11"/>
        <color theme="1"/>
        <rFont val="Calibri"/>
        <family val="2"/>
        <scheme val="minor"/>
      </rPr>
      <t xml:space="preserve"> premium for this risk for an annual policy period.</t>
    </r>
  </si>
  <si>
    <t xml:space="preserve">a.) Discuss the statistical and non-statistical considerations of including each of the three variables </t>
  </si>
  <si>
    <r>
      <rPr>
        <i/>
        <sz val="11"/>
        <color theme="1"/>
        <rFont val="Calibri"/>
        <family val="2"/>
        <scheme val="minor"/>
      </rPr>
      <t>(Industry, Employee Tenure</t>
    </r>
    <r>
      <rPr>
        <sz val="11"/>
        <color theme="1"/>
        <rFont val="Calibri"/>
        <family val="2"/>
        <scheme val="minor"/>
      </rPr>
      <t xml:space="preserve">, and </t>
    </r>
    <r>
      <rPr>
        <i/>
        <sz val="11"/>
        <color theme="1"/>
        <rFont val="Calibri"/>
        <family val="2"/>
        <scheme val="minor"/>
      </rPr>
      <t>Return to Work Program</t>
    </r>
    <r>
      <rPr>
        <sz val="11"/>
        <color theme="1"/>
        <rFont val="Calibri"/>
        <family val="2"/>
        <scheme val="minor"/>
      </rPr>
      <t>) in the model.</t>
    </r>
  </si>
  <si>
    <t>Data for Manufacturing Risk</t>
  </si>
  <si>
    <t>Value</t>
  </si>
  <si>
    <t>Payroll</t>
  </si>
  <si>
    <t>5 Years</t>
  </si>
  <si>
    <t>Fixed Expenses</t>
  </si>
  <si>
    <t>Variable Expenses (as % of premium)</t>
  </si>
  <si>
    <t>P = Expected Loss + 1,500 + 0.2P</t>
  </si>
  <si>
    <t>Evaluate the model output and calculate the manual premium</t>
  </si>
  <si>
    <t>An actuary is analyzing a partial residual plot of the driver age variable, which is shown below.</t>
  </si>
  <si>
    <t>Adding polynomial terms is one approach to address the non-linearity in the driver age</t>
  </si>
  <si>
    <t>part (a) above.</t>
  </si>
  <si>
    <t xml:space="preserve">a.) Briefly describe two other alternative approaches and how they can be used to improve </t>
  </si>
  <si>
    <t>the fit of the driver age variable shown above.</t>
  </si>
  <si>
    <t xml:space="preserve">b.) Briefly describe a downside to each of the two alternative approachs recommended in </t>
  </si>
  <si>
    <t xml:space="preserve">Since the F-statistic is greater than the critical value, we reject the null hypothesis and conclude it is </t>
  </si>
  <si>
    <t>appropriate to include the additional variable in the model.</t>
  </si>
  <si>
    <t>GLM.DataPrep</t>
  </si>
  <si>
    <t>GLM.Validation</t>
  </si>
  <si>
    <t>GLM_Basics1</t>
  </si>
  <si>
    <t>GLM_Basics2</t>
  </si>
  <si>
    <t>GLM_Basics3</t>
  </si>
  <si>
    <t>GLM_Basics4</t>
  </si>
  <si>
    <t>GLM_Basics5</t>
  </si>
  <si>
    <t>GLM_Basics6</t>
  </si>
  <si>
    <t>GLM_Basics7</t>
  </si>
  <si>
    <t>GLM_Basics8</t>
  </si>
  <si>
    <t>GLM_DataPrep1</t>
  </si>
  <si>
    <t>GLM_ModelSelection1</t>
  </si>
  <si>
    <t>GLM_ModelSelection2</t>
  </si>
  <si>
    <t>GLM_Interactions</t>
  </si>
  <si>
    <t>GLM_ModelRefinement1</t>
  </si>
  <si>
    <t>GLM_ModelRefinement2</t>
  </si>
  <si>
    <t>GLM_ModelRefinement3</t>
  </si>
  <si>
    <t>GLM_ModelRefinement4</t>
  </si>
  <si>
    <t>GLM_ModelRefinement5</t>
  </si>
  <si>
    <t>GLM_ModelRefinement6</t>
  </si>
  <si>
    <t>GLM_Validation1</t>
  </si>
  <si>
    <t>GLM_Validation2</t>
  </si>
  <si>
    <t>GLM_Validation3</t>
  </si>
  <si>
    <t>GLM_Validation4</t>
  </si>
  <si>
    <t>Produce the table underlying a quantile plot</t>
  </si>
  <si>
    <t>Produce the table underlying a double lift chart</t>
  </si>
  <si>
    <t>Produce the table underlying a loss ratio chart</t>
  </si>
  <si>
    <t>Risk</t>
  </si>
  <si>
    <t>Loss Cost</t>
  </si>
  <si>
    <t>Model A</t>
  </si>
  <si>
    <t>Model B</t>
  </si>
  <si>
    <t xml:space="preserve">An actuary is comparing the performance of two pure premium models (called A and B). </t>
  </si>
  <si>
    <t>The following information was obtained using a holdout data set.</t>
  </si>
  <si>
    <t>We have 20 risks so there will be two risks per decile.</t>
  </si>
  <si>
    <t>Separately rank each model's output in ascending order.</t>
  </si>
  <si>
    <t xml:space="preserve">Risk </t>
  </si>
  <si>
    <t>Rank A</t>
  </si>
  <si>
    <t>Rank B</t>
  </si>
  <si>
    <t>Decile</t>
  </si>
  <si>
    <t>1st Rank</t>
  </si>
  <si>
    <t>2nd Rank</t>
  </si>
  <si>
    <t>Avg A</t>
  </si>
  <si>
    <t>Avg B</t>
  </si>
  <si>
    <t>Avg Actual A</t>
  </si>
  <si>
    <t>Avg Actual B</t>
  </si>
  <si>
    <t>b.) For each model, comment on the three criterion used to determine which model is best.</t>
  </si>
  <si>
    <t>Predictive Accuracy</t>
  </si>
  <si>
    <t>Delta A</t>
  </si>
  <si>
    <t>Delta B</t>
  </si>
  <si>
    <t>Totals</t>
  </si>
  <si>
    <t>Monotonicity</t>
  </si>
  <si>
    <t>Both models have reversals, i.e. monotonicity does not hold.</t>
  </si>
  <si>
    <t>However, Model B has slightly fewer reversals than Model A.</t>
  </si>
  <si>
    <t>Vertical Distance</t>
  </si>
  <si>
    <t>The vertical distance for Model A is negative which is not good.</t>
  </si>
  <si>
    <t>The vertical distance for Model B is positive (and larger than Model A)</t>
  </si>
  <si>
    <t>Overall, Model B performs better than Model A.</t>
  </si>
  <si>
    <t>Vertical Dist.</t>
  </si>
  <si>
    <t>a.) Produce the table associated with the double lift chart using 10 deciles.</t>
  </si>
  <si>
    <t>a.) Produce the tables associated with the quantiles plot with 10 deciles for each risk.</t>
  </si>
  <si>
    <t>Compute the sort ratio = Model A Loss Cost / Model B Loss Cost and order from smallest to largest.</t>
  </si>
  <si>
    <t>Sort Ratio</t>
  </si>
  <si>
    <t>Rank</t>
  </si>
  <si>
    <t>Avg Actual</t>
  </si>
  <si>
    <t>Total</t>
  </si>
  <si>
    <t>Normalized Values</t>
  </si>
  <si>
    <t>b.) Produce the table associated with the alternative view of the double lift chart from</t>
  </si>
  <si>
    <t>part a.) above.</t>
  </si>
  <si>
    <t>The alternate view looks at the model percentage error which is given by</t>
  </si>
  <si>
    <t xml:space="preserve">c.) Identify and briefly explain which model performs best according to your </t>
  </si>
  <si>
    <t>results from parts a.) and b.) above.</t>
  </si>
  <si>
    <t>over the quantiles to help you interpret the data."</t>
  </si>
  <si>
    <t>Alice: "This is challenging to do without plotting graphs. However, you can look at the absolute difference between values and sum</t>
  </si>
  <si>
    <t>In part a.) the sum of the absolute value of the difference between the model and actual quantile results is smallest for Model B.</t>
  </si>
  <si>
    <t xml:space="preserve">This implies Model B is better because it tracks the actual experience more closely on average. </t>
  </si>
  <si>
    <t>In part b.) the sum of the absolute value of the difference between 100% and the percentage error quantile results is smallest for Model A.</t>
  </si>
  <si>
    <t>This implies Model A performs better than Model B because Model A has the flatter line.</t>
  </si>
  <si>
    <t>Conclude neither model performs particularly well. Since the result in part a.) is very close, and in part b.) Model A is the best,</t>
  </si>
  <si>
    <t>declare Model A to be the better performing model (barely).</t>
  </si>
  <si>
    <t>Percentage Errors</t>
  </si>
  <si>
    <t xml:space="preserve">An actuary is assessing the performance of a new pure premium model against </t>
  </si>
  <si>
    <t>their current rating plan.</t>
  </si>
  <si>
    <t>Current</t>
  </si>
  <si>
    <t>Modeled</t>
  </si>
  <si>
    <t>a.) Produce the table associated with the loss ratio chart using 10 deciles.</t>
  </si>
  <si>
    <t xml:space="preserve">b.) Identify and briefly explain whether the new model or current rating plan </t>
  </si>
  <si>
    <t>performs better.</t>
  </si>
  <si>
    <t>Compute the predicted loss ratios using the current premium and sort into ascending order.</t>
  </si>
  <si>
    <t>Loss Ratio</t>
  </si>
  <si>
    <t>If the current rating plan works well then all quantiles should have the same loss ratio. This is not the case here.</t>
  </si>
  <si>
    <t>The bars of the actual loss ratio are generally increasing as we progress across the quantiles.</t>
  </si>
  <si>
    <t>The vertical distance between the 1st and 10th quantiles is material.</t>
  </si>
  <si>
    <t>This indicates the new pure premium model performs better than the current rating plan.</t>
  </si>
  <si>
    <t>○ Using a higher order polynomial instead of a linear fit for vehicle value, or</t>
  </si>
  <si>
    <t>• Segmentation is limited. The model could be refined by:</t>
  </si>
  <si>
    <t>○ Adding additional rating variables such as vehicle value, make, or model year.</t>
  </si>
  <si>
    <t>○ Categorizing the vehicle value instead of treating it as a continuous variable.</t>
  </si>
  <si>
    <t xml:space="preserve">• The end-scale behavior is unreasonable because once vehicle values exceed $45,000 </t>
  </si>
  <si>
    <t xml:space="preserve">the probability of a claim is almost certain. This is unrealistic behavior. </t>
  </si>
  <si>
    <t>The model could be refined by:</t>
  </si>
  <si>
    <t>A better</t>
  </si>
  <si>
    <t>than B?</t>
  </si>
  <si>
    <t xml:space="preserve">Neither model tracks the actual observations particularly well. However, Model B tracks them better than Model A </t>
  </si>
  <si>
    <t>because it is closer to the actual for six out of the 10 deciles.</t>
  </si>
  <si>
    <t>For plotting the line of equality.</t>
  </si>
  <si>
    <t xml:space="preserve">We must order the risks by increasing prediction and then plot the cumulative exposure on the x-axis and the cumulative percentage of </t>
  </si>
  <si>
    <t>Produce a table which can be used to plot the Lorenz curve for the output of a logistic regression.</t>
  </si>
  <si>
    <t>true outcomes on the y-axis.</t>
  </si>
  <si>
    <t>Cumulative</t>
  </si>
  <si>
    <t xml:space="preserve">An actuary has built a logistic regression model on a training data set and has run the model on a </t>
  </si>
  <si>
    <t>Ranked Outcomes</t>
  </si>
  <si>
    <t>Prediction</t>
  </si>
  <si>
    <t>Outcome</t>
  </si>
  <si>
    <t>Exposure</t>
  </si>
  <si>
    <t>holdout sample of 50 observations. The model produced the following data:</t>
  </si>
  <si>
    <t>Table of Predictions</t>
  </si>
  <si>
    <t>Associated Outcomes*</t>
  </si>
  <si>
    <t>Alice: "As far as we know it's still unlikely you'll be asked</t>
  </si>
  <si>
    <t xml:space="preserve">to graph something in the exam environment. It's </t>
  </si>
  <si>
    <t>probably reasonable to create a table of data for a graph</t>
  </si>
  <si>
    <t>* TRUE means the event occurred while FALSE means it didn't.</t>
  </si>
  <si>
    <t>though."</t>
  </si>
  <si>
    <t>"Also, this type of problem is a lot easier if you have the</t>
  </si>
  <si>
    <t>XLOOKUP function in Excel. However, not all versions of</t>
  </si>
  <si>
    <t>Excel have this functionality so we've shown a way of</t>
  </si>
  <si>
    <t>doing this another way. Pearson claims to have XLOOKUP</t>
  </si>
  <si>
    <t xml:space="preserve">in their software so you could practice with a small </t>
  </si>
  <si>
    <t>example in their online practice environment."</t>
  </si>
  <si>
    <t>GLM_Validation5</t>
  </si>
  <si>
    <t>Produce a table which can be used to plot the Lorenz curve for a logistic regression.</t>
  </si>
  <si>
    <r>
      <t>Additional variable</t>
    </r>
    <r>
      <rPr>
        <sz val="11"/>
        <color theme="1"/>
        <rFont val="Calibri"/>
        <family val="2"/>
        <scheme val="minor"/>
      </rPr>
      <t xml:space="preserve"> has 3 degrees of freedom</t>
    </r>
  </si>
  <si>
    <t>(This is for the big model so includes the additional variable parameters)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</si>
</sst>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%"/>
    <numFmt numFmtId="165" formatCode="0.000"/>
    <numFmt numFmtId="166" formatCode="0.0"/>
    <numFmt numFmtId="167" formatCode="0.0000"/>
    <numFmt numFmtId="168" formatCode="0.000000"/>
    <numFmt numFmtId="169" formatCode="0.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87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0" xfId="2" applyFill="1" applyAlignment="1">
      <alignment horizontal="center"/>
    </xf>
    <xf numFmtId="0" fontId="0" fillId="0" borderId="0" xfId="0" applyAlignment="1">
      <alignment horizontal="center"/>
    </xf>
    <xf numFmtId="0" fontId="2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6" fillId="2" borderId="3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2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2" fillId="2" borderId="5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5" xfId="0" applyFill="1" applyBorder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0" xfId="0" applyFill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4" xfId="0" applyFill="1" applyBorder="1" applyAlignment="1">
      <alignment horizontal="centerContinuous"/>
    </xf>
    <xf numFmtId="0" fontId="0" fillId="2" borderId="15" xfId="0" applyFill="1" applyBorder="1" applyAlignment="1">
      <alignment horizontal="centerContinuous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3" borderId="0" xfId="0" applyFill="1" applyAlignment="1">
      <alignment horizontal="center"/>
    </xf>
    <xf numFmtId="0" fontId="0" fillId="2" borderId="8" xfId="0" applyFill="1" applyBorder="1" applyAlignment="1" applyProtection="1">
      <alignment horizontal="centerContinuous"/>
      <protection locked="0"/>
    </xf>
    <xf numFmtId="0" fontId="8" fillId="2" borderId="7" xfId="0" applyFont="1" applyFill="1" applyBorder="1" applyAlignment="1" applyProtection="1">
      <alignment horizontal="centerContinuous"/>
      <protection locked="0"/>
    </xf>
    <xf numFmtId="0" fontId="8" fillId="2" borderId="14" xfId="0" applyFont="1" applyFill="1" applyBorder="1" applyAlignment="1">
      <alignment horizontal="centerContinuous"/>
    </xf>
    <xf numFmtId="0" fontId="8" fillId="2" borderId="15" xfId="0" applyFont="1" applyFill="1" applyBorder="1" applyAlignment="1">
      <alignment horizontal="centerContinuous"/>
    </xf>
    <xf numFmtId="0" fontId="0" fillId="2" borderId="13" xfId="0" applyFill="1" applyBorder="1" applyAlignment="1">
      <alignment horizontal="center"/>
    </xf>
    <xf numFmtId="0" fontId="0" fillId="2" borderId="8" xfId="0" applyFill="1" applyBorder="1" applyAlignment="1">
      <alignment horizontal="centerContinuous"/>
    </xf>
    <xf numFmtId="0" fontId="0" fillId="2" borderId="0" xfId="0" applyFill="1" applyAlignment="1">
      <alignment horizontal="centerContinuous"/>
    </xf>
    <xf numFmtId="0" fontId="0" fillId="2" borderId="16" xfId="0" applyFill="1" applyBorder="1" applyAlignment="1">
      <alignment horizontal="centerContinuous"/>
    </xf>
    <xf numFmtId="0" fontId="0" fillId="2" borderId="19" xfId="0" applyFill="1" applyBorder="1" applyAlignment="1">
      <alignment horizontal="center"/>
    </xf>
    <xf numFmtId="0" fontId="0" fillId="2" borderId="9" xfId="0" applyFill="1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0" fillId="2" borderId="17" xfId="0" applyFill="1" applyBorder="1" applyAlignment="1">
      <alignment horizontal="centerContinuous"/>
    </xf>
    <xf numFmtId="0" fontId="0" fillId="2" borderId="20" xfId="0" applyFill="1" applyBorder="1" applyAlignment="1">
      <alignment horizontal="center"/>
    </xf>
    <xf numFmtId="0" fontId="8" fillId="2" borderId="7" xfId="0" applyFont="1" applyFill="1" applyBorder="1" applyAlignment="1">
      <alignment horizontal="centerContinuous"/>
    </xf>
    <xf numFmtId="0" fontId="0" fillId="2" borderId="21" xfId="0" applyFill="1" applyBorder="1" applyAlignment="1">
      <alignment horizontal="centerContinuous"/>
    </xf>
    <xf numFmtId="0" fontId="0" fillId="2" borderId="22" xfId="0" applyFill="1" applyBorder="1" applyAlignment="1">
      <alignment horizontal="centerContinuous"/>
    </xf>
    <xf numFmtId="164" fontId="0" fillId="3" borderId="0" xfId="1" applyNumberFormat="1" applyFont="1" applyFill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0" fillId="2" borderId="0" xfId="0" applyFill="1" applyAlignment="1" applyProtection="1">
      <alignment horizontal="left" indent="2"/>
      <protection locked="0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0" fillId="2" borderId="8" xfId="0" applyFill="1" applyBorder="1"/>
    <xf numFmtId="0" fontId="0" fillId="2" borderId="9" xfId="0" applyFill="1" applyBorder="1"/>
    <xf numFmtId="0" fontId="0" fillId="2" borderId="1" xfId="0" applyFill="1" applyBorder="1"/>
    <xf numFmtId="0" fontId="0" fillId="2" borderId="21" xfId="0" applyFill="1" applyBorder="1"/>
    <xf numFmtId="0" fontId="0" fillId="2" borderId="22" xfId="0" applyFill="1" applyBorder="1"/>
    <xf numFmtId="0" fontId="0" fillId="2" borderId="23" xfId="0" applyFill="1" applyBorder="1"/>
    <xf numFmtId="0" fontId="0" fillId="2" borderId="16" xfId="0" applyFill="1" applyBorder="1"/>
    <xf numFmtId="0" fontId="0" fillId="2" borderId="17" xfId="0" applyFill="1" applyBorder="1"/>
    <xf numFmtId="0" fontId="8" fillId="2" borderId="0" xfId="0" applyFont="1" applyFill="1" applyAlignment="1" applyProtection="1">
      <alignment horizontal="centerContinuous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22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3" fontId="0" fillId="2" borderId="0" xfId="0" applyNumberFormat="1" applyFill="1" applyAlignment="1">
      <alignment horizontal="center"/>
    </xf>
    <xf numFmtId="3" fontId="0" fillId="2" borderId="16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4" fillId="0" borderId="0" xfId="0" applyFont="1"/>
    <xf numFmtId="0" fontId="0" fillId="0" borderId="0" xfId="0" quotePrefix="1"/>
    <xf numFmtId="0" fontId="10" fillId="3" borderId="0" xfId="0" applyFont="1" applyFill="1"/>
    <xf numFmtId="0" fontId="7" fillId="2" borderId="0" xfId="0" applyFont="1" applyFill="1"/>
    <xf numFmtId="0" fontId="8" fillId="2" borderId="18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10" fillId="0" borderId="0" xfId="0" applyFont="1" applyAlignment="1">
      <alignment horizontal="left"/>
    </xf>
    <xf numFmtId="164" fontId="0" fillId="3" borderId="0" xfId="1" applyNumberFormat="1" applyFont="1" applyFill="1"/>
    <xf numFmtId="0" fontId="2" fillId="2" borderId="10" xfId="0" applyFont="1" applyFill="1" applyBorder="1"/>
    <xf numFmtId="0" fontId="0" fillId="2" borderId="11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164" fontId="0" fillId="3" borderId="0" xfId="1" applyNumberFormat="1" applyFont="1" applyFill="1" applyAlignment="1" applyProtection="1">
      <alignment horizontal="center"/>
      <protection locked="0"/>
    </xf>
    <xf numFmtId="0" fontId="2" fillId="0" borderId="0" xfId="0" applyFont="1"/>
    <xf numFmtId="0" fontId="2" fillId="2" borderId="5" xfId="0" applyFont="1" applyFill="1" applyBorder="1"/>
    <xf numFmtId="0" fontId="2" fillId="2" borderId="13" xfId="0" applyFon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8" fillId="0" borderId="0" xfId="0" applyFont="1" applyProtection="1">
      <protection locked="0"/>
    </xf>
    <xf numFmtId="166" fontId="0" fillId="3" borderId="0" xfId="0" applyNumberFormat="1" applyFill="1" applyAlignment="1" applyProtection="1">
      <alignment horizontal="center"/>
      <protection locked="0"/>
    </xf>
    <xf numFmtId="4" fontId="0" fillId="3" borderId="0" xfId="0" applyNumberFormat="1" applyFill="1" applyAlignment="1" applyProtection="1">
      <alignment horizontal="center"/>
      <protection locked="0"/>
    </xf>
    <xf numFmtId="0" fontId="0" fillId="2" borderId="0" xfId="0" applyFill="1" applyAlignment="1">
      <alignment horizontal="left" indent="1"/>
    </xf>
    <xf numFmtId="9" fontId="0" fillId="2" borderId="13" xfId="0" applyNumberFormat="1" applyFill="1" applyBorder="1" applyAlignment="1">
      <alignment horizontal="center"/>
    </xf>
    <xf numFmtId="0" fontId="0" fillId="0" borderId="13" xfId="0" applyBorder="1" applyAlignment="1" applyProtection="1">
      <alignment horizontal="center"/>
      <protection locked="0"/>
    </xf>
    <xf numFmtId="9" fontId="0" fillId="0" borderId="13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Continuous"/>
      <protection locked="0"/>
    </xf>
    <xf numFmtId="0" fontId="0" fillId="2" borderId="23" xfId="0" applyFill="1" applyBorder="1" applyAlignment="1">
      <alignment horizontal="centerContinuous"/>
    </xf>
    <xf numFmtId="0" fontId="2" fillId="2" borderId="18" xfId="0" applyFont="1" applyFill="1" applyBorder="1"/>
    <xf numFmtId="0" fontId="2" fillId="2" borderId="18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165" fontId="0" fillId="2" borderId="13" xfId="0" applyNumberFormat="1" applyFill="1" applyBorder="1" applyAlignment="1">
      <alignment horizontal="center"/>
    </xf>
    <xf numFmtId="0" fontId="10" fillId="2" borderId="0" xfId="0" applyFont="1" applyFill="1"/>
    <xf numFmtId="165" fontId="0" fillId="3" borderId="0" xfId="0" applyNumberFormat="1" applyFill="1" applyAlignment="1" applyProtection="1">
      <alignment horizontal="center"/>
      <protection locked="0"/>
    </xf>
    <xf numFmtId="6" fontId="0" fillId="0" borderId="0" xfId="0" applyNumberFormat="1"/>
    <xf numFmtId="0" fontId="0" fillId="0" borderId="23" xfId="0" applyBorder="1" applyAlignment="1">
      <alignment horizontal="center"/>
    </xf>
    <xf numFmtId="6" fontId="0" fillId="2" borderId="19" xfId="0" applyNumberFormat="1" applyFill="1" applyBorder="1" applyAlignment="1">
      <alignment horizontal="center"/>
    </xf>
    <xf numFmtId="165" fontId="0" fillId="2" borderId="16" xfId="0" applyNumberFormat="1" applyFill="1" applyBorder="1" applyAlignment="1">
      <alignment horizontal="center"/>
    </xf>
    <xf numFmtId="167" fontId="0" fillId="2" borderId="0" xfId="0" applyNumberFormat="1" applyFill="1"/>
    <xf numFmtId="6" fontId="0" fillId="2" borderId="20" xfId="0" applyNumberFormat="1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167" fontId="0" fillId="3" borderId="16" xfId="0" applyNumberFormat="1" applyFill="1" applyBorder="1" applyAlignment="1">
      <alignment horizontal="center"/>
    </xf>
    <xf numFmtId="167" fontId="0" fillId="3" borderId="17" xfId="0" applyNumberFormat="1" applyFill="1" applyBorder="1" applyAlignment="1">
      <alignment horizontal="center"/>
    </xf>
    <xf numFmtId="6" fontId="0" fillId="0" borderId="19" xfId="0" applyNumberFormat="1" applyBorder="1" applyAlignment="1" applyProtection="1">
      <alignment horizontal="center"/>
      <protection locked="0"/>
    </xf>
    <xf numFmtId="6" fontId="0" fillId="0" borderId="20" xfId="0" applyNumberFormat="1" applyBorder="1" applyAlignment="1" applyProtection="1">
      <alignment horizontal="center"/>
      <protection locked="0"/>
    </xf>
    <xf numFmtId="0" fontId="0" fillId="2" borderId="7" xfId="0" applyFill="1" applyBorder="1"/>
    <xf numFmtId="0" fontId="0" fillId="2" borderId="14" xfId="0" applyFill="1" applyBorder="1"/>
    <xf numFmtId="0" fontId="0" fillId="2" borderId="15" xfId="0" applyFill="1" applyBorder="1"/>
    <xf numFmtId="167" fontId="0" fillId="2" borderId="19" xfId="0" applyNumberFormat="1" applyFill="1" applyBorder="1" applyAlignment="1">
      <alignment horizontal="center"/>
    </xf>
    <xf numFmtId="167" fontId="0" fillId="2" borderId="20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9" fontId="0" fillId="2" borderId="20" xfId="0" applyNumberFormat="1" applyFill="1" applyBorder="1" applyAlignment="1">
      <alignment horizontal="center"/>
    </xf>
    <xf numFmtId="44" fontId="0" fillId="0" borderId="0" xfId="3" applyFont="1"/>
    <xf numFmtId="44" fontId="0" fillId="3" borderId="0" xfId="3" applyFont="1" applyFill="1"/>
    <xf numFmtId="169" fontId="0" fillId="2" borderId="18" xfId="0" applyNumberFormat="1" applyFill="1" applyBorder="1" applyAlignment="1">
      <alignment horizontal="center"/>
    </xf>
    <xf numFmtId="169" fontId="0" fillId="2" borderId="19" xfId="0" applyNumberFormat="1" applyFill="1" applyBorder="1" applyAlignment="1">
      <alignment horizontal="center"/>
    </xf>
    <xf numFmtId="169" fontId="0" fillId="2" borderId="20" xfId="0" applyNumberFormat="1" applyFill="1" applyBorder="1" applyAlignment="1">
      <alignment horizontal="center"/>
    </xf>
    <xf numFmtId="167" fontId="0" fillId="2" borderId="18" xfId="0" applyNumberFormat="1" applyFill="1" applyBorder="1" applyAlignment="1">
      <alignment horizontal="center"/>
    </xf>
    <xf numFmtId="44" fontId="0" fillId="0" borderId="0" xfId="0" applyNumberFormat="1"/>
    <xf numFmtId="168" fontId="0" fillId="0" borderId="0" xfId="0" applyNumberFormat="1"/>
    <xf numFmtId="165" fontId="0" fillId="3" borderId="0" xfId="0" applyNumberFormat="1" applyFill="1" applyAlignment="1">
      <alignment horizontal="center"/>
    </xf>
    <xf numFmtId="6" fontId="0" fillId="2" borderId="0" xfId="0" applyNumberFormat="1" applyFill="1"/>
    <xf numFmtId="0" fontId="0" fillId="0" borderId="0" xfId="0" applyAlignment="1">
      <alignment horizontal="left" indent="2"/>
    </xf>
    <xf numFmtId="0" fontId="14" fillId="0" borderId="0" xfId="0" applyFont="1" applyAlignment="1">
      <alignment horizontal="left" indent="2"/>
    </xf>
    <xf numFmtId="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2" borderId="18" xfId="0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0" fontId="2" fillId="2" borderId="21" xfId="0" applyFont="1" applyFill="1" applyBorder="1" applyAlignment="1">
      <alignment horizontal="centerContinuous"/>
    </xf>
    <xf numFmtId="0" fontId="2" fillId="2" borderId="7" xfId="0" applyFont="1" applyFill="1" applyBorder="1" applyAlignment="1">
      <alignment horizontal="centerContinuous"/>
    </xf>
    <xf numFmtId="0" fontId="2" fillId="2" borderId="14" xfId="0" applyFont="1" applyFill="1" applyBorder="1" applyAlignment="1">
      <alignment horizontal="centerContinuous"/>
    </xf>
    <xf numFmtId="0" fontId="0" fillId="2" borderId="8" xfId="0" applyFill="1" applyBorder="1" applyAlignment="1">
      <alignment horizontal="left"/>
    </xf>
    <xf numFmtId="0" fontId="2" fillId="2" borderId="22" xfId="0" applyFont="1" applyFill="1" applyBorder="1" applyAlignment="1">
      <alignment horizontal="centerContinuous"/>
    </xf>
    <xf numFmtId="0" fontId="2" fillId="2" borderId="23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Continuous"/>
    </xf>
    <xf numFmtId="165" fontId="0" fillId="2" borderId="23" xfId="0" applyNumberFormat="1" applyFill="1" applyBorder="1" applyAlignment="1">
      <alignment horizontal="center"/>
    </xf>
    <xf numFmtId="0" fontId="2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9" fillId="0" borderId="0" xfId="0" applyFont="1" applyProtection="1">
      <protection locked="0"/>
    </xf>
    <xf numFmtId="8" fontId="0" fillId="0" borderId="0" xfId="0" applyNumberFormat="1" applyProtection="1">
      <protection locked="0"/>
    </xf>
    <xf numFmtId="0" fontId="14" fillId="2" borderId="0" xfId="0" applyFont="1" applyFill="1"/>
    <xf numFmtId="165" fontId="0" fillId="2" borderId="19" xfId="0" applyNumberFormat="1" applyFill="1" applyBorder="1" applyAlignment="1">
      <alignment horizontal="center"/>
    </xf>
    <xf numFmtId="165" fontId="0" fillId="2" borderId="20" xfId="0" applyNumberFormat="1" applyFill="1" applyBorder="1" applyAlignment="1">
      <alignment horizontal="center"/>
    </xf>
    <xf numFmtId="6" fontId="0" fillId="2" borderId="13" xfId="0" applyNumberFormat="1" applyFill="1" applyBorder="1" applyAlignment="1">
      <alignment horizontal="center"/>
    </xf>
    <xf numFmtId="8" fontId="0" fillId="3" borderId="0" xfId="0" applyNumberFormat="1" applyFill="1" applyProtection="1">
      <protection locked="0"/>
    </xf>
    <xf numFmtId="0" fontId="8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horizontal="left"/>
      <protection locked="0"/>
    </xf>
    <xf numFmtId="0" fontId="14" fillId="2" borderId="19" xfId="0" applyFont="1" applyFill="1" applyBorder="1" applyAlignment="1">
      <alignment horizontal="center"/>
    </xf>
    <xf numFmtId="0" fontId="14" fillId="2" borderId="20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21" xfId="0" applyFill="1" applyBorder="1" applyAlignment="1">
      <alignment horizontal="center"/>
    </xf>
    <xf numFmtId="3" fontId="0" fillId="2" borderId="19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3" fontId="0" fillId="0" borderId="0" xfId="0" applyNumberFormat="1"/>
    <xf numFmtId="3" fontId="0" fillId="3" borderId="8" xfId="0" applyNumberFormat="1" applyFill="1" applyBorder="1" applyAlignment="1">
      <alignment horizontal="center"/>
    </xf>
    <xf numFmtId="3" fontId="0" fillId="3" borderId="16" xfId="0" applyNumberForma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9" xfId="0" applyNumberFormat="1" applyFill="1" applyBorder="1" applyAlignment="1">
      <alignment horizontal="center"/>
    </xf>
    <xf numFmtId="3" fontId="0" fillId="3" borderId="17" xfId="0" applyNumberForma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0" fontId="0" fillId="0" borderId="21" xfId="0" applyBorder="1"/>
    <xf numFmtId="3" fontId="0" fillId="0" borderId="1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20" xfId="0" applyNumberFormat="1" applyBorder="1" applyAlignment="1">
      <alignment horizontal="center"/>
    </xf>
    <xf numFmtId="0" fontId="0" fillId="0" borderId="22" xfId="0" applyBorder="1"/>
    <xf numFmtId="3" fontId="0" fillId="0" borderId="21" xfId="0" applyNumberFormat="1" applyBorder="1" applyAlignment="1">
      <alignment horizontal="center"/>
    </xf>
    <xf numFmtId="167" fontId="0" fillId="0" borderId="15" xfId="0" applyNumberFormat="1" applyBorder="1" applyAlignment="1">
      <alignment horizontal="center"/>
    </xf>
    <xf numFmtId="167" fontId="0" fillId="0" borderId="16" xfId="0" applyNumberFormat="1" applyBorder="1" applyAlignment="1">
      <alignment horizontal="center"/>
    </xf>
    <xf numFmtId="167" fontId="0" fillId="0" borderId="17" xfId="0" applyNumberFormat="1" applyBorder="1" applyAlignment="1">
      <alignment horizontal="center"/>
    </xf>
    <xf numFmtId="167" fontId="0" fillId="0" borderId="18" xfId="0" applyNumberFormat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67" fontId="0" fillId="0" borderId="20" xfId="0" applyNumberFormat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7" fontId="0" fillId="3" borderId="7" xfId="0" applyNumberFormat="1" applyFill="1" applyBorder="1" applyAlignment="1">
      <alignment horizontal="center"/>
    </xf>
    <xf numFmtId="167" fontId="0" fillId="3" borderId="14" xfId="0" applyNumberFormat="1" applyFill="1" applyBorder="1" applyAlignment="1">
      <alignment horizontal="center"/>
    </xf>
    <xf numFmtId="167" fontId="0" fillId="3" borderId="18" xfId="0" applyNumberFormat="1" applyFill="1" applyBorder="1" applyAlignment="1">
      <alignment horizontal="center"/>
    </xf>
    <xf numFmtId="167" fontId="0" fillId="3" borderId="8" xfId="0" applyNumberFormat="1" applyFill="1" applyBorder="1" applyAlignment="1">
      <alignment horizontal="center"/>
    </xf>
    <xf numFmtId="167" fontId="0" fillId="3" borderId="0" xfId="0" applyNumberFormat="1" applyFill="1" applyAlignment="1">
      <alignment horizontal="center"/>
    </xf>
    <xf numFmtId="167" fontId="0" fillId="3" borderId="19" xfId="0" applyNumberFormat="1" applyFill="1" applyBorder="1" applyAlignment="1">
      <alignment horizontal="center"/>
    </xf>
    <xf numFmtId="167" fontId="0" fillId="3" borderId="9" xfId="0" applyNumberFormat="1" applyFill="1" applyBorder="1" applyAlignment="1">
      <alignment horizontal="center"/>
    </xf>
    <xf numFmtId="167" fontId="0" fillId="3" borderId="1" xfId="0" applyNumberFormat="1" applyFill="1" applyBorder="1" applyAlignment="1">
      <alignment horizontal="center"/>
    </xf>
    <xf numFmtId="167" fontId="0" fillId="3" borderId="20" xfId="0" applyNumberFormat="1" applyFill="1" applyBorder="1" applyAlignment="1">
      <alignment horizontal="center"/>
    </xf>
    <xf numFmtId="0" fontId="0" fillId="0" borderId="21" xfId="0" applyBorder="1" applyAlignment="1">
      <alignment horizontal="centerContinuous"/>
    </xf>
    <xf numFmtId="0" fontId="0" fillId="0" borderId="22" xfId="0" applyBorder="1" applyAlignment="1">
      <alignment horizontal="centerContinuous"/>
    </xf>
    <xf numFmtId="0" fontId="0" fillId="0" borderId="23" xfId="0" applyBorder="1" applyAlignment="1">
      <alignment horizontal="centerContinuous"/>
    </xf>
    <xf numFmtId="167" fontId="0" fillId="0" borderId="23" xfId="0" applyNumberFormat="1" applyBorder="1" applyAlignment="1">
      <alignment horizontal="center"/>
    </xf>
    <xf numFmtId="167" fontId="0" fillId="0" borderId="13" xfId="0" applyNumberFormat="1" applyBorder="1" applyAlignment="1">
      <alignment horizontal="center"/>
    </xf>
    <xf numFmtId="167" fontId="0" fillId="3" borderId="15" xfId="0" applyNumberFormat="1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7" xfId="0" applyBorder="1"/>
    <xf numFmtId="0" fontId="0" fillId="0" borderId="15" xfId="0" applyBorder="1"/>
    <xf numFmtId="0" fontId="19" fillId="0" borderId="0" xfId="0" applyFont="1"/>
    <xf numFmtId="0" fontId="0" fillId="3" borderId="21" xfId="0" applyFill="1" applyBorder="1" applyAlignment="1">
      <alignment horizontal="centerContinuous"/>
    </xf>
    <xf numFmtId="0" fontId="0" fillId="3" borderId="23" xfId="0" applyFill="1" applyBorder="1" applyAlignment="1">
      <alignment horizontal="centerContinuous"/>
    </xf>
    <xf numFmtId="0" fontId="0" fillId="2" borderId="18" xfId="0" applyFill="1" applyBorder="1"/>
    <xf numFmtId="0" fontId="0" fillId="2" borderId="7" xfId="0" applyFill="1" applyBorder="1" applyAlignment="1">
      <alignment horizontal="centerContinuous"/>
    </xf>
    <xf numFmtId="0" fontId="0" fillId="3" borderId="18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164" fontId="0" fillId="3" borderId="18" xfId="1" applyNumberFormat="1" applyFont="1" applyFill="1" applyBorder="1" applyAlignment="1">
      <alignment horizontal="center"/>
    </xf>
    <xf numFmtId="164" fontId="0" fillId="3" borderId="19" xfId="1" applyNumberFormat="1" applyFont="1" applyFill="1" applyBorder="1" applyAlignment="1">
      <alignment horizontal="center"/>
    </xf>
    <xf numFmtId="164" fontId="0" fillId="3" borderId="20" xfId="1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0" fontId="3" fillId="0" borderId="0" xfId="2" applyAlignment="1">
      <alignment horizontal="center"/>
    </xf>
    <xf numFmtId="0" fontId="0" fillId="0" borderId="18" xfId="0" applyBorder="1" applyAlignment="1">
      <alignment horizontal="center"/>
    </xf>
    <xf numFmtId="9" fontId="0" fillId="0" borderId="0" xfId="0" applyNumberFormat="1"/>
    <xf numFmtId="0" fontId="0" fillId="0" borderId="14" xfId="0" applyBorder="1" applyAlignment="1">
      <alignment horizontal="centerContinuous"/>
    </xf>
    <xf numFmtId="0" fontId="0" fillId="0" borderId="15" xfId="0" applyBorder="1" applyAlignment="1">
      <alignment horizontal="centerContinuous"/>
    </xf>
    <xf numFmtId="0" fontId="0" fillId="0" borderId="7" xfId="0" applyBorder="1" applyAlignment="1">
      <alignment horizontal="center"/>
    </xf>
    <xf numFmtId="0" fontId="0" fillId="0" borderId="15" xfId="0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9" fontId="0" fillId="0" borderId="18" xfId="1" applyFont="1" applyBorder="1" applyAlignment="1">
      <alignment horizontal="center"/>
    </xf>
    <xf numFmtId="164" fontId="0" fillId="0" borderId="19" xfId="1" applyNumberFormat="1" applyFont="1" applyBorder="1" applyAlignment="1">
      <alignment horizontal="center"/>
    </xf>
    <xf numFmtId="9" fontId="0" fillId="0" borderId="19" xfId="1" applyFon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9" fontId="0" fillId="0" borderId="20" xfId="1" applyFont="1" applyBorder="1" applyAlignment="1">
      <alignment horizontal="center"/>
    </xf>
    <xf numFmtId="164" fontId="0" fillId="0" borderId="20" xfId="1" applyNumberFormat="1" applyFont="1" applyBorder="1" applyAlignment="1">
      <alignment horizontal="center"/>
    </xf>
    <xf numFmtId="9" fontId="21" fillId="0" borderId="0" xfId="0" applyNumberFormat="1" applyFont="1"/>
    <xf numFmtId="3" fontId="21" fillId="0" borderId="0" xfId="0" applyNumberFormat="1" applyFont="1"/>
    <xf numFmtId="165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3" fontId="22" fillId="0" borderId="0" xfId="0" applyNumberFormat="1" applyFont="1"/>
    <xf numFmtId="165" fontId="0" fillId="2" borderId="7" xfId="0" applyNumberFormat="1" applyFill="1" applyBorder="1" applyAlignment="1">
      <alignment horizontal="center"/>
    </xf>
    <xf numFmtId="165" fontId="0" fillId="2" borderId="15" xfId="0" applyNumberFormat="1" applyFill="1" applyBorder="1" applyAlignment="1">
      <alignment horizontal="center"/>
    </xf>
    <xf numFmtId="165" fontId="0" fillId="2" borderId="8" xfId="0" applyNumberFormat="1" applyFill="1" applyBorder="1" applyAlignment="1">
      <alignment horizontal="center"/>
    </xf>
    <xf numFmtId="165" fontId="0" fillId="2" borderId="9" xfId="0" applyNumberFormat="1" applyFill="1" applyBorder="1" applyAlignment="1">
      <alignment horizontal="center"/>
    </xf>
    <xf numFmtId="0" fontId="2" fillId="2" borderId="2" xfId="0" applyFont="1" applyFill="1" applyBorder="1"/>
    <xf numFmtId="0" fontId="0" fillId="2" borderId="3" xfId="0" applyFill="1" applyBorder="1"/>
    <xf numFmtId="0" fontId="6" fillId="2" borderId="3" xfId="0" applyFont="1" applyFill="1" applyBorder="1"/>
    <xf numFmtId="3" fontId="0" fillId="2" borderId="5" xfId="0" applyNumberFormat="1" applyFill="1" applyBorder="1"/>
    <xf numFmtId="3" fontId="0" fillId="2" borderId="0" xfId="0" applyNumberFormat="1" applyFill="1"/>
    <xf numFmtId="3" fontId="0" fillId="2" borderId="6" xfId="0" applyNumberFormat="1" applyFill="1" applyBorder="1"/>
    <xf numFmtId="3" fontId="2" fillId="2" borderId="5" xfId="0" applyNumberFormat="1" applyFont="1" applyFill="1" applyBorder="1"/>
    <xf numFmtId="3" fontId="0" fillId="2" borderId="12" xfId="0" applyNumberFormat="1" applyFill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2" borderId="3" xfId="2" applyFill="1" applyBorder="1" applyAlignment="1" applyProtection="1">
      <alignment horizontal="right"/>
      <protection locked="0"/>
    </xf>
    <xf numFmtId="0" fontId="3" fillId="2" borderId="4" xfId="2" applyFill="1" applyBorder="1" applyAlignment="1" applyProtection="1">
      <alignment horizontal="right"/>
      <protection locked="0"/>
    </xf>
    <xf numFmtId="0" fontId="0" fillId="2" borderId="21" xfId="0" applyFill="1" applyBorder="1" applyAlignment="1">
      <alignment horizontal="right"/>
    </xf>
    <xf numFmtId="0" fontId="0" fillId="2" borderId="23" xfId="0" applyFill="1" applyBorder="1" applyAlignment="1">
      <alignment horizontal="right"/>
    </xf>
    <xf numFmtId="0" fontId="17" fillId="0" borderId="0" xfId="0" applyFont="1" applyAlignment="1" applyProtection="1">
      <alignment horizontal="center" textRotation="90"/>
      <protection locked="0"/>
    </xf>
    <xf numFmtId="0" fontId="2" fillId="2" borderId="13" xfId="0" applyFont="1" applyFill="1" applyBorder="1" applyAlignment="1">
      <alignment horizontal="center" wrapText="1"/>
    </xf>
  </cellXfs>
  <cellStyles count="4">
    <cellStyle name="Currency" xfId="3" builtinId="4"/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Lorenz Curve for Logistic Regression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GLM_Validation5!$S$6:$S$31</c:f>
              <c:numCache>
                <c:formatCode>0%</c:formatCode>
                <c:ptCount val="26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0.2</c:v>
                </c:pt>
                <c:pt idx="10">
                  <c:v>0.22</c:v>
                </c:pt>
                <c:pt idx="11">
                  <c:v>0.24</c:v>
                </c:pt>
                <c:pt idx="12">
                  <c:v>0.26</c:v>
                </c:pt>
                <c:pt idx="13">
                  <c:v>0.28000000000000003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</c:v>
                </c:pt>
                <c:pt idx="18">
                  <c:v>0.38</c:v>
                </c:pt>
                <c:pt idx="19">
                  <c:v>0.4</c:v>
                </c:pt>
                <c:pt idx="20">
                  <c:v>0.42</c:v>
                </c:pt>
                <c:pt idx="21">
                  <c:v>0.44</c:v>
                </c:pt>
                <c:pt idx="22">
                  <c:v>0.46</c:v>
                </c:pt>
                <c:pt idx="23">
                  <c:v>0.48</c:v>
                </c:pt>
                <c:pt idx="24">
                  <c:v>0.5</c:v>
                </c:pt>
                <c:pt idx="25">
                  <c:v>0.52</c:v>
                </c:pt>
              </c:numCache>
            </c:numRef>
          </c:xVal>
          <c:yVal>
            <c:numRef>
              <c:f>GLM_Validation5!$T$6:$T$31</c:f>
              <c:numCache>
                <c:formatCode>0.0%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4.3478260869565216E-2</c:v>
                </c:pt>
                <c:pt idx="10">
                  <c:v>4.3478260869565216E-2</c:v>
                </c:pt>
                <c:pt idx="11">
                  <c:v>4.3478260869565216E-2</c:v>
                </c:pt>
                <c:pt idx="12">
                  <c:v>4.3478260869565216E-2</c:v>
                </c:pt>
                <c:pt idx="13">
                  <c:v>4.3478260869565216E-2</c:v>
                </c:pt>
                <c:pt idx="14">
                  <c:v>4.3478260869565216E-2</c:v>
                </c:pt>
                <c:pt idx="15">
                  <c:v>4.3478260869565216E-2</c:v>
                </c:pt>
                <c:pt idx="16">
                  <c:v>8.6956521739130432E-2</c:v>
                </c:pt>
                <c:pt idx="17">
                  <c:v>8.6956521739130432E-2</c:v>
                </c:pt>
                <c:pt idx="18">
                  <c:v>8.6956521739130432E-2</c:v>
                </c:pt>
                <c:pt idx="19">
                  <c:v>0.13043478260869565</c:v>
                </c:pt>
                <c:pt idx="20">
                  <c:v>0.13043478260869565</c:v>
                </c:pt>
                <c:pt idx="21">
                  <c:v>0.13043478260869565</c:v>
                </c:pt>
                <c:pt idx="22">
                  <c:v>0.13043478260869565</c:v>
                </c:pt>
                <c:pt idx="23">
                  <c:v>0.17391304347826086</c:v>
                </c:pt>
                <c:pt idx="24">
                  <c:v>0.17391304347826086</c:v>
                </c:pt>
                <c:pt idx="25" formatCode="#,##0">
                  <c:v>0.17391304347826086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A5-4809-A740-99227AD60B1F}"/>
            </c:ext>
          </c:extLst>
        </c:ser>
        <c:ser>
          <c:idx val="1"/>
          <c:order val="1"/>
          <c:tx>
            <c:v>Series2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GLM_Validation5!$Y$6:$Y$30</c:f>
              <c:numCache>
                <c:formatCode>0%</c:formatCode>
                <c:ptCount val="25"/>
                <c:pt idx="0">
                  <c:v>0.52</c:v>
                </c:pt>
                <c:pt idx="1">
                  <c:v>0.54</c:v>
                </c:pt>
                <c:pt idx="2">
                  <c:v>0.56000000000000005</c:v>
                </c:pt>
                <c:pt idx="3">
                  <c:v>0.57999999999999996</c:v>
                </c:pt>
                <c:pt idx="4">
                  <c:v>0.6</c:v>
                </c:pt>
                <c:pt idx="5">
                  <c:v>0.62</c:v>
                </c:pt>
                <c:pt idx="6">
                  <c:v>0.64</c:v>
                </c:pt>
                <c:pt idx="7">
                  <c:v>0.66</c:v>
                </c:pt>
                <c:pt idx="8">
                  <c:v>0.68</c:v>
                </c:pt>
                <c:pt idx="9">
                  <c:v>0.7</c:v>
                </c:pt>
                <c:pt idx="10">
                  <c:v>0.72</c:v>
                </c:pt>
                <c:pt idx="11">
                  <c:v>0.74</c:v>
                </c:pt>
                <c:pt idx="12">
                  <c:v>0.76</c:v>
                </c:pt>
                <c:pt idx="13">
                  <c:v>0.78</c:v>
                </c:pt>
                <c:pt idx="14">
                  <c:v>0.8</c:v>
                </c:pt>
                <c:pt idx="15">
                  <c:v>0.82</c:v>
                </c:pt>
                <c:pt idx="16">
                  <c:v>0.84</c:v>
                </c:pt>
                <c:pt idx="17">
                  <c:v>0.86</c:v>
                </c:pt>
                <c:pt idx="18">
                  <c:v>0.88</c:v>
                </c:pt>
                <c:pt idx="19">
                  <c:v>0.9</c:v>
                </c:pt>
                <c:pt idx="20">
                  <c:v>0.92</c:v>
                </c:pt>
                <c:pt idx="21">
                  <c:v>0.94</c:v>
                </c:pt>
                <c:pt idx="22">
                  <c:v>0.96</c:v>
                </c:pt>
                <c:pt idx="23">
                  <c:v>0.98</c:v>
                </c:pt>
                <c:pt idx="24">
                  <c:v>1</c:v>
                </c:pt>
              </c:numCache>
            </c:numRef>
          </c:xVal>
          <c:yVal>
            <c:numRef>
              <c:f>GLM_Validation5!$Z$6:$Z$30</c:f>
              <c:numCache>
                <c:formatCode>0.0%</c:formatCode>
                <c:ptCount val="25"/>
                <c:pt idx="0">
                  <c:v>0.17391304347826086</c:v>
                </c:pt>
                <c:pt idx="1">
                  <c:v>0.21739130434782608</c:v>
                </c:pt>
                <c:pt idx="2">
                  <c:v>0.21739130434782608</c:v>
                </c:pt>
                <c:pt idx="3">
                  <c:v>0.2608695652173913</c:v>
                </c:pt>
                <c:pt idx="4">
                  <c:v>0.2608695652173913</c:v>
                </c:pt>
                <c:pt idx="5">
                  <c:v>0.2608695652173913</c:v>
                </c:pt>
                <c:pt idx="6">
                  <c:v>0.30434782608695654</c:v>
                </c:pt>
                <c:pt idx="7">
                  <c:v>0.34782608695652173</c:v>
                </c:pt>
                <c:pt idx="8">
                  <c:v>0.39130434782608697</c:v>
                </c:pt>
                <c:pt idx="9">
                  <c:v>0.39130434782608697</c:v>
                </c:pt>
                <c:pt idx="10">
                  <c:v>0.43478260869565216</c:v>
                </c:pt>
                <c:pt idx="11">
                  <c:v>0.43478260869565216</c:v>
                </c:pt>
                <c:pt idx="12">
                  <c:v>0.47826086956521741</c:v>
                </c:pt>
                <c:pt idx="13">
                  <c:v>0.52173913043478259</c:v>
                </c:pt>
                <c:pt idx="14">
                  <c:v>0.56521739130434778</c:v>
                </c:pt>
                <c:pt idx="15">
                  <c:v>0.60869565217391308</c:v>
                </c:pt>
                <c:pt idx="16">
                  <c:v>0.65217391304347827</c:v>
                </c:pt>
                <c:pt idx="17">
                  <c:v>0.69565217391304346</c:v>
                </c:pt>
                <c:pt idx="18">
                  <c:v>0.73913043478260865</c:v>
                </c:pt>
                <c:pt idx="19">
                  <c:v>0.78260869565217395</c:v>
                </c:pt>
                <c:pt idx="20">
                  <c:v>0.82608695652173914</c:v>
                </c:pt>
                <c:pt idx="21">
                  <c:v>0.86956521739130432</c:v>
                </c:pt>
                <c:pt idx="22">
                  <c:v>0.91304347826086951</c:v>
                </c:pt>
                <c:pt idx="23">
                  <c:v>0.95652173913043481</c:v>
                </c:pt>
                <c:pt idx="24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A5-4809-A740-99227AD60B1F}"/>
            </c:ext>
          </c:extLst>
        </c:ser>
        <c:ser>
          <c:idx val="2"/>
          <c:order val="2"/>
          <c:tx>
            <c:v>Line of Equality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GLM_Validation5!$AB$1:$AB$50</c:f>
              <c:numCache>
                <c:formatCode>0%</c:formatCode>
                <c:ptCount val="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0.2</c:v>
                </c:pt>
                <c:pt idx="10">
                  <c:v>0.22</c:v>
                </c:pt>
                <c:pt idx="11">
                  <c:v>0.24</c:v>
                </c:pt>
                <c:pt idx="12">
                  <c:v>0.26</c:v>
                </c:pt>
                <c:pt idx="13">
                  <c:v>0.28000000000000003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</c:v>
                </c:pt>
                <c:pt idx="18">
                  <c:v>0.38</c:v>
                </c:pt>
                <c:pt idx="19">
                  <c:v>0.4</c:v>
                </c:pt>
                <c:pt idx="20">
                  <c:v>0.42</c:v>
                </c:pt>
                <c:pt idx="21">
                  <c:v>0.44</c:v>
                </c:pt>
                <c:pt idx="22">
                  <c:v>0.46</c:v>
                </c:pt>
                <c:pt idx="23">
                  <c:v>0.48</c:v>
                </c:pt>
                <c:pt idx="24">
                  <c:v>0.5</c:v>
                </c:pt>
                <c:pt idx="25">
                  <c:v>0.52</c:v>
                </c:pt>
                <c:pt idx="26">
                  <c:v>0.54</c:v>
                </c:pt>
                <c:pt idx="27">
                  <c:v>0.56000000000000005</c:v>
                </c:pt>
                <c:pt idx="28">
                  <c:v>0.57999999999999996</c:v>
                </c:pt>
                <c:pt idx="29">
                  <c:v>0.6</c:v>
                </c:pt>
                <c:pt idx="30">
                  <c:v>0.62</c:v>
                </c:pt>
                <c:pt idx="31">
                  <c:v>0.64</c:v>
                </c:pt>
                <c:pt idx="32">
                  <c:v>0.66</c:v>
                </c:pt>
                <c:pt idx="33">
                  <c:v>0.68</c:v>
                </c:pt>
                <c:pt idx="34">
                  <c:v>0.7</c:v>
                </c:pt>
                <c:pt idx="35">
                  <c:v>0.72</c:v>
                </c:pt>
                <c:pt idx="36">
                  <c:v>0.74</c:v>
                </c:pt>
                <c:pt idx="37">
                  <c:v>0.76</c:v>
                </c:pt>
                <c:pt idx="38">
                  <c:v>0.78</c:v>
                </c:pt>
                <c:pt idx="39">
                  <c:v>0.8</c:v>
                </c:pt>
                <c:pt idx="40">
                  <c:v>0.82</c:v>
                </c:pt>
                <c:pt idx="41">
                  <c:v>0.84</c:v>
                </c:pt>
                <c:pt idx="42">
                  <c:v>0.86</c:v>
                </c:pt>
                <c:pt idx="43">
                  <c:v>0.88</c:v>
                </c:pt>
                <c:pt idx="44">
                  <c:v>0.9</c:v>
                </c:pt>
                <c:pt idx="45">
                  <c:v>0.92</c:v>
                </c:pt>
                <c:pt idx="46">
                  <c:v>0.94</c:v>
                </c:pt>
                <c:pt idx="47">
                  <c:v>0.96</c:v>
                </c:pt>
                <c:pt idx="48">
                  <c:v>0.98</c:v>
                </c:pt>
              </c:numCache>
            </c:numRef>
          </c:xVal>
          <c:yVal>
            <c:numRef>
              <c:f>GLM_Validation5!$AC$1:$AC$50</c:f>
              <c:numCache>
                <c:formatCode>0%</c:formatCode>
                <c:ptCount val="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0.2</c:v>
                </c:pt>
                <c:pt idx="10">
                  <c:v>0.22</c:v>
                </c:pt>
                <c:pt idx="11">
                  <c:v>0.24</c:v>
                </c:pt>
                <c:pt idx="12">
                  <c:v>0.26</c:v>
                </c:pt>
                <c:pt idx="13">
                  <c:v>0.28000000000000003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</c:v>
                </c:pt>
                <c:pt idx="18">
                  <c:v>0.38</c:v>
                </c:pt>
                <c:pt idx="19">
                  <c:v>0.4</c:v>
                </c:pt>
                <c:pt idx="20">
                  <c:v>0.42</c:v>
                </c:pt>
                <c:pt idx="21">
                  <c:v>0.44</c:v>
                </c:pt>
                <c:pt idx="22">
                  <c:v>0.46</c:v>
                </c:pt>
                <c:pt idx="23">
                  <c:v>0.48</c:v>
                </c:pt>
                <c:pt idx="24">
                  <c:v>0.5</c:v>
                </c:pt>
                <c:pt idx="25">
                  <c:v>0.52</c:v>
                </c:pt>
                <c:pt idx="26">
                  <c:v>0.54</c:v>
                </c:pt>
                <c:pt idx="27">
                  <c:v>0.56000000000000005</c:v>
                </c:pt>
                <c:pt idx="28">
                  <c:v>0.57999999999999996</c:v>
                </c:pt>
                <c:pt idx="29">
                  <c:v>0.6</c:v>
                </c:pt>
                <c:pt idx="30">
                  <c:v>0.62</c:v>
                </c:pt>
                <c:pt idx="31">
                  <c:v>0.64</c:v>
                </c:pt>
                <c:pt idx="32">
                  <c:v>0.66</c:v>
                </c:pt>
                <c:pt idx="33">
                  <c:v>0.68</c:v>
                </c:pt>
                <c:pt idx="34">
                  <c:v>0.7</c:v>
                </c:pt>
                <c:pt idx="35">
                  <c:v>0.72</c:v>
                </c:pt>
                <c:pt idx="36">
                  <c:v>0.74</c:v>
                </c:pt>
                <c:pt idx="37">
                  <c:v>0.76</c:v>
                </c:pt>
                <c:pt idx="38">
                  <c:v>0.78</c:v>
                </c:pt>
                <c:pt idx="39">
                  <c:v>0.8</c:v>
                </c:pt>
                <c:pt idx="40">
                  <c:v>0.82</c:v>
                </c:pt>
                <c:pt idx="41">
                  <c:v>0.84</c:v>
                </c:pt>
                <c:pt idx="42">
                  <c:v>0.86</c:v>
                </c:pt>
                <c:pt idx="43">
                  <c:v>0.88</c:v>
                </c:pt>
                <c:pt idx="44">
                  <c:v>0.9</c:v>
                </c:pt>
                <c:pt idx="45">
                  <c:v>0.92</c:v>
                </c:pt>
                <c:pt idx="46">
                  <c:v>0.94</c:v>
                </c:pt>
                <c:pt idx="47">
                  <c:v>0.96</c:v>
                </c:pt>
                <c:pt idx="48">
                  <c:v>0.98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A5-4809-A740-99227AD60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0718896"/>
        <c:axId val="520719256"/>
      </c:scatterChart>
      <c:valAx>
        <c:axId val="52071889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Percent of Exposures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719256"/>
        <c:crosses val="autoZero"/>
        <c:crossBetween val="midCat"/>
      </c:valAx>
      <c:valAx>
        <c:axId val="52071925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Percent</a:t>
                </a:r>
                <a:r>
                  <a:rPr lang="en-GB" baseline="0"/>
                  <a:t> of Outcomes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718896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1153372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4F4398-C6B9-4B84-9C8B-C1635BBEB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228600</xdr:colOff>
      <xdr:row>4</xdr:row>
      <xdr:rowOff>109537</xdr:rowOff>
    </xdr:from>
    <xdr:ext cx="2777299" cy="35766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226B06C-8BED-8AEE-0B48-0B00053F668C}"/>
                </a:ext>
              </a:extLst>
            </xdr:cNvPr>
            <xdr:cNvSpPr txBox="1"/>
          </xdr:nvSpPr>
          <xdr:spPr>
            <a:xfrm>
              <a:off x="6038850" y="871537"/>
              <a:ext cx="2777299" cy="3576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𝐹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𝑠𝑡𝑎𝑡𝑖𝑠𝑡𝑖𝑐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sub>
                        </m:sSub>
                      </m:num>
                      <m:den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𝑎𝑑𝑑𝑒𝑑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𝑝𝑎𝑟𝑎𝑚𝑒𝑡𝑒𝑟𝑠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𝜙</m:t>
                                </m:r>
                              </m:e>
                            </m:acc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226B06C-8BED-8AEE-0B48-0B00053F668C}"/>
                </a:ext>
              </a:extLst>
            </xdr:cNvPr>
            <xdr:cNvSpPr txBox="1"/>
          </xdr:nvSpPr>
          <xdr:spPr>
            <a:xfrm>
              <a:off x="6038850" y="871537"/>
              <a:ext cx="2777299" cy="3576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𝐹−𝑠𝑡𝑎𝑡𝑖𝑠𝑡𝑖𝑐=(𝐷_𝑆−𝐷_𝐵)/((# 𝑎𝑑𝑑𝑒𝑑 𝑝𝑎𝑟𝑎𝑚𝑒𝑡𝑒𝑟𝑠)⋅𝜙 ̂_𝐵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57150</xdr:colOff>
      <xdr:row>26</xdr:row>
      <xdr:rowOff>61912</xdr:rowOff>
    </xdr:from>
    <xdr:ext cx="2295179" cy="34990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84BD6FA-D2E2-075D-52FB-5BCA2DAB3925}"/>
                </a:ext>
              </a:extLst>
            </xdr:cNvPr>
            <xdr:cNvSpPr txBox="1"/>
          </xdr:nvSpPr>
          <xdr:spPr>
            <a:xfrm>
              <a:off x="6724650" y="5014912"/>
              <a:ext cx="2295179" cy="3499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𝑚𝑜𝑑𝑒𝑙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𝑝𝑟𝑒𝑑𝑖𝑐𝑡𝑒𝑑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𝑝𝑢𝑟𝑒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𝑝𝑟𝑒𝑚𝑖𝑢𝑚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𝑎𝑐𝑡𝑢𝑎𝑙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𝑝𝑢𝑟𝑒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𝑝𝑟𝑒𝑚𝑖𝑢𝑚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84BD6FA-D2E2-075D-52FB-5BCA2DAB3925}"/>
                </a:ext>
              </a:extLst>
            </xdr:cNvPr>
            <xdr:cNvSpPr txBox="1"/>
          </xdr:nvSpPr>
          <xdr:spPr>
            <a:xfrm>
              <a:off x="6724650" y="5014912"/>
              <a:ext cx="2295179" cy="3499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(𝑚𝑜𝑑𝑒𝑙 𝑝𝑟𝑒𝑑𝑖𝑐𝑡𝑒𝑑 𝑝𝑢𝑟𝑒 𝑝𝑟𝑒𝑚𝑖𝑢𝑚 )/(𝑎𝑐𝑡𝑢𝑎𝑙 𝑝𝑢𝑟𝑒 𝑝𝑟𝑒𝑚𝑖𝑢𝑚)−1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16933</xdr:colOff>
      <xdr:row>30</xdr:row>
      <xdr:rowOff>182034</xdr:rowOff>
    </xdr:from>
    <xdr:to>
      <xdr:col>19</xdr:col>
      <xdr:colOff>50800</xdr:colOff>
      <xdr:row>45</xdr:row>
      <xdr:rowOff>131234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DEE48F-852F-45EB-80F0-8363B8B99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47625</xdr:colOff>
      <xdr:row>1</xdr:row>
      <xdr:rowOff>61912</xdr:rowOff>
    </xdr:from>
    <xdr:ext cx="2312043" cy="2898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BD0431C-03AB-3669-0EE9-CDD89AB04F3B}"/>
                </a:ext>
              </a:extLst>
            </xdr:cNvPr>
            <xdr:cNvSpPr txBox="1"/>
          </xdr:nvSpPr>
          <xdr:spPr>
            <a:xfrm>
              <a:off x="5572125" y="252412"/>
              <a:ext cx="2312043" cy="2898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log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−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logistic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link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function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𝑢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𝑢</m:t>
                                </m:r>
                              </m:den>
                            </m:f>
                          </m:e>
                        </m:d>
                      </m:e>
                    </m:func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BD0431C-03AB-3669-0EE9-CDD89AB04F3B}"/>
                </a:ext>
              </a:extLst>
            </xdr:cNvPr>
            <xdr:cNvSpPr txBox="1"/>
          </xdr:nvSpPr>
          <xdr:spPr>
            <a:xfrm>
              <a:off x="5572125" y="252412"/>
              <a:ext cx="2312043" cy="2898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"log-logistic link function"=ln⁡(𝑢/(1−𝑢)) 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</xdr:row>
      <xdr:rowOff>119062</xdr:rowOff>
    </xdr:from>
    <xdr:ext cx="1106008" cy="3570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D407DB0-D99D-5BAE-D853-130A3638462B}"/>
                </a:ext>
              </a:extLst>
            </xdr:cNvPr>
            <xdr:cNvSpPr txBox="1"/>
          </xdr:nvSpPr>
          <xdr:spPr>
            <a:xfrm>
              <a:off x="933450" y="1833562"/>
              <a:ext cx="1106008" cy="3570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𝜙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𝜇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𝜔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D407DB0-D99D-5BAE-D853-130A3638462B}"/>
                </a:ext>
              </a:extLst>
            </xdr:cNvPr>
            <xdr:cNvSpPr txBox="1"/>
          </xdr:nvSpPr>
          <xdr:spPr>
            <a:xfrm>
              <a:off x="933450" y="1833562"/>
              <a:ext cx="1106008" cy="3570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𝑉𝑎𝑟(𝑌_𝑖 )=𝜙𝑉(𝜇_𝑖 )/𝜔_𝑖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104775</xdr:colOff>
      <xdr:row>4</xdr:row>
      <xdr:rowOff>14287</xdr:rowOff>
    </xdr:from>
    <xdr:ext cx="88594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D064DF9-F622-FC7B-61A5-7997938F5446}"/>
                </a:ext>
              </a:extLst>
            </xdr:cNvPr>
            <xdr:cNvSpPr txBox="1"/>
          </xdr:nvSpPr>
          <xdr:spPr>
            <a:xfrm>
              <a:off x="6276975" y="776287"/>
              <a:ext cx="88594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𝜙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𝑉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𝜇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𝜙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𝜇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D064DF9-F622-FC7B-61A5-7997938F5446}"/>
                </a:ext>
              </a:extLst>
            </xdr:cNvPr>
            <xdr:cNvSpPr txBox="1"/>
          </xdr:nvSpPr>
          <xdr:spPr>
            <a:xfrm>
              <a:off x="6276975" y="776287"/>
              <a:ext cx="88594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𝜙𝑉(𝜇)=𝜙⋅𝜇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1381125</xdr:colOff>
      <xdr:row>10</xdr:row>
      <xdr:rowOff>80962</xdr:rowOff>
    </xdr:from>
    <xdr:ext cx="1132298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B8860BA-AAEF-484B-B370-30D6BB9EA08B}"/>
                </a:ext>
              </a:extLst>
            </xdr:cNvPr>
            <xdr:cNvSpPr txBox="1"/>
          </xdr:nvSpPr>
          <xdr:spPr>
            <a:xfrm>
              <a:off x="3257550" y="1985962"/>
              <a:ext cx="1132298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𝑔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𝜇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𝜇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𝜇</m:t>
                                </m:r>
                              </m:den>
                            </m:f>
                          </m:e>
                        </m:d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B8860BA-AAEF-484B-B370-30D6BB9EA08B}"/>
                </a:ext>
              </a:extLst>
            </xdr:cNvPr>
            <xdr:cNvSpPr txBox="1"/>
          </xdr:nvSpPr>
          <xdr:spPr>
            <a:xfrm>
              <a:off x="3257550" y="1985962"/>
              <a:ext cx="1132298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𝑔(𝜇)=ln⁡(𝜇/(1−𝜇))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76200</xdr:colOff>
      <xdr:row>4</xdr:row>
      <xdr:rowOff>128587</xdr:rowOff>
    </xdr:from>
    <xdr:ext cx="198144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D9073D4A-5DAE-4C20-8132-009F705BDCC9}"/>
                </a:ext>
              </a:extLst>
            </xdr:cNvPr>
            <xdr:cNvSpPr txBox="1"/>
          </xdr:nvSpPr>
          <xdr:spPr>
            <a:xfrm>
              <a:off x="6486525" y="900112"/>
              <a:ext cx="198144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ln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𝜇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𝜇</m:t>
                                </m:r>
                              </m:den>
                            </m:f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𝛽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𝛽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0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m:rPr>
                            <m:nor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offset</m:t>
                        </m:r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D9073D4A-5DAE-4C20-8132-009F705BDCC9}"/>
                </a:ext>
              </a:extLst>
            </xdr:cNvPr>
            <xdr:cNvSpPr txBox="1"/>
          </xdr:nvSpPr>
          <xdr:spPr>
            <a:xfrm>
              <a:off x="6486525" y="900112"/>
              <a:ext cx="198144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ln⁡〖(𝜇/(1−𝜇))=𝛽_1⋅𝑥+𝛽_0+"offset" 〗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0</xdr:colOff>
      <xdr:row>4</xdr:row>
      <xdr:rowOff>138112</xdr:rowOff>
    </xdr:from>
    <xdr:ext cx="1147685" cy="3207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C7E8745-34EF-45F4-B032-FBF4C48A8D98}"/>
                </a:ext>
              </a:extLst>
            </xdr:cNvPr>
            <xdr:cNvSpPr txBox="1"/>
          </xdr:nvSpPr>
          <xdr:spPr>
            <a:xfrm>
              <a:off x="9077325" y="909637"/>
              <a:ext cx="1147685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𝑔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𝜇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1+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C7E8745-34EF-45F4-B032-FBF4C48A8D98}"/>
                </a:ext>
              </a:extLst>
            </xdr:cNvPr>
            <xdr:cNvSpPr txBox="1"/>
          </xdr:nvSpPr>
          <xdr:spPr>
            <a:xfrm>
              <a:off x="9077325" y="909637"/>
              <a:ext cx="1147685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𝑔^(−1) (𝜇)=  1/(1+𝑒^(−𝜇)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7</xdr:row>
      <xdr:rowOff>9525</xdr:rowOff>
    </xdr:from>
    <xdr:to>
      <xdr:col>9</xdr:col>
      <xdr:colOff>476250</xdr:colOff>
      <xdr:row>24</xdr:row>
      <xdr:rowOff>30319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FEE5C0-C035-4BB2-8AD9-AADFB8FCF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4875" y="1343025"/>
          <a:ext cx="5381625" cy="32592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9525</xdr:colOff>
      <xdr:row>1</xdr:row>
      <xdr:rowOff>4762</xdr:rowOff>
    </xdr:from>
    <xdr:ext cx="3034485" cy="1897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B5E9BBF5-1DDC-FEB5-4779-311319ED874D}"/>
                </a:ext>
              </a:extLst>
            </xdr:cNvPr>
            <xdr:cNvSpPr txBox="1"/>
          </xdr:nvSpPr>
          <xdr:spPr>
            <a:xfrm>
              <a:off x="6067425" y="195262"/>
              <a:ext cx="3034485" cy="1897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𝑡h</m:t>
                        </m:r>
                      </m:sup>
                    </m:sSup>
                    <m:r>
                      <a:rPr lang="en-US" sz="1100" b="0" i="1">
                        <a:latin typeface="Cambria Math" panose="02040503050406030204" pitchFamily="18" charset="0"/>
                      </a:rPr>
                      <m:t>𝑝𝑎𝑟𝑡𝑖𝑎𝑙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𝑟𝑒𝑠𝑖𝑑𝑢𝑎𝑙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𝑔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p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B5E9BBF5-1DDC-FEB5-4779-311319ED874D}"/>
                </a:ext>
              </a:extLst>
            </xdr:cNvPr>
            <xdr:cNvSpPr txBox="1"/>
          </xdr:nvSpPr>
          <xdr:spPr>
            <a:xfrm>
              <a:off x="6067425" y="195262"/>
              <a:ext cx="3034485" cy="1897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𝑖^𝑡ℎ 𝑝𝑎𝑟𝑡𝑖𝑎𝑙 𝑟𝑒𝑠𝑖𝑑𝑢𝑎𝑙=(𝑦_𝑖−𝜇_𝑖 )⋅𝑔^′ (𝜇_𝑖 )+𝛽_𝑗⋅𝑥_(𝑖,𝑗)</a:t>
              </a:r>
              <a:endParaRPr lang="en-GB" sz="1100"/>
            </a:p>
          </xdr:txBody>
        </xdr:sp>
      </mc:Fallback>
    </mc:AlternateContent>
    <xdr:clientData/>
  </xdr:oneCellAnchor>
  <xdr:twoCellAnchor editAs="oneCell">
    <xdr:from>
      <xdr:col>0</xdr:col>
      <xdr:colOff>742950</xdr:colOff>
      <xdr:row>24</xdr:row>
      <xdr:rowOff>19050</xdr:rowOff>
    </xdr:from>
    <xdr:to>
      <xdr:col>8</xdr:col>
      <xdr:colOff>390525</xdr:colOff>
      <xdr:row>39</xdr:row>
      <xdr:rowOff>75643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5FEC480-4EC2-E5AF-DA23-5B65AF962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4591050"/>
          <a:ext cx="4848225" cy="291409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5</xdr:row>
      <xdr:rowOff>9526</xdr:rowOff>
    </xdr:from>
    <xdr:to>
      <xdr:col>9</xdr:col>
      <xdr:colOff>642384</xdr:colOff>
      <xdr:row>20</xdr:row>
      <xdr:rowOff>32660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C04AE4-3E93-42E0-B7BA-B75014CEF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0" y="962026"/>
          <a:ext cx="5500134" cy="288063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361950</xdr:colOff>
      <xdr:row>0</xdr:row>
      <xdr:rowOff>119062</xdr:rowOff>
    </xdr:from>
    <xdr:ext cx="2074542" cy="3575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91ED89A-0CA0-4A06-A398-5BA922328A94}"/>
                </a:ext>
              </a:extLst>
            </xdr:cNvPr>
            <xdr:cNvSpPr txBox="1"/>
          </xdr:nvSpPr>
          <xdr:spPr>
            <a:xfrm>
              <a:off x="7772400" y="119062"/>
              <a:ext cx="2074542" cy="3575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𝐹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sub>
                        </m:sSub>
                      </m:num>
                      <m:den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#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𝑎𝑑𝑑𝑒𝑑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𝑝𝑎𝑟𝑎𝑚𝑒𝑡𝑒𝑟𝑠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acc>
                          <m:accPr>
                            <m:chr m:val="̂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𝜙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𝐵</m:t>
                                </m:r>
                              </m:sub>
                            </m:sSub>
                          </m:e>
                        </m:acc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91ED89A-0CA0-4A06-A398-5BA922328A94}"/>
                </a:ext>
              </a:extLst>
            </xdr:cNvPr>
            <xdr:cNvSpPr txBox="1"/>
          </xdr:nvSpPr>
          <xdr:spPr>
            <a:xfrm>
              <a:off x="7772400" y="119062"/>
              <a:ext cx="2074542" cy="3575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𝐹=(𝐷_𝑆−𝐷_𝐵)/((# 𝑎𝑑𝑑𝑒𝑑 𝑝𝑎𝑟𝑎𝑚𝑒𝑡𝑒𝑟𝑠)⋅(𝜙_𝐵 ) ̂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371475</xdr:colOff>
      <xdr:row>3</xdr:row>
      <xdr:rowOff>4762</xdr:rowOff>
    </xdr:from>
    <xdr:ext cx="225709" cy="1857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0E579DC-DDF9-4EF4-8A57-785FDCE71E8F}"/>
                </a:ext>
              </a:extLst>
            </xdr:cNvPr>
            <xdr:cNvSpPr txBox="1"/>
          </xdr:nvSpPr>
          <xdr:spPr>
            <a:xfrm>
              <a:off x="6562725" y="585787"/>
              <a:ext cx="225709" cy="1857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𝜙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sub>
                        </m:sSub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0E579DC-DDF9-4EF4-8A57-785FDCE71E8F}"/>
                </a:ext>
              </a:extLst>
            </xdr:cNvPr>
            <xdr:cNvSpPr txBox="1"/>
          </xdr:nvSpPr>
          <xdr:spPr>
            <a:xfrm>
              <a:off x="6562725" y="585787"/>
              <a:ext cx="225709" cy="1857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𝜙_𝐵 </a:t>
              </a:r>
              <a:r>
                <a:rPr lang="en-GB" sz="1100" b="0" i="0">
                  <a:latin typeface="Cambria Math" panose="02040503050406030204" pitchFamily="18" charset="0"/>
                </a:rPr>
                <a:t>) ̂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6B80C-A640-427A-AE54-C916F6161153}">
  <dimension ref="A5:C1048576"/>
  <sheetViews>
    <sheetView showGridLines="0" tabSelected="1" workbookViewId="0"/>
  </sheetViews>
  <sheetFormatPr defaultRowHeight="15" x14ac:dyDescent="0.25"/>
  <cols>
    <col min="2" max="2" width="23.5703125" style="2" bestFit="1" customWidth="1"/>
    <col min="3" max="3" width="64" customWidth="1"/>
  </cols>
  <sheetData>
    <row r="5" spans="1:3" ht="15" customHeight="1" x14ac:dyDescent="0.25">
      <c r="A5" s="279" t="s">
        <v>4</v>
      </c>
      <c r="B5" s="279"/>
      <c r="C5" s="279"/>
    </row>
    <row r="6" spans="1:3" ht="15" customHeight="1" x14ac:dyDescent="0.25">
      <c r="A6" s="279"/>
      <c r="B6" s="279"/>
      <c r="C6" s="279"/>
    </row>
    <row r="7" spans="1:3" ht="15" customHeight="1" x14ac:dyDescent="0.25"/>
    <row r="8" spans="1:3" ht="15" customHeight="1" x14ac:dyDescent="0.3">
      <c r="A8" s="280" t="s">
        <v>0</v>
      </c>
      <c r="B8" s="280"/>
      <c r="C8" s="280"/>
    </row>
    <row r="9" spans="1:3" ht="21" x14ac:dyDescent="0.35">
      <c r="A9" s="1"/>
      <c r="B9" s="1"/>
      <c r="C9" s="1"/>
    </row>
    <row r="10" spans="1:3" x14ac:dyDescent="0.25">
      <c r="A10" s="3" t="s">
        <v>1</v>
      </c>
      <c r="B10" s="3" t="s">
        <v>2</v>
      </c>
      <c r="C10" s="3" t="s">
        <v>3</v>
      </c>
    </row>
    <row r="11" spans="1:3" x14ac:dyDescent="0.25">
      <c r="A11" s="4">
        <v>1</v>
      </c>
      <c r="B11" s="2" t="s">
        <v>680</v>
      </c>
      <c r="C11" t="s">
        <v>12</v>
      </c>
    </row>
    <row r="12" spans="1:3" x14ac:dyDescent="0.25">
      <c r="A12" s="4">
        <v>2</v>
      </c>
      <c r="B12" s="2" t="s">
        <v>681</v>
      </c>
      <c r="C12" t="s">
        <v>57</v>
      </c>
    </row>
    <row r="13" spans="1:3" x14ac:dyDescent="0.25">
      <c r="A13" s="4">
        <v>3</v>
      </c>
      <c r="B13" s="2" t="s">
        <v>682</v>
      </c>
      <c r="C13" t="s">
        <v>158</v>
      </c>
    </row>
    <row r="14" spans="1:3" x14ac:dyDescent="0.25">
      <c r="A14" s="4">
        <v>4</v>
      </c>
      <c r="B14" s="2" t="s">
        <v>683</v>
      </c>
      <c r="C14" t="s">
        <v>117</v>
      </c>
    </row>
    <row r="15" spans="1:3" x14ac:dyDescent="0.25">
      <c r="A15" s="4">
        <v>5</v>
      </c>
      <c r="B15" s="2" t="s">
        <v>684</v>
      </c>
      <c r="C15" t="s">
        <v>126</v>
      </c>
    </row>
    <row r="16" spans="1:3" x14ac:dyDescent="0.25">
      <c r="A16" s="4">
        <v>6</v>
      </c>
      <c r="B16" s="2" t="s">
        <v>685</v>
      </c>
      <c r="C16" t="s">
        <v>669</v>
      </c>
    </row>
    <row r="17" spans="1:3" x14ac:dyDescent="0.25">
      <c r="A17" s="4">
        <v>7</v>
      </c>
      <c r="B17" s="2" t="s">
        <v>686</v>
      </c>
      <c r="C17" t="s">
        <v>471</v>
      </c>
    </row>
    <row r="18" spans="1:3" x14ac:dyDescent="0.25">
      <c r="A18" s="4">
        <v>8</v>
      </c>
      <c r="B18" s="2" t="s">
        <v>687</v>
      </c>
      <c r="C18" t="s">
        <v>473</v>
      </c>
    </row>
    <row r="19" spans="1:3" x14ac:dyDescent="0.25">
      <c r="A19" s="246">
        <v>9</v>
      </c>
      <c r="B19" s="2" t="s">
        <v>688</v>
      </c>
      <c r="C19" t="s">
        <v>314</v>
      </c>
    </row>
    <row r="20" spans="1:3" x14ac:dyDescent="0.25">
      <c r="A20" s="246">
        <v>10</v>
      </c>
      <c r="B20" s="2" t="s">
        <v>689</v>
      </c>
      <c r="C20" t="s">
        <v>535</v>
      </c>
    </row>
    <row r="21" spans="1:3" x14ac:dyDescent="0.25">
      <c r="A21" s="246">
        <v>11</v>
      </c>
      <c r="B21" s="2" t="s">
        <v>690</v>
      </c>
      <c r="C21" t="s">
        <v>387</v>
      </c>
    </row>
    <row r="22" spans="1:3" x14ac:dyDescent="0.25">
      <c r="A22" s="246">
        <v>12</v>
      </c>
      <c r="B22" s="2" t="s">
        <v>691</v>
      </c>
      <c r="C22" t="s">
        <v>483</v>
      </c>
    </row>
    <row r="23" spans="1:3" x14ac:dyDescent="0.25">
      <c r="A23" s="246">
        <v>13</v>
      </c>
      <c r="B23" s="2" t="s">
        <v>692</v>
      </c>
      <c r="C23" t="s">
        <v>206</v>
      </c>
    </row>
    <row r="24" spans="1:3" x14ac:dyDescent="0.25">
      <c r="A24" s="246">
        <v>14</v>
      </c>
      <c r="B24" s="2" t="s">
        <v>693</v>
      </c>
      <c r="C24" t="s">
        <v>216</v>
      </c>
    </row>
    <row r="25" spans="1:3" x14ac:dyDescent="0.25">
      <c r="A25" s="246">
        <v>15</v>
      </c>
      <c r="B25" s="2" t="s">
        <v>694</v>
      </c>
      <c r="C25" t="s">
        <v>238</v>
      </c>
    </row>
    <row r="26" spans="1:3" x14ac:dyDescent="0.25">
      <c r="A26" s="246">
        <v>16</v>
      </c>
      <c r="B26" s="2" t="s">
        <v>695</v>
      </c>
      <c r="C26" t="s">
        <v>312</v>
      </c>
    </row>
    <row r="27" spans="1:3" x14ac:dyDescent="0.25">
      <c r="A27" s="246">
        <v>17</v>
      </c>
      <c r="B27" s="2" t="s">
        <v>696</v>
      </c>
      <c r="C27" t="s">
        <v>404</v>
      </c>
    </row>
    <row r="28" spans="1:3" x14ac:dyDescent="0.25">
      <c r="A28" s="246">
        <v>18</v>
      </c>
      <c r="B28" s="2" t="s">
        <v>697</v>
      </c>
      <c r="C28" t="s">
        <v>559</v>
      </c>
    </row>
    <row r="29" spans="1:3" x14ac:dyDescent="0.25">
      <c r="A29" s="246">
        <v>19</v>
      </c>
      <c r="B29" s="2" t="s">
        <v>698</v>
      </c>
      <c r="C29" t="s">
        <v>376</v>
      </c>
    </row>
    <row r="30" spans="1:3" x14ac:dyDescent="0.25">
      <c r="A30" s="246">
        <v>20</v>
      </c>
      <c r="B30" s="2" t="s">
        <v>699</v>
      </c>
      <c r="C30" t="s">
        <v>702</v>
      </c>
    </row>
    <row r="31" spans="1:3" x14ac:dyDescent="0.25">
      <c r="A31" s="246">
        <v>21</v>
      </c>
      <c r="B31" s="2" t="s">
        <v>700</v>
      </c>
      <c r="C31" t="s">
        <v>703</v>
      </c>
    </row>
    <row r="32" spans="1:3" x14ac:dyDescent="0.25">
      <c r="A32" s="246">
        <v>22</v>
      </c>
      <c r="B32" s="2" t="s">
        <v>701</v>
      </c>
      <c r="C32" t="s">
        <v>704</v>
      </c>
    </row>
    <row r="33" spans="1:3" x14ac:dyDescent="0.25">
      <c r="A33" s="246">
        <v>23</v>
      </c>
      <c r="B33" s="2" t="s">
        <v>806</v>
      </c>
      <c r="C33" t="s">
        <v>807</v>
      </c>
    </row>
    <row r="34" spans="1:3" x14ac:dyDescent="0.25">
      <c r="A34" s="5"/>
    </row>
    <row r="35" spans="1:3" x14ac:dyDescent="0.25">
      <c r="A35" s="5"/>
    </row>
    <row r="36" spans="1:3" x14ac:dyDescent="0.25">
      <c r="A36" s="5"/>
    </row>
    <row r="37" spans="1:3" x14ac:dyDescent="0.25">
      <c r="A37" s="5"/>
    </row>
    <row r="38" spans="1:3" x14ac:dyDescent="0.25">
      <c r="A38" s="5"/>
    </row>
    <row r="39" spans="1:3" x14ac:dyDescent="0.25">
      <c r="A39" s="5"/>
    </row>
    <row r="40" spans="1:3" x14ac:dyDescent="0.25">
      <c r="A40" s="5"/>
    </row>
    <row r="41" spans="1:3" x14ac:dyDescent="0.25">
      <c r="A41" s="5"/>
    </row>
    <row r="42" spans="1:3" x14ac:dyDescent="0.25">
      <c r="A42" s="5"/>
    </row>
    <row r="43" spans="1:3" x14ac:dyDescent="0.25">
      <c r="A43" s="5"/>
    </row>
    <row r="44" spans="1:3" x14ac:dyDescent="0.25">
      <c r="A44" s="5"/>
    </row>
    <row r="45" spans="1:3" x14ac:dyDescent="0.25">
      <c r="A45" s="5"/>
    </row>
    <row r="46" spans="1:3" x14ac:dyDescent="0.25">
      <c r="A46" s="5"/>
    </row>
    <row r="47" spans="1:3" x14ac:dyDescent="0.25">
      <c r="A47" s="5"/>
    </row>
    <row r="48" spans="1:3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20" type="noConversion"/>
  <hyperlinks>
    <hyperlink ref="A11" location="'GLM_Basics1'!A1" display="1" xr:uid="{8DE9094D-5963-40C0-92AE-E770B395C7D0}"/>
    <hyperlink ref="A12" location="'GLM_Basics2'!A1" display="2" xr:uid="{DBFFECBB-51FC-4E99-A55B-029CD4A6420B}"/>
    <hyperlink ref="A13" location="'GLM_Basics3'!A1" display="3" xr:uid="{1670CB54-3379-4313-9FFB-BCB884F1960F}"/>
    <hyperlink ref="A14" location="'GLM_Basics4'!A1" display="4" xr:uid="{16318503-1ED3-4515-9355-2B2BF970EBD4}"/>
    <hyperlink ref="A15" location="'GLM_Basics5'!A1" display="5" xr:uid="{9F5846FB-8DB6-47EC-92E8-001FBE134B2E}"/>
    <hyperlink ref="A16" location="'GLM_Basics6'!A1" display="6" xr:uid="{EFE4EA24-411A-4274-A136-D55AF857D5F6}"/>
    <hyperlink ref="A17" location="'GLM_Basics7'!A1" display="7" xr:uid="{A6536571-35EE-4F2F-B3FD-14EA4FD6211D}"/>
    <hyperlink ref="A18" location="'GLM_Basics8'!A1" display="8" xr:uid="{31FB8379-0677-4512-A51B-9C840B441113}"/>
    <hyperlink ref="A19" location="'GLM_DataPrep1'!A1" display="9" xr:uid="{2F9DF8BD-86E7-48E0-B6C2-2BECB7C4CB31}"/>
    <hyperlink ref="A20" location="'GLM_ModelSelection1'!A1" display="10" xr:uid="{05B646F4-71C7-4759-9260-2F49B25728F8}"/>
    <hyperlink ref="A21" location="'GLM_ModelSelection2'!A1" display="11" xr:uid="{C1D1A65D-C835-4D67-BE35-2C5CC5082F14}"/>
    <hyperlink ref="A22" location="'GLM_Interactions1'!A1" display="12" xr:uid="{E3CCAEDB-4DE9-4297-9F5D-C87216CBA5F8}"/>
    <hyperlink ref="A23" location="'GLM_ModelRefinement1'!A1" display="13" xr:uid="{1CF12187-AAF9-40CF-8DBD-9E9AEA04D873}"/>
    <hyperlink ref="A24" location="'GLM_ModelRefinement2'!A1" display="14" xr:uid="{3A82D434-2377-450D-B03A-1A715E8121F4}"/>
    <hyperlink ref="A25" location="'GLM_ModelRefinement3'!A1" display="15" xr:uid="{7E0F4E5B-2345-4668-AFA9-84673590678E}"/>
    <hyperlink ref="A26" location="'GLM_ModelRefinement4'!A1" display="16" xr:uid="{E1E57D20-417C-4F8D-81FD-A927800DD934}"/>
    <hyperlink ref="A27" location="'GLM_ModelRefinement5'!A1" display="17" xr:uid="{F4AA9ACF-A105-49FB-943E-56878326F514}"/>
    <hyperlink ref="A28" location="'GLM_ModelRefinement6'!A1" display="18" xr:uid="{36025CA4-BACA-4E02-AEEF-341945EB8958}"/>
    <hyperlink ref="A29" location="'GLM_Validation1'!A1" display="19" xr:uid="{547882E3-E0E7-496B-84FB-D826043BF833}"/>
    <hyperlink ref="A30" location="'GLM_Validation2'!A1" display="20" xr:uid="{2DE903A1-2440-4D2D-96CE-ECB23251D744}"/>
    <hyperlink ref="A31" location="'GLM_Validation3'!A1" display="21" xr:uid="{353C3B62-0200-4D82-ADDE-E5E8E0692CB3}"/>
    <hyperlink ref="A32" location="'GLM_Validation4'!A1" display="22" xr:uid="{01A32834-283B-4D7A-B7D2-15185E15A6BB}"/>
    <hyperlink ref="A33" location="GLM_Validation5!A1" display="GLM_Validation5!A1" xr:uid="{7CFB464B-5FD4-4154-88F0-0069485BA39B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D20FE-4FA7-43E1-9659-E5579C936AA1}">
  <dimension ref="A1:L35"/>
  <sheetViews>
    <sheetView workbookViewId="0"/>
  </sheetViews>
  <sheetFormatPr defaultRowHeight="15" x14ac:dyDescent="0.25"/>
  <cols>
    <col min="1" max="1" width="14" bestFit="1" customWidth="1"/>
    <col min="10" max="10" width="10.85546875" customWidth="1"/>
    <col min="11" max="11" width="3.7109375" customWidth="1"/>
  </cols>
  <sheetData>
    <row r="1" spans="1:12" x14ac:dyDescent="0.25">
      <c r="A1" s="6" t="s">
        <v>5</v>
      </c>
      <c r="B1" s="7" t="s">
        <v>678</v>
      </c>
      <c r="C1" s="7"/>
      <c r="D1" s="8"/>
      <c r="E1" s="8"/>
      <c r="F1" s="8"/>
      <c r="G1" s="8"/>
      <c r="H1" s="8"/>
      <c r="I1" s="281" t="s">
        <v>6</v>
      </c>
      <c r="J1" s="282"/>
      <c r="K1" s="9"/>
      <c r="L1" s="10" t="s">
        <v>7</v>
      </c>
    </row>
    <row r="2" spans="1:12" x14ac:dyDescent="0.25">
      <c r="A2" s="11" t="s">
        <v>8</v>
      </c>
      <c r="B2" s="18" t="s">
        <v>313</v>
      </c>
      <c r="C2" s="18"/>
      <c r="D2" s="18"/>
      <c r="E2" s="18"/>
      <c r="F2" s="18"/>
      <c r="G2" s="18"/>
      <c r="H2" s="18"/>
      <c r="I2" s="18"/>
      <c r="J2" s="12"/>
      <c r="K2" t="s">
        <v>35</v>
      </c>
      <c r="L2" s="85" t="s">
        <v>326</v>
      </c>
    </row>
    <row r="3" spans="1:12" x14ac:dyDescent="0.25">
      <c r="A3" s="11" t="s">
        <v>9</v>
      </c>
      <c r="B3" s="18" t="s">
        <v>314</v>
      </c>
      <c r="C3" s="18"/>
      <c r="D3" s="18"/>
      <c r="E3" s="18"/>
      <c r="F3" s="18"/>
      <c r="G3" s="18"/>
      <c r="H3" s="18"/>
      <c r="I3" s="18"/>
      <c r="J3" s="12"/>
      <c r="L3" s="85" t="s">
        <v>327</v>
      </c>
    </row>
    <row r="4" spans="1:12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L4" s="85" t="s">
        <v>328</v>
      </c>
    </row>
    <row r="5" spans="1:12" x14ac:dyDescent="0.25">
      <c r="A5" s="15" t="s">
        <v>10</v>
      </c>
      <c r="B5" s="20" t="s">
        <v>315</v>
      </c>
      <c r="C5" s="20"/>
      <c r="D5" s="20"/>
      <c r="E5" s="20"/>
      <c r="F5" s="20"/>
      <c r="G5" s="20"/>
      <c r="H5" s="20"/>
      <c r="I5" s="20"/>
      <c r="J5" s="16"/>
      <c r="L5" s="85" t="s">
        <v>329</v>
      </c>
    </row>
    <row r="6" spans="1:12" x14ac:dyDescent="0.25">
      <c r="A6" s="17"/>
      <c r="B6" s="20" t="s">
        <v>316</v>
      </c>
      <c r="C6" s="20"/>
      <c r="D6" s="20"/>
      <c r="E6" s="20"/>
      <c r="F6" s="20"/>
      <c r="G6" s="20"/>
      <c r="H6" s="20"/>
      <c r="I6" s="20"/>
      <c r="J6" s="16"/>
      <c r="L6" s="85" t="s">
        <v>330</v>
      </c>
    </row>
    <row r="7" spans="1:12" x14ac:dyDescent="0.25">
      <c r="A7" s="17"/>
      <c r="B7" s="20" t="s">
        <v>317</v>
      </c>
      <c r="C7" s="20"/>
      <c r="D7" s="20"/>
      <c r="E7" s="20"/>
      <c r="F7" s="20"/>
      <c r="G7" s="20"/>
      <c r="H7" s="20"/>
      <c r="I7" s="20"/>
      <c r="J7" s="16"/>
      <c r="L7" s="85"/>
    </row>
    <row r="8" spans="1:12" x14ac:dyDescent="0.25">
      <c r="A8" s="17"/>
      <c r="B8" s="20"/>
      <c r="C8" s="20"/>
      <c r="D8" s="20"/>
      <c r="E8" s="20"/>
      <c r="F8" s="20"/>
      <c r="G8" s="20"/>
      <c r="H8" s="20"/>
      <c r="I8" s="20"/>
      <c r="J8" s="16"/>
      <c r="K8" t="s">
        <v>83</v>
      </c>
      <c r="L8" s="85" t="s">
        <v>331</v>
      </c>
    </row>
    <row r="9" spans="1:12" x14ac:dyDescent="0.25">
      <c r="A9" s="17"/>
      <c r="B9" s="20"/>
      <c r="C9" s="20"/>
      <c r="D9" s="20"/>
      <c r="E9" s="20"/>
      <c r="F9" s="20"/>
      <c r="G9" s="20"/>
      <c r="H9" s="20"/>
      <c r="I9" s="20"/>
      <c r="J9" s="16"/>
      <c r="L9" s="85" t="s">
        <v>332</v>
      </c>
    </row>
    <row r="10" spans="1:12" x14ac:dyDescent="0.25">
      <c r="A10" s="17"/>
      <c r="B10" s="20"/>
      <c r="C10" s="20"/>
      <c r="D10" s="20"/>
      <c r="E10" s="20"/>
      <c r="F10" s="20"/>
      <c r="G10" s="20"/>
      <c r="H10" s="20"/>
      <c r="I10" s="20"/>
      <c r="J10" s="16"/>
      <c r="L10" s="85" t="s">
        <v>333</v>
      </c>
    </row>
    <row r="11" spans="1:12" x14ac:dyDescent="0.25">
      <c r="A11" s="17"/>
      <c r="B11" s="20"/>
      <c r="C11" s="20"/>
      <c r="D11" s="20"/>
      <c r="E11" s="20"/>
      <c r="F11" s="20"/>
      <c r="G11" s="20"/>
      <c r="H11" s="20"/>
      <c r="I11" s="20"/>
      <c r="J11" s="16"/>
      <c r="L11" s="85" t="s">
        <v>334</v>
      </c>
    </row>
    <row r="12" spans="1:12" x14ac:dyDescent="0.25">
      <c r="A12" s="17"/>
      <c r="B12" s="20"/>
      <c r="C12" s="20"/>
      <c r="D12" s="20"/>
      <c r="E12" s="20"/>
      <c r="F12" s="20"/>
      <c r="G12" s="20"/>
      <c r="H12" s="20"/>
      <c r="I12" s="20"/>
      <c r="J12" s="16"/>
      <c r="L12" s="85" t="s">
        <v>335</v>
      </c>
    </row>
    <row r="13" spans="1:12" x14ac:dyDescent="0.25">
      <c r="A13" s="17"/>
      <c r="B13" s="20"/>
      <c r="C13" s="20"/>
      <c r="D13" s="20"/>
      <c r="E13" s="20"/>
      <c r="F13" s="20"/>
      <c r="G13" s="20"/>
      <c r="H13" s="20"/>
      <c r="I13" s="20"/>
      <c r="J13" s="16"/>
      <c r="L13" s="85"/>
    </row>
    <row r="14" spans="1:12" x14ac:dyDescent="0.25">
      <c r="A14" s="17"/>
      <c r="B14" s="20"/>
      <c r="C14" s="20"/>
      <c r="D14" s="20"/>
      <c r="E14" s="20"/>
      <c r="F14" s="20"/>
      <c r="G14" s="20"/>
      <c r="H14" s="20"/>
      <c r="I14" s="20"/>
      <c r="J14" s="16"/>
      <c r="K14" t="s">
        <v>114</v>
      </c>
      <c r="L14" s="85" t="s">
        <v>336</v>
      </c>
    </row>
    <row r="15" spans="1:12" x14ac:dyDescent="0.25">
      <c r="A15" s="17"/>
      <c r="B15" s="20"/>
      <c r="C15" s="20"/>
      <c r="D15" s="20"/>
      <c r="E15" s="20"/>
      <c r="F15" s="20"/>
      <c r="G15" s="20"/>
      <c r="H15" s="20"/>
      <c r="I15" s="20"/>
      <c r="J15" s="16"/>
      <c r="L15" s="85" t="s">
        <v>337</v>
      </c>
    </row>
    <row r="16" spans="1:12" x14ac:dyDescent="0.25">
      <c r="A16" s="17"/>
      <c r="B16" s="20"/>
      <c r="C16" s="20"/>
      <c r="D16" s="20"/>
      <c r="E16" s="20"/>
      <c r="F16" s="20"/>
      <c r="G16" s="20"/>
      <c r="H16" s="20"/>
      <c r="I16" s="20"/>
      <c r="J16" s="16"/>
      <c r="L16" s="85" t="s">
        <v>338</v>
      </c>
    </row>
    <row r="17" spans="1:12" x14ac:dyDescent="0.25">
      <c r="A17" s="17"/>
      <c r="B17" s="20"/>
      <c r="C17" s="20"/>
      <c r="D17" s="20"/>
      <c r="E17" s="20"/>
      <c r="F17" s="20"/>
      <c r="G17" s="20"/>
      <c r="H17" s="20"/>
      <c r="I17" s="20"/>
      <c r="J17" s="16"/>
      <c r="L17" s="85" t="s">
        <v>339</v>
      </c>
    </row>
    <row r="18" spans="1:12" x14ac:dyDescent="0.25">
      <c r="A18" s="17"/>
      <c r="B18" s="20"/>
      <c r="C18" s="20"/>
      <c r="D18" s="20"/>
      <c r="E18" s="20"/>
      <c r="F18" s="20"/>
      <c r="G18" s="20"/>
      <c r="H18" s="20"/>
      <c r="I18" s="20"/>
      <c r="J18" s="16"/>
    </row>
    <row r="19" spans="1:12" x14ac:dyDescent="0.25">
      <c r="A19" s="17"/>
      <c r="B19" s="20"/>
      <c r="C19" s="20"/>
      <c r="D19" s="20"/>
      <c r="E19" s="20"/>
      <c r="F19" s="20"/>
      <c r="G19" s="20"/>
      <c r="H19" s="20"/>
      <c r="I19" s="20"/>
      <c r="J19" s="16"/>
    </row>
    <row r="20" spans="1:12" x14ac:dyDescent="0.25">
      <c r="A20" s="17"/>
      <c r="B20" s="20"/>
      <c r="C20" s="20"/>
      <c r="D20" s="20"/>
      <c r="E20" s="20"/>
      <c r="F20" s="20"/>
      <c r="G20" s="20"/>
      <c r="H20" s="20"/>
      <c r="I20" s="20"/>
      <c r="J20" s="16"/>
    </row>
    <row r="21" spans="1:12" x14ac:dyDescent="0.25">
      <c r="A21" s="17"/>
      <c r="B21" s="20"/>
      <c r="C21" s="20"/>
      <c r="D21" s="20"/>
      <c r="E21" s="20"/>
      <c r="F21" s="20"/>
      <c r="G21" s="20"/>
      <c r="H21" s="20"/>
      <c r="I21" s="20"/>
      <c r="J21" s="16"/>
    </row>
    <row r="22" spans="1:12" x14ac:dyDescent="0.25">
      <c r="A22" s="17"/>
      <c r="B22" s="20"/>
      <c r="C22" s="20"/>
      <c r="D22" s="20"/>
      <c r="E22" s="20"/>
      <c r="F22" s="20"/>
      <c r="G22" s="20"/>
      <c r="H22" s="20"/>
      <c r="I22" s="20"/>
      <c r="J22" s="16"/>
    </row>
    <row r="23" spans="1:12" x14ac:dyDescent="0.25">
      <c r="A23" s="17"/>
      <c r="B23" s="20"/>
      <c r="C23" s="20"/>
      <c r="D23" s="20"/>
      <c r="E23" s="20"/>
      <c r="F23" s="20"/>
      <c r="G23" s="20"/>
      <c r="H23" s="20"/>
      <c r="I23" s="20"/>
      <c r="J23" s="16"/>
    </row>
    <row r="24" spans="1:12" x14ac:dyDescent="0.25">
      <c r="A24" s="17"/>
      <c r="B24" s="20"/>
      <c r="C24" s="20"/>
      <c r="D24" s="20"/>
      <c r="E24" s="20"/>
      <c r="F24" s="20"/>
      <c r="G24" s="20"/>
      <c r="H24" s="20"/>
      <c r="I24" s="20"/>
      <c r="J24" s="16"/>
    </row>
    <row r="25" spans="1:12" x14ac:dyDescent="0.25">
      <c r="A25" s="17"/>
      <c r="B25" s="20"/>
      <c r="C25" s="20"/>
      <c r="D25" s="20"/>
      <c r="E25" s="20"/>
      <c r="F25" s="20"/>
      <c r="G25" s="20"/>
      <c r="H25" s="20"/>
      <c r="I25" s="20"/>
      <c r="J25" s="16"/>
    </row>
    <row r="26" spans="1:12" x14ac:dyDescent="0.25">
      <c r="A26" s="89" t="s">
        <v>55</v>
      </c>
      <c r="B26" s="20" t="s">
        <v>323</v>
      </c>
      <c r="C26" s="20"/>
      <c r="D26" s="20"/>
      <c r="E26" s="20"/>
      <c r="F26" s="20"/>
      <c r="G26" s="20"/>
      <c r="H26" s="20"/>
      <c r="I26" s="20"/>
      <c r="J26" s="16"/>
    </row>
    <row r="27" spans="1:12" x14ac:dyDescent="0.25">
      <c r="A27" s="17"/>
      <c r="B27" s="20"/>
      <c r="C27" s="20"/>
      <c r="D27" s="20"/>
      <c r="E27" s="20"/>
      <c r="F27" s="20"/>
      <c r="G27" s="20"/>
      <c r="H27" s="20"/>
      <c r="I27" s="20"/>
      <c r="J27" s="16"/>
    </row>
    <row r="28" spans="1:12" x14ac:dyDescent="0.25">
      <c r="A28" s="17"/>
      <c r="B28" s="20" t="s">
        <v>324</v>
      </c>
      <c r="C28" s="20"/>
      <c r="D28" s="20"/>
      <c r="E28" s="20"/>
      <c r="F28" s="20"/>
      <c r="G28" s="20"/>
      <c r="H28" s="20"/>
      <c r="I28" s="20"/>
      <c r="J28" s="16"/>
    </row>
    <row r="29" spans="1:12" x14ac:dyDescent="0.25">
      <c r="A29" s="17"/>
      <c r="B29" s="20" t="s">
        <v>318</v>
      </c>
      <c r="C29" s="20"/>
      <c r="D29" s="20"/>
      <c r="E29" s="20"/>
      <c r="F29" s="20"/>
      <c r="G29" s="20"/>
      <c r="H29" s="20"/>
      <c r="I29" s="20"/>
      <c r="J29" s="16"/>
    </row>
    <row r="30" spans="1:12" x14ac:dyDescent="0.25">
      <c r="A30" s="17"/>
      <c r="B30" s="95" t="s">
        <v>319</v>
      </c>
      <c r="C30" s="20"/>
      <c r="D30" s="20"/>
      <c r="E30" s="20"/>
      <c r="F30" s="20"/>
      <c r="G30" s="20"/>
      <c r="H30" s="20"/>
      <c r="I30" s="20"/>
      <c r="J30" s="16"/>
    </row>
    <row r="31" spans="1:12" x14ac:dyDescent="0.25">
      <c r="A31" s="17"/>
      <c r="B31" s="95" t="s">
        <v>320</v>
      </c>
      <c r="C31" s="20"/>
      <c r="D31" s="20"/>
      <c r="E31" s="20"/>
      <c r="F31" s="20"/>
      <c r="G31" s="20"/>
      <c r="H31" s="20"/>
      <c r="I31" s="20"/>
      <c r="J31" s="16"/>
    </row>
    <row r="32" spans="1:12" x14ac:dyDescent="0.25">
      <c r="A32" s="17"/>
      <c r="B32" s="95" t="s">
        <v>321</v>
      </c>
      <c r="C32" s="20"/>
      <c r="D32" s="20"/>
      <c r="E32" s="20"/>
      <c r="F32" s="20"/>
      <c r="G32" s="20"/>
      <c r="H32" s="20"/>
      <c r="I32" s="20"/>
      <c r="J32" s="16"/>
    </row>
    <row r="33" spans="1:10" x14ac:dyDescent="0.25">
      <c r="A33" s="17"/>
      <c r="B33" s="20"/>
      <c r="C33" s="20"/>
      <c r="D33" s="20"/>
      <c r="E33" s="20"/>
      <c r="F33" s="20"/>
      <c r="G33" s="20"/>
      <c r="H33" s="20"/>
      <c r="I33" s="20"/>
      <c r="J33" s="16"/>
    </row>
    <row r="34" spans="1:10" x14ac:dyDescent="0.25">
      <c r="A34" s="17"/>
      <c r="B34" s="20" t="s">
        <v>325</v>
      </c>
      <c r="C34" s="20"/>
      <c r="D34" s="20"/>
      <c r="E34" s="20"/>
      <c r="F34" s="20"/>
      <c r="G34" s="20"/>
      <c r="H34" s="20"/>
      <c r="I34" s="20"/>
      <c r="J34" s="16"/>
    </row>
    <row r="35" spans="1:10" ht="15.75" thickBot="1" x14ac:dyDescent="0.3">
      <c r="A35" s="21"/>
      <c r="B35" s="22" t="s">
        <v>322</v>
      </c>
      <c r="C35" s="22"/>
      <c r="D35" s="22"/>
      <c r="E35" s="22"/>
      <c r="F35" s="22"/>
      <c r="G35" s="22"/>
      <c r="H35" s="22"/>
      <c r="I35" s="22"/>
      <c r="J35" s="23"/>
    </row>
  </sheetData>
  <mergeCells count="1">
    <mergeCell ref="I1:J1"/>
  </mergeCells>
  <hyperlinks>
    <hyperlink ref="I1" location="TOC!A1" display="Return to TOC" xr:uid="{A01C7D7D-1EA3-46C2-84BB-B426245FEC4D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D729C-A8BC-40B5-B265-4F44C27E5BF6}">
  <dimension ref="A1:P44"/>
  <sheetViews>
    <sheetView workbookViewId="0"/>
  </sheetViews>
  <sheetFormatPr defaultRowHeight="15" x14ac:dyDescent="0.25"/>
  <cols>
    <col min="1" max="1" width="14" bestFit="1" customWidth="1"/>
    <col min="10" max="10" width="3.7109375" customWidth="1"/>
    <col min="12" max="12" width="11.5703125" bestFit="1" customWidth="1"/>
  </cols>
  <sheetData>
    <row r="1" spans="1:16" x14ac:dyDescent="0.25">
      <c r="A1" s="6" t="s">
        <v>5</v>
      </c>
      <c r="B1" s="7" t="s">
        <v>533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6" x14ac:dyDescent="0.25">
      <c r="A2" s="11" t="s">
        <v>8</v>
      </c>
      <c r="B2" s="18" t="s">
        <v>472</v>
      </c>
      <c r="C2" s="18"/>
      <c r="D2" s="18"/>
      <c r="E2" s="18"/>
      <c r="F2" s="18"/>
      <c r="G2" s="18"/>
      <c r="H2" s="18"/>
      <c r="I2" s="12"/>
      <c r="J2" t="s">
        <v>35</v>
      </c>
      <c r="K2" s="92"/>
    </row>
    <row r="3" spans="1:16" x14ac:dyDescent="0.25">
      <c r="A3" s="11" t="s">
        <v>9</v>
      </c>
      <c r="B3" s="18" t="s">
        <v>535</v>
      </c>
      <c r="C3" s="18"/>
      <c r="D3" s="18"/>
      <c r="E3" s="18"/>
      <c r="F3" s="18"/>
      <c r="G3" s="18"/>
      <c r="H3" s="18"/>
      <c r="I3" s="12"/>
      <c r="K3" s="85"/>
    </row>
    <row r="4" spans="1:16" ht="18" x14ac:dyDescent="0.35">
      <c r="A4" s="13"/>
      <c r="B4" s="19"/>
      <c r="C4" s="19"/>
      <c r="D4" s="19"/>
      <c r="E4" s="19"/>
      <c r="F4" s="19"/>
      <c r="G4" s="19"/>
      <c r="H4" s="19"/>
      <c r="I4" s="14"/>
      <c r="K4" s="85" t="s">
        <v>539</v>
      </c>
      <c r="L4">
        <f>F9+F10+F12*LN(20)+F13</f>
        <v>9.2305577052301508</v>
      </c>
    </row>
    <row r="5" spans="1:16" ht="18" x14ac:dyDescent="0.35">
      <c r="A5" s="15" t="s">
        <v>10</v>
      </c>
      <c r="B5" s="20" t="s">
        <v>528</v>
      </c>
      <c r="C5" s="20"/>
      <c r="D5" s="20"/>
      <c r="E5" s="20"/>
      <c r="F5" s="20"/>
      <c r="G5" s="20"/>
      <c r="H5" s="20"/>
      <c r="I5" s="16"/>
      <c r="K5" s="85" t="s">
        <v>538</v>
      </c>
      <c r="L5" s="126">
        <f>EXP(L4)</f>
        <v>10204.230877993961</v>
      </c>
    </row>
    <row r="6" spans="1:16" x14ac:dyDescent="0.25">
      <c r="A6" s="17"/>
      <c r="B6" s="18" t="s">
        <v>531</v>
      </c>
      <c r="C6" s="20"/>
      <c r="D6" s="20"/>
      <c r="E6" s="20"/>
      <c r="F6" s="20"/>
      <c r="G6" s="20"/>
      <c r="H6" s="20"/>
      <c r="I6" s="16"/>
    </row>
    <row r="7" spans="1:16" ht="18" x14ac:dyDescent="0.35">
      <c r="A7" s="17"/>
      <c r="B7" s="20"/>
      <c r="C7" s="20"/>
      <c r="D7" s="20"/>
      <c r="E7" s="20"/>
      <c r="F7" s="20"/>
      <c r="G7" s="20"/>
      <c r="H7" s="20"/>
      <c r="I7" s="16"/>
      <c r="K7" t="s">
        <v>537</v>
      </c>
      <c r="L7" s="132">
        <f>(E21:E21-L5)</f>
        <v>4795.7691220060387</v>
      </c>
    </row>
    <row r="8" spans="1:16" x14ac:dyDescent="0.25">
      <c r="A8" s="17"/>
      <c r="B8" s="60" t="s">
        <v>68</v>
      </c>
      <c r="C8" s="61"/>
      <c r="D8" s="61"/>
      <c r="E8" s="61"/>
      <c r="F8" s="38" t="s">
        <v>248</v>
      </c>
      <c r="G8" s="20"/>
      <c r="H8" s="20"/>
      <c r="I8" s="16"/>
    </row>
    <row r="9" spans="1:16" x14ac:dyDescent="0.25">
      <c r="A9" s="17"/>
      <c r="B9" s="57" t="s">
        <v>488</v>
      </c>
      <c r="C9" s="20"/>
      <c r="D9" s="20"/>
      <c r="E9" s="20"/>
      <c r="F9" s="131">
        <v>5.9648638157513556</v>
      </c>
      <c r="G9" s="20"/>
      <c r="H9" s="20"/>
      <c r="I9" s="16"/>
      <c r="K9" t="s">
        <v>543</v>
      </c>
    </row>
    <row r="10" spans="1:16" x14ac:dyDescent="0.25">
      <c r="A10" s="17"/>
      <c r="B10" s="57" t="s">
        <v>484</v>
      </c>
      <c r="C10" s="20"/>
      <c r="D10" s="20"/>
      <c r="E10" s="20"/>
      <c r="F10" s="122">
        <v>-0.58853910190610004</v>
      </c>
      <c r="G10" s="20"/>
      <c r="H10" s="20"/>
      <c r="I10" s="16"/>
      <c r="K10" t="s">
        <v>544</v>
      </c>
      <c r="L10" s="133">
        <f>1/L5</f>
        <v>9.7998566668709968E-5</v>
      </c>
    </row>
    <row r="11" spans="1:16" x14ac:dyDescent="0.25">
      <c r="A11" s="17"/>
      <c r="B11" s="57" t="s">
        <v>485</v>
      </c>
      <c r="C11" s="20"/>
      <c r="D11" s="20"/>
      <c r="E11" s="20"/>
      <c r="F11" s="122">
        <v>1.4509156589161301</v>
      </c>
      <c r="G11" s="20"/>
      <c r="H11" s="20"/>
      <c r="I11" s="16"/>
    </row>
    <row r="12" spans="1:16" ht="18" x14ac:dyDescent="0.35">
      <c r="A12" s="17"/>
      <c r="B12" s="57" t="s">
        <v>529</v>
      </c>
      <c r="C12" s="20"/>
      <c r="D12" s="20"/>
      <c r="E12" s="20"/>
      <c r="F12" s="122">
        <v>1.0915600000000001</v>
      </c>
      <c r="G12" s="20"/>
      <c r="H12" s="20"/>
      <c r="I12" s="16"/>
      <c r="K12" t="s">
        <v>545</v>
      </c>
      <c r="P12">
        <f>F12</f>
        <v>1.0915600000000001</v>
      </c>
    </row>
    <row r="13" spans="1:16" ht="18" x14ac:dyDescent="0.35">
      <c r="A13" s="17"/>
      <c r="B13" s="58" t="s">
        <v>530</v>
      </c>
      <c r="C13" s="59"/>
      <c r="D13" s="59"/>
      <c r="E13" s="59"/>
      <c r="F13" s="123">
        <v>0.58421147086430092</v>
      </c>
      <c r="G13" s="20"/>
      <c r="H13" s="20"/>
      <c r="I13" s="16"/>
      <c r="K13" t="s">
        <v>546</v>
      </c>
      <c r="L13">
        <f>LN(20)</f>
        <v>2.9957322735539909</v>
      </c>
    </row>
    <row r="14" spans="1:16" x14ac:dyDescent="0.25">
      <c r="A14" s="20"/>
      <c r="B14" s="20"/>
      <c r="C14" s="20"/>
      <c r="D14" s="20"/>
      <c r="E14" s="20"/>
      <c r="F14" s="20"/>
      <c r="G14" s="20"/>
      <c r="H14" s="20"/>
      <c r="I14" s="16"/>
    </row>
    <row r="15" spans="1:16" x14ac:dyDescent="0.25">
      <c r="A15" s="17"/>
      <c r="B15" s="20" t="s">
        <v>553</v>
      </c>
      <c r="C15" s="20"/>
      <c r="D15" s="20"/>
      <c r="E15" s="20"/>
      <c r="F15" s="20"/>
      <c r="G15" s="20"/>
      <c r="H15" s="20"/>
      <c r="I15" s="16"/>
      <c r="K15" t="s">
        <v>547</v>
      </c>
      <c r="M15" s="134">
        <f>L7*L10+P12*L13</f>
        <v>3.740000020551244</v>
      </c>
    </row>
    <row r="16" spans="1:16" x14ac:dyDescent="0.25">
      <c r="A16" s="17"/>
      <c r="B16" s="20" t="s">
        <v>532</v>
      </c>
      <c r="C16" s="20"/>
      <c r="D16" s="20"/>
      <c r="E16" s="20"/>
      <c r="F16" s="20"/>
      <c r="G16" s="20"/>
      <c r="H16" s="20"/>
      <c r="I16" s="16"/>
    </row>
    <row r="17" spans="1:11" x14ac:dyDescent="0.25">
      <c r="A17" s="17"/>
      <c r="B17" s="20" t="s">
        <v>536</v>
      </c>
      <c r="C17" s="20"/>
      <c r="D17" s="20"/>
      <c r="E17" s="20"/>
      <c r="F17" s="20"/>
      <c r="G17" s="20"/>
      <c r="H17" s="20"/>
      <c r="I17" s="16"/>
      <c r="J17" t="s">
        <v>83</v>
      </c>
      <c r="K17" t="s">
        <v>552</v>
      </c>
    </row>
    <row r="18" spans="1:11" x14ac:dyDescent="0.25">
      <c r="A18" s="17"/>
      <c r="B18" s="20"/>
      <c r="C18" s="20"/>
      <c r="D18" s="20"/>
      <c r="E18" s="20"/>
      <c r="F18" s="20"/>
      <c r="G18" s="20"/>
      <c r="H18" s="20"/>
      <c r="I18" s="16"/>
      <c r="K18" t="s">
        <v>554</v>
      </c>
    </row>
    <row r="19" spans="1:11" x14ac:dyDescent="0.25">
      <c r="A19" s="89" t="s">
        <v>55</v>
      </c>
      <c r="B19" s="20" t="s">
        <v>540</v>
      </c>
      <c r="C19" s="20"/>
      <c r="D19" s="20"/>
      <c r="E19" s="20"/>
      <c r="F19" s="20"/>
      <c r="G19" s="20"/>
      <c r="H19" s="20"/>
      <c r="I19" s="16"/>
    </row>
    <row r="20" spans="1:11" x14ac:dyDescent="0.25">
      <c r="A20" s="17"/>
      <c r="B20" s="20" t="s">
        <v>541</v>
      </c>
      <c r="C20" s="20"/>
      <c r="D20" s="20"/>
      <c r="E20" s="20"/>
      <c r="F20" s="20"/>
      <c r="G20" s="20"/>
      <c r="H20" s="20"/>
      <c r="I20" s="16"/>
      <c r="J20" t="s">
        <v>114</v>
      </c>
      <c r="K20" t="s">
        <v>556</v>
      </c>
    </row>
    <row r="21" spans="1:11" x14ac:dyDescent="0.25">
      <c r="A21" s="17"/>
      <c r="B21" s="20" t="s">
        <v>542</v>
      </c>
      <c r="C21" s="20"/>
      <c r="D21" s="20"/>
      <c r="E21" s="135">
        <v>15000</v>
      </c>
      <c r="F21" s="20"/>
      <c r="G21" s="20"/>
      <c r="H21" s="20"/>
      <c r="I21" s="16"/>
      <c r="K21" t="s">
        <v>557</v>
      </c>
    </row>
    <row r="22" spans="1:11" x14ac:dyDescent="0.25">
      <c r="A22" s="17"/>
      <c r="B22" s="20"/>
      <c r="C22" s="20"/>
      <c r="D22" s="20"/>
      <c r="E22" s="20"/>
      <c r="F22" s="20"/>
      <c r="G22" s="20"/>
      <c r="H22" s="20"/>
      <c r="I22" s="16"/>
    </row>
    <row r="23" spans="1:11" x14ac:dyDescent="0.25">
      <c r="A23" s="17"/>
      <c r="B23" s="20" t="s">
        <v>549</v>
      </c>
      <c r="C23" s="20"/>
      <c r="D23" s="20"/>
      <c r="E23" s="20"/>
      <c r="F23" s="20"/>
      <c r="G23" s="20"/>
      <c r="H23" s="20"/>
      <c r="I23" s="16"/>
    </row>
    <row r="24" spans="1:11" x14ac:dyDescent="0.25">
      <c r="A24" s="17"/>
      <c r="B24" s="20" t="s">
        <v>548</v>
      </c>
      <c r="C24" s="20"/>
      <c r="D24" s="20"/>
      <c r="E24" s="20"/>
      <c r="F24" s="20"/>
      <c r="G24" s="20"/>
      <c r="H24" s="20"/>
      <c r="I24" s="16"/>
    </row>
    <row r="25" spans="1:11" x14ac:dyDescent="0.25">
      <c r="A25" s="17"/>
      <c r="B25" s="20"/>
      <c r="C25" s="20"/>
      <c r="D25" s="20"/>
      <c r="E25" s="20"/>
      <c r="F25" s="20"/>
      <c r="G25" s="20"/>
      <c r="H25" s="20"/>
      <c r="I25" s="16"/>
    </row>
    <row r="26" spans="1:11" x14ac:dyDescent="0.25">
      <c r="A26" s="17"/>
      <c r="B26" s="20"/>
      <c r="C26" s="20"/>
      <c r="D26" s="20"/>
      <c r="E26" s="20"/>
      <c r="F26" s="20"/>
      <c r="G26" s="20"/>
      <c r="H26" s="20"/>
      <c r="I26" s="16"/>
    </row>
    <row r="27" spans="1:11" x14ac:dyDescent="0.25">
      <c r="A27" s="17"/>
      <c r="B27" s="20"/>
      <c r="C27" s="20"/>
      <c r="D27" s="20"/>
      <c r="E27" s="20"/>
      <c r="F27" s="20"/>
      <c r="G27" s="20"/>
      <c r="H27" s="20"/>
      <c r="I27" s="16"/>
    </row>
    <row r="28" spans="1:11" x14ac:dyDescent="0.25">
      <c r="A28" s="17"/>
      <c r="B28" s="20"/>
      <c r="C28" s="20"/>
      <c r="D28" s="20"/>
      <c r="E28" s="20"/>
      <c r="F28" s="20"/>
      <c r="G28" s="20"/>
      <c r="H28" s="20"/>
      <c r="I28" s="16"/>
    </row>
    <row r="29" spans="1:11" x14ac:dyDescent="0.25">
      <c r="A29" s="17"/>
      <c r="B29" s="20"/>
      <c r="C29" s="20"/>
      <c r="D29" s="20"/>
      <c r="E29" s="20"/>
      <c r="F29" s="20"/>
      <c r="G29" s="20"/>
      <c r="H29" s="20"/>
      <c r="I29" s="16"/>
    </row>
    <row r="30" spans="1:11" x14ac:dyDescent="0.25">
      <c r="A30" s="17"/>
      <c r="B30" s="20"/>
      <c r="C30" s="20"/>
      <c r="D30" s="20"/>
      <c r="E30" s="20"/>
      <c r="F30" s="20"/>
      <c r="G30" s="20"/>
      <c r="H30" s="20"/>
      <c r="I30" s="16"/>
    </row>
    <row r="31" spans="1:11" x14ac:dyDescent="0.25">
      <c r="A31" s="17"/>
      <c r="B31" s="20"/>
      <c r="C31" s="20"/>
      <c r="D31" s="20"/>
      <c r="E31" s="20"/>
      <c r="F31" s="20"/>
      <c r="G31" s="20"/>
      <c r="H31" s="20"/>
      <c r="I31" s="16"/>
    </row>
    <row r="32" spans="1:11" x14ac:dyDescent="0.25">
      <c r="A32" s="17"/>
      <c r="B32" s="20"/>
      <c r="C32" s="20"/>
      <c r="D32" s="20"/>
      <c r="E32" s="20"/>
      <c r="F32" s="20"/>
      <c r="G32" s="20"/>
      <c r="H32" s="20"/>
      <c r="I32" s="16"/>
    </row>
    <row r="33" spans="1:9" x14ac:dyDescent="0.25">
      <c r="A33" s="17"/>
      <c r="B33" s="20"/>
      <c r="C33" s="20"/>
      <c r="D33" s="20"/>
      <c r="E33" s="20"/>
      <c r="F33" s="20"/>
      <c r="G33" s="20"/>
      <c r="H33" s="20"/>
      <c r="I33" s="16"/>
    </row>
    <row r="34" spans="1:9" x14ac:dyDescent="0.25">
      <c r="A34" s="17"/>
      <c r="B34" s="20"/>
      <c r="C34" s="20"/>
      <c r="D34" s="20"/>
      <c r="E34" s="20"/>
      <c r="F34" s="20"/>
      <c r="G34" s="20"/>
      <c r="H34" s="20"/>
      <c r="I34" s="16"/>
    </row>
    <row r="35" spans="1:9" x14ac:dyDescent="0.25">
      <c r="A35" s="17"/>
      <c r="B35" s="20"/>
      <c r="C35" s="20"/>
      <c r="D35" s="20"/>
      <c r="E35" s="20"/>
      <c r="F35" s="20"/>
      <c r="G35" s="20"/>
      <c r="H35" s="20"/>
      <c r="I35" s="16"/>
    </row>
    <row r="36" spans="1:9" x14ac:dyDescent="0.25">
      <c r="A36" s="17"/>
      <c r="B36" s="20"/>
      <c r="C36" s="20"/>
      <c r="D36" s="20"/>
      <c r="E36" s="20"/>
      <c r="F36" s="20"/>
      <c r="G36" s="20"/>
      <c r="H36" s="20"/>
      <c r="I36" s="16"/>
    </row>
    <row r="37" spans="1:9" x14ac:dyDescent="0.25">
      <c r="A37" s="17"/>
      <c r="B37" s="20"/>
      <c r="C37" s="20"/>
      <c r="D37" s="20"/>
      <c r="E37" s="20"/>
      <c r="F37" s="20"/>
      <c r="G37" s="20"/>
      <c r="H37" s="20"/>
      <c r="I37" s="16"/>
    </row>
    <row r="38" spans="1:9" x14ac:dyDescent="0.25">
      <c r="A38" s="17"/>
      <c r="B38" s="20"/>
      <c r="C38" s="20"/>
      <c r="D38" s="20"/>
      <c r="E38" s="20"/>
      <c r="F38" s="20"/>
      <c r="G38" s="20"/>
      <c r="H38" s="20"/>
      <c r="I38" s="16"/>
    </row>
    <row r="39" spans="1:9" x14ac:dyDescent="0.25">
      <c r="A39" s="17"/>
      <c r="B39" s="20"/>
      <c r="C39" s="20"/>
      <c r="D39" s="20"/>
      <c r="E39" s="20"/>
      <c r="F39" s="20"/>
      <c r="G39" s="20"/>
      <c r="H39" s="20"/>
      <c r="I39" s="16"/>
    </row>
    <row r="40" spans="1:9" x14ac:dyDescent="0.25">
      <c r="A40" s="17"/>
      <c r="B40" s="20"/>
      <c r="C40" s="20"/>
      <c r="D40" s="20"/>
      <c r="E40" s="20"/>
      <c r="F40" s="20"/>
      <c r="G40" s="20"/>
      <c r="H40" s="20"/>
      <c r="I40" s="16"/>
    </row>
    <row r="41" spans="1:9" x14ac:dyDescent="0.25">
      <c r="A41" s="17"/>
      <c r="B41" s="20" t="s">
        <v>550</v>
      </c>
      <c r="C41" s="20"/>
      <c r="D41" s="20"/>
      <c r="E41" s="20"/>
      <c r="F41" s="20"/>
      <c r="G41" s="20"/>
      <c r="H41" s="20"/>
      <c r="I41" s="16"/>
    </row>
    <row r="42" spans="1:9" x14ac:dyDescent="0.25">
      <c r="A42" s="17"/>
      <c r="B42" s="20" t="s">
        <v>551</v>
      </c>
      <c r="C42" s="20"/>
      <c r="D42" s="20"/>
      <c r="E42" s="20"/>
      <c r="F42" s="20"/>
      <c r="G42" s="20"/>
      <c r="H42" s="20"/>
      <c r="I42" s="16"/>
    </row>
    <row r="43" spans="1:9" x14ac:dyDescent="0.25">
      <c r="A43" s="17"/>
      <c r="B43" s="20"/>
      <c r="C43" s="20"/>
      <c r="D43" s="20"/>
      <c r="E43" s="20"/>
      <c r="F43" s="20"/>
      <c r="G43" s="20"/>
      <c r="H43" s="20"/>
      <c r="I43" s="16"/>
    </row>
    <row r="44" spans="1:9" ht="15.75" thickBot="1" x14ac:dyDescent="0.3">
      <c r="A44" s="21"/>
      <c r="B44" s="22" t="s">
        <v>555</v>
      </c>
      <c r="C44" s="22"/>
      <c r="D44" s="22"/>
      <c r="E44" s="22"/>
      <c r="F44" s="22"/>
      <c r="G44" s="22"/>
      <c r="H44" s="22"/>
      <c r="I44" s="23"/>
    </row>
  </sheetData>
  <mergeCells count="1">
    <mergeCell ref="H1:I1"/>
  </mergeCells>
  <hyperlinks>
    <hyperlink ref="H1" location="TOC!A1" display="Return to TOC" xr:uid="{226A59E5-1AC9-40F5-9ACE-D9DEF35494A0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BCBB7-87DA-452D-A765-AAB76CE9B923}">
  <dimension ref="A1:L29"/>
  <sheetViews>
    <sheetView workbookViewId="0"/>
  </sheetViews>
  <sheetFormatPr defaultRowHeight="15" x14ac:dyDescent="0.25"/>
  <cols>
    <col min="1" max="1" width="14" bestFit="1" customWidth="1"/>
    <col min="10" max="10" width="10.42578125" customWidth="1"/>
    <col min="11" max="11" width="3.7109375" customWidth="1"/>
  </cols>
  <sheetData>
    <row r="1" spans="1:12" x14ac:dyDescent="0.25">
      <c r="A1" s="6" t="s">
        <v>5</v>
      </c>
      <c r="B1" s="7" t="s">
        <v>533</v>
      </c>
      <c r="C1" s="7"/>
      <c r="D1" s="8"/>
      <c r="E1" s="8"/>
      <c r="F1" s="8"/>
      <c r="G1" s="8"/>
      <c r="H1" s="8"/>
      <c r="I1" s="281" t="s">
        <v>6</v>
      </c>
      <c r="J1" s="282"/>
      <c r="K1" s="9"/>
      <c r="L1" s="10" t="s">
        <v>7</v>
      </c>
    </row>
    <row r="2" spans="1:12" x14ac:dyDescent="0.25">
      <c r="A2" s="11" t="s">
        <v>8</v>
      </c>
      <c r="B2" s="18" t="s">
        <v>386</v>
      </c>
      <c r="C2" s="18"/>
      <c r="D2" s="18"/>
      <c r="E2" s="18"/>
      <c r="F2" s="18"/>
      <c r="G2" s="18"/>
      <c r="H2" s="18"/>
      <c r="I2" s="18"/>
      <c r="J2" s="12"/>
      <c r="K2" t="s">
        <v>35</v>
      </c>
      <c r="L2" s="92" t="s">
        <v>377</v>
      </c>
    </row>
    <row r="3" spans="1:12" x14ac:dyDescent="0.25">
      <c r="A3" s="11" t="s">
        <v>9</v>
      </c>
      <c r="B3" s="18" t="s">
        <v>387</v>
      </c>
      <c r="C3" s="18"/>
      <c r="D3" s="18"/>
      <c r="E3" s="18"/>
      <c r="F3" s="18"/>
      <c r="G3" s="18"/>
      <c r="H3" s="18"/>
      <c r="I3" s="18"/>
      <c r="J3" s="12"/>
      <c r="L3" s="85" t="s">
        <v>378</v>
      </c>
    </row>
    <row r="4" spans="1:12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L4" s="85" t="s">
        <v>379</v>
      </c>
    </row>
    <row r="5" spans="1:12" x14ac:dyDescent="0.25">
      <c r="A5" s="15" t="s">
        <v>10</v>
      </c>
      <c r="B5" s="20" t="s">
        <v>670</v>
      </c>
      <c r="C5" s="20"/>
      <c r="D5" s="20"/>
      <c r="E5" s="20"/>
      <c r="F5" s="20"/>
      <c r="G5" s="20"/>
      <c r="H5" s="20"/>
      <c r="I5" s="20"/>
      <c r="J5" s="16"/>
      <c r="L5" s="85"/>
    </row>
    <row r="6" spans="1:12" x14ac:dyDescent="0.25">
      <c r="A6" s="17"/>
      <c r="B6" s="20"/>
      <c r="C6" s="20"/>
      <c r="D6" s="20"/>
      <c r="E6" s="20"/>
      <c r="F6" s="20"/>
      <c r="G6" s="20"/>
      <c r="H6" s="20"/>
      <c r="I6" s="20"/>
      <c r="J6" s="16"/>
      <c r="L6" s="92" t="s">
        <v>380</v>
      </c>
    </row>
    <row r="7" spans="1:12" x14ac:dyDescent="0.25">
      <c r="A7" s="17"/>
      <c r="B7" s="20"/>
      <c r="C7" s="159"/>
      <c r="D7" s="159"/>
      <c r="E7" s="20"/>
      <c r="F7" s="20"/>
      <c r="G7" s="20"/>
      <c r="H7" s="20"/>
      <c r="I7" s="20"/>
      <c r="J7" s="16"/>
      <c r="L7" s="85" t="s">
        <v>381</v>
      </c>
    </row>
    <row r="8" spans="1:12" x14ac:dyDescent="0.25">
      <c r="A8" s="17"/>
      <c r="B8" s="160"/>
      <c r="C8" s="20"/>
      <c r="D8" s="20"/>
      <c r="E8" s="20"/>
      <c r="F8" s="20"/>
      <c r="G8" s="20"/>
      <c r="H8" s="20"/>
      <c r="I8" s="20"/>
      <c r="J8" s="16"/>
      <c r="L8" s="85" t="s">
        <v>382</v>
      </c>
    </row>
    <row r="9" spans="1:12" x14ac:dyDescent="0.25">
      <c r="A9" s="17"/>
      <c r="B9" s="161"/>
      <c r="C9" s="20"/>
      <c r="D9" s="20"/>
      <c r="E9" s="20"/>
      <c r="F9" s="20"/>
      <c r="G9" s="20"/>
      <c r="H9" s="20"/>
      <c r="I9" s="20"/>
      <c r="J9" s="16"/>
      <c r="L9" s="85"/>
    </row>
    <row r="10" spans="1:12" x14ac:dyDescent="0.25">
      <c r="A10" s="17"/>
      <c r="B10" s="161"/>
      <c r="C10" s="20"/>
      <c r="D10" s="20"/>
      <c r="E10" s="20"/>
      <c r="F10" s="20"/>
      <c r="G10" s="20"/>
      <c r="H10" s="20"/>
      <c r="I10" s="20"/>
      <c r="J10" s="16"/>
      <c r="K10" t="s">
        <v>83</v>
      </c>
      <c r="L10" s="85" t="s">
        <v>383</v>
      </c>
    </row>
    <row r="11" spans="1:12" x14ac:dyDescent="0.25">
      <c r="A11" s="17"/>
      <c r="B11" s="20"/>
      <c r="C11" s="20"/>
      <c r="D11" s="20"/>
      <c r="E11" s="20"/>
      <c r="F11" s="20"/>
      <c r="G11" s="20"/>
      <c r="H11" s="20"/>
      <c r="I11" s="20"/>
      <c r="J11" s="16"/>
      <c r="L11" s="85"/>
    </row>
    <row r="12" spans="1:12" x14ac:dyDescent="0.25">
      <c r="A12" s="17"/>
      <c r="B12" s="20"/>
      <c r="C12" s="20"/>
      <c r="D12" s="20"/>
      <c r="E12" s="20"/>
      <c r="F12" s="20"/>
      <c r="G12" s="20"/>
      <c r="H12" s="20"/>
      <c r="I12" s="20"/>
      <c r="J12" s="16"/>
      <c r="L12" s="85" t="s">
        <v>384</v>
      </c>
    </row>
    <row r="13" spans="1:12" x14ac:dyDescent="0.25">
      <c r="A13" s="17"/>
      <c r="B13" s="20"/>
      <c r="C13" s="20"/>
      <c r="D13" s="20"/>
      <c r="E13" s="20"/>
      <c r="F13" s="20"/>
      <c r="G13" s="20"/>
      <c r="H13" s="20"/>
      <c r="I13" s="20"/>
      <c r="J13" s="16"/>
      <c r="L13" s="85" t="s">
        <v>385</v>
      </c>
    </row>
    <row r="14" spans="1:12" x14ac:dyDescent="0.25">
      <c r="A14" s="17"/>
      <c r="B14" s="20"/>
      <c r="C14" s="20"/>
      <c r="D14" s="20"/>
      <c r="E14" s="20"/>
      <c r="F14" s="20"/>
      <c r="G14" s="20"/>
      <c r="H14" s="20"/>
      <c r="I14" s="20"/>
      <c r="J14" s="16"/>
      <c r="L14" s="85"/>
    </row>
    <row r="15" spans="1:12" x14ac:dyDescent="0.25">
      <c r="A15" s="17"/>
      <c r="B15" s="20"/>
      <c r="C15" s="20"/>
      <c r="D15" s="20"/>
      <c r="E15" s="20"/>
      <c r="F15" s="20"/>
      <c r="G15" s="20"/>
      <c r="H15" s="20"/>
      <c r="I15" s="20"/>
      <c r="J15" s="16"/>
    </row>
    <row r="16" spans="1:12" x14ac:dyDescent="0.25">
      <c r="A16" s="17"/>
      <c r="B16" s="20"/>
      <c r="C16" s="20"/>
      <c r="D16" s="20"/>
      <c r="E16" s="20"/>
      <c r="F16" s="20"/>
      <c r="G16" s="20"/>
      <c r="H16" s="20"/>
      <c r="I16" s="20"/>
      <c r="J16" s="16"/>
    </row>
    <row r="17" spans="1:10" x14ac:dyDescent="0.25">
      <c r="A17" s="17"/>
      <c r="B17" s="20"/>
      <c r="C17" s="20"/>
      <c r="D17" s="20"/>
      <c r="E17" s="20"/>
      <c r="F17" s="20"/>
      <c r="G17" s="20"/>
      <c r="H17" s="20"/>
      <c r="I17" s="20"/>
      <c r="J17" s="16"/>
    </row>
    <row r="18" spans="1:10" x14ac:dyDescent="0.25">
      <c r="A18" s="17"/>
      <c r="B18" s="20"/>
      <c r="C18" s="20"/>
      <c r="D18" s="20"/>
      <c r="E18" s="20"/>
      <c r="F18" s="20"/>
      <c r="G18" s="20"/>
      <c r="H18" s="20"/>
      <c r="I18" s="20"/>
      <c r="J18" s="16"/>
    </row>
    <row r="19" spans="1:10" x14ac:dyDescent="0.25">
      <c r="A19" s="17"/>
      <c r="B19" s="20"/>
      <c r="C19" s="20"/>
      <c r="D19" s="20"/>
      <c r="E19" s="20"/>
      <c r="F19" s="20"/>
      <c r="G19" s="20"/>
      <c r="H19" s="20"/>
      <c r="I19" s="20"/>
      <c r="J19" s="16"/>
    </row>
    <row r="20" spans="1:10" x14ac:dyDescent="0.25">
      <c r="A20" s="17"/>
      <c r="B20" s="20"/>
      <c r="C20" s="20"/>
      <c r="D20" s="20"/>
      <c r="E20" s="20"/>
      <c r="F20" s="20"/>
      <c r="G20" s="20"/>
      <c r="H20" s="20"/>
      <c r="I20" s="20"/>
      <c r="J20" s="16"/>
    </row>
    <row r="21" spans="1:10" x14ac:dyDescent="0.25">
      <c r="A21" s="17"/>
      <c r="B21" s="20"/>
      <c r="C21" s="20"/>
      <c r="D21" s="20"/>
      <c r="E21" s="20"/>
      <c r="F21" s="20"/>
      <c r="G21" s="20"/>
      <c r="H21" s="20"/>
      <c r="I21" s="20"/>
      <c r="J21" s="16"/>
    </row>
    <row r="22" spans="1:10" x14ac:dyDescent="0.25">
      <c r="A22" s="17"/>
      <c r="B22" s="20" t="s">
        <v>671</v>
      </c>
      <c r="C22" s="20"/>
      <c r="D22" s="20"/>
      <c r="E22" s="20"/>
      <c r="F22" s="20"/>
      <c r="G22" s="20"/>
      <c r="H22" s="20"/>
      <c r="I22" s="20"/>
      <c r="J22" s="16"/>
    </row>
    <row r="23" spans="1:10" x14ac:dyDescent="0.25">
      <c r="A23" s="17"/>
      <c r="B23" s="20" t="s">
        <v>548</v>
      </c>
      <c r="C23" s="20"/>
      <c r="D23" s="20"/>
      <c r="E23" s="20"/>
      <c r="F23" s="20"/>
      <c r="G23" s="20"/>
      <c r="H23" s="20"/>
      <c r="I23" s="20"/>
      <c r="J23" s="16"/>
    </row>
    <row r="24" spans="1:10" x14ac:dyDescent="0.25">
      <c r="A24" s="17"/>
      <c r="B24" s="20"/>
      <c r="C24" s="20"/>
      <c r="D24" s="20"/>
      <c r="E24" s="20"/>
      <c r="F24" s="20"/>
      <c r="G24" s="20"/>
      <c r="H24" s="20"/>
      <c r="I24" s="20"/>
      <c r="J24" s="16"/>
    </row>
    <row r="25" spans="1:10" x14ac:dyDescent="0.25">
      <c r="A25" s="89" t="s">
        <v>55</v>
      </c>
      <c r="B25" s="20" t="s">
        <v>673</v>
      </c>
      <c r="C25" s="20"/>
      <c r="D25" s="20"/>
      <c r="E25" s="20"/>
      <c r="F25" s="20"/>
      <c r="G25" s="20"/>
      <c r="H25" s="20"/>
      <c r="I25" s="20"/>
      <c r="J25" s="16"/>
    </row>
    <row r="26" spans="1:10" x14ac:dyDescent="0.25">
      <c r="A26" s="17"/>
      <c r="B26" s="20" t="s">
        <v>674</v>
      </c>
      <c r="C26" s="20"/>
      <c r="D26" s="20"/>
      <c r="E26" s="20"/>
      <c r="F26" s="20"/>
      <c r="G26" s="20"/>
      <c r="H26" s="20"/>
      <c r="I26" s="20"/>
      <c r="J26" s="16"/>
    </row>
    <row r="27" spans="1:10" x14ac:dyDescent="0.25">
      <c r="A27" s="17"/>
      <c r="B27" s="20"/>
      <c r="C27" s="20"/>
      <c r="D27" s="20"/>
      <c r="E27" s="20"/>
      <c r="F27" s="20"/>
      <c r="G27" s="20"/>
      <c r="H27" s="20"/>
      <c r="I27" s="20"/>
      <c r="J27" s="16"/>
    </row>
    <row r="28" spans="1:10" x14ac:dyDescent="0.25">
      <c r="A28" s="17"/>
      <c r="B28" s="20" t="s">
        <v>675</v>
      </c>
      <c r="C28" s="20"/>
      <c r="D28" s="20"/>
      <c r="E28" s="20"/>
      <c r="F28" s="20"/>
      <c r="G28" s="20"/>
      <c r="H28" s="20"/>
      <c r="I28" s="20"/>
      <c r="J28" s="16"/>
    </row>
    <row r="29" spans="1:10" ht="15.75" thickBot="1" x14ac:dyDescent="0.3">
      <c r="A29" s="21"/>
      <c r="B29" s="22" t="s">
        <v>672</v>
      </c>
      <c r="C29" s="22"/>
      <c r="D29" s="22"/>
      <c r="E29" s="22"/>
      <c r="F29" s="22"/>
      <c r="G29" s="22"/>
      <c r="H29" s="22"/>
      <c r="I29" s="22"/>
      <c r="J29" s="23"/>
    </row>
  </sheetData>
  <mergeCells count="1">
    <mergeCell ref="I1:J1"/>
  </mergeCells>
  <hyperlinks>
    <hyperlink ref="I1" location="TOC!A1" display="Return to TOC" xr:uid="{8D260F6D-09F1-4CB8-B907-A8686594D6D9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AF83B-141A-489B-AD56-002250F46A57}">
  <dimension ref="A1:M36"/>
  <sheetViews>
    <sheetView workbookViewId="0"/>
  </sheetViews>
  <sheetFormatPr defaultRowHeight="15" x14ac:dyDescent="0.25"/>
  <cols>
    <col min="1" max="1" width="14" bestFit="1" customWidth="1"/>
    <col min="7" max="7" width="12" bestFit="1" customWidth="1"/>
    <col min="9" max="9" width="3.7109375" customWidth="1"/>
  </cols>
  <sheetData>
    <row r="1" spans="1:13" x14ac:dyDescent="0.25">
      <c r="A1" s="6" t="s">
        <v>5</v>
      </c>
      <c r="B1" s="7" t="s">
        <v>534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3" x14ac:dyDescent="0.25">
      <c r="A2" s="11" t="s">
        <v>8</v>
      </c>
      <c r="B2" s="18" t="s">
        <v>482</v>
      </c>
      <c r="C2" s="18"/>
      <c r="D2" s="18"/>
      <c r="E2" s="18"/>
      <c r="F2" s="18"/>
      <c r="G2" s="18"/>
      <c r="H2" s="12"/>
      <c r="I2" t="s">
        <v>35</v>
      </c>
      <c r="J2" t="s">
        <v>497</v>
      </c>
    </row>
    <row r="3" spans="1:13" x14ac:dyDescent="0.25">
      <c r="A3" s="11" t="s">
        <v>9</v>
      </c>
      <c r="B3" s="18" t="s">
        <v>483</v>
      </c>
      <c r="C3" s="18"/>
      <c r="D3" s="18"/>
      <c r="E3" s="18"/>
      <c r="F3" s="18"/>
      <c r="G3" s="18"/>
      <c r="H3" s="12"/>
    </row>
    <row r="4" spans="1:13" x14ac:dyDescent="0.25">
      <c r="A4" s="13"/>
      <c r="B4" s="19"/>
      <c r="C4" s="19"/>
      <c r="D4" s="19"/>
      <c r="E4" s="19"/>
      <c r="F4" s="19"/>
      <c r="G4" s="19"/>
      <c r="H4" s="14"/>
      <c r="J4" t="s">
        <v>498</v>
      </c>
      <c r="L4" s="126">
        <f>EXP(F10+F14)</f>
        <v>46.29870059355413</v>
      </c>
      <c r="M4" t="s">
        <v>521</v>
      </c>
    </row>
    <row r="5" spans="1:13" x14ac:dyDescent="0.25">
      <c r="A5" s="15" t="s">
        <v>10</v>
      </c>
      <c r="B5" s="18" t="s">
        <v>514</v>
      </c>
      <c r="C5" s="20"/>
      <c r="D5" s="20"/>
      <c r="E5" s="20"/>
      <c r="F5" s="20"/>
      <c r="G5" s="20"/>
      <c r="H5" s="16"/>
      <c r="J5" t="s">
        <v>500</v>
      </c>
    </row>
    <row r="6" spans="1:13" x14ac:dyDescent="0.25">
      <c r="A6" s="17"/>
      <c r="B6" s="20" t="s">
        <v>499</v>
      </c>
      <c r="C6" s="20"/>
      <c r="D6" s="20"/>
      <c r="E6" s="20"/>
      <c r="F6" s="20"/>
      <c r="G6" s="20"/>
      <c r="H6" s="16"/>
      <c r="I6" t="s">
        <v>508</v>
      </c>
      <c r="J6" t="s">
        <v>501</v>
      </c>
      <c r="K6" s="127">
        <f>L4/(1-SUM(B23:B24))</f>
        <v>61.731600791405505</v>
      </c>
    </row>
    <row r="7" spans="1:13" x14ac:dyDescent="0.25">
      <c r="A7" s="20"/>
      <c r="B7" s="20" t="s">
        <v>515</v>
      </c>
      <c r="C7" s="20"/>
      <c r="D7" s="20"/>
      <c r="E7" s="20"/>
      <c r="F7" s="20"/>
      <c r="G7" s="20"/>
      <c r="H7" s="16"/>
    </row>
    <row r="8" spans="1:13" x14ac:dyDescent="0.25">
      <c r="A8" s="20"/>
      <c r="B8" s="20"/>
      <c r="C8" s="20"/>
      <c r="D8" s="20"/>
      <c r="E8" s="20"/>
      <c r="F8" s="20"/>
      <c r="G8" s="20"/>
      <c r="H8" s="16"/>
    </row>
    <row r="9" spans="1:13" x14ac:dyDescent="0.25">
      <c r="A9" s="17"/>
      <c r="B9" s="60" t="s">
        <v>68</v>
      </c>
      <c r="C9" s="61"/>
      <c r="D9" s="61"/>
      <c r="E9" s="61"/>
      <c r="F9" s="38" t="s">
        <v>248</v>
      </c>
      <c r="G9" s="38" t="s">
        <v>522</v>
      </c>
      <c r="H9" s="16"/>
      <c r="J9" t="s">
        <v>502</v>
      </c>
      <c r="K9" s="126">
        <f>EXP(F10+F11+F14+F15)</f>
        <v>61.328515754433063</v>
      </c>
    </row>
    <row r="10" spans="1:13" x14ac:dyDescent="0.25">
      <c r="A10" s="17"/>
      <c r="B10" s="57" t="s">
        <v>488</v>
      </c>
      <c r="C10" s="20"/>
      <c r="D10" s="20"/>
      <c r="E10" s="20"/>
      <c r="F10" s="122">
        <v>3.4296487876561601</v>
      </c>
      <c r="G10" s="128">
        <v>7.0410965088600298E-3</v>
      </c>
      <c r="H10" s="16"/>
      <c r="I10" t="s">
        <v>509</v>
      </c>
      <c r="J10" t="s">
        <v>503</v>
      </c>
      <c r="K10" s="127">
        <f>K9/(1-SUM(B23:B24))</f>
        <v>81.771354339244084</v>
      </c>
    </row>
    <row r="11" spans="1:13" x14ac:dyDescent="0.25">
      <c r="A11" s="17"/>
      <c r="B11" s="57" t="s">
        <v>484</v>
      </c>
      <c r="C11" s="20"/>
      <c r="D11" s="20"/>
      <c r="E11" s="20"/>
      <c r="F11" s="122">
        <v>9.5310179804324935E-2</v>
      </c>
      <c r="G11" s="129">
        <v>3.2542303031299402E-2</v>
      </c>
      <c r="H11" s="16"/>
    </row>
    <row r="12" spans="1:13" x14ac:dyDescent="0.25">
      <c r="A12" s="17"/>
      <c r="B12" s="57" t="s">
        <v>485</v>
      </c>
      <c r="C12" s="20"/>
      <c r="D12" s="20"/>
      <c r="E12" s="20"/>
      <c r="F12" s="122">
        <v>0.33647223662121289</v>
      </c>
      <c r="G12" s="129">
        <v>7.6733208656126596E-3</v>
      </c>
      <c r="H12" s="16"/>
      <c r="J12" t="s">
        <v>502</v>
      </c>
      <c r="K12" s="126">
        <f>EXP(F10+F13+F14+F17)</f>
        <v>26.88826559658283</v>
      </c>
    </row>
    <row r="13" spans="1:13" x14ac:dyDescent="0.25">
      <c r="A13" s="17"/>
      <c r="B13" s="57" t="s">
        <v>486</v>
      </c>
      <c r="C13" s="20"/>
      <c r="D13" s="20"/>
      <c r="E13" s="20"/>
      <c r="F13" s="122">
        <v>-0.2876820724517809</v>
      </c>
      <c r="G13" s="129">
        <v>4.7826406948215202E-4</v>
      </c>
      <c r="H13" s="16"/>
      <c r="I13" t="s">
        <v>510</v>
      </c>
      <c r="J13" t="s">
        <v>503</v>
      </c>
      <c r="K13" s="127">
        <f>K12/(1-SUM(B23:B24))</f>
        <v>35.851020795443773</v>
      </c>
    </row>
    <row r="14" spans="1:13" x14ac:dyDescent="0.25">
      <c r="A14" s="17"/>
      <c r="B14" s="57" t="s">
        <v>487</v>
      </c>
      <c r="C14" s="20"/>
      <c r="D14" s="20"/>
      <c r="E14" s="20"/>
      <c r="F14" s="122">
        <v>0.40546510810816438</v>
      </c>
      <c r="G14" s="129">
        <v>1.0000000000000001E-5</v>
      </c>
      <c r="H14" s="16"/>
    </row>
    <row r="15" spans="1:13" x14ac:dyDescent="0.25">
      <c r="A15" s="17"/>
      <c r="B15" s="57" t="s">
        <v>489</v>
      </c>
      <c r="C15" s="20"/>
      <c r="D15" s="20"/>
      <c r="E15" s="20"/>
      <c r="F15" s="122">
        <v>0.18582084280514144</v>
      </c>
      <c r="G15" s="129">
        <v>8.7258519647343703E-3</v>
      </c>
      <c r="H15" s="16"/>
    </row>
    <row r="16" spans="1:13" x14ac:dyDescent="0.25">
      <c r="A16" s="17"/>
      <c r="B16" s="57" t="s">
        <v>490</v>
      </c>
      <c r="C16" s="20"/>
      <c r="D16" s="20"/>
      <c r="E16" s="20"/>
      <c r="F16" s="122">
        <v>-0.47716796324265742</v>
      </c>
      <c r="G16" s="129">
        <v>8.1103998547286005E-2</v>
      </c>
      <c r="H16" s="16"/>
      <c r="I16" t="s">
        <v>83</v>
      </c>
      <c r="J16" t="s">
        <v>516</v>
      </c>
    </row>
    <row r="17" spans="1:13" x14ac:dyDescent="0.25">
      <c r="A17" s="17"/>
      <c r="B17" s="58" t="s">
        <v>491</v>
      </c>
      <c r="C17" s="59"/>
      <c r="D17" s="59"/>
      <c r="E17" s="59"/>
      <c r="F17" s="123">
        <v>-0.25574185505311808</v>
      </c>
      <c r="G17" s="130">
        <v>8.0115907259615503E-3</v>
      </c>
      <c r="H17" s="16"/>
      <c r="J17" t="s">
        <v>517</v>
      </c>
    </row>
    <row r="18" spans="1:13" x14ac:dyDescent="0.25">
      <c r="A18" s="17"/>
      <c r="B18" s="20"/>
      <c r="C18" s="20"/>
      <c r="D18" s="20"/>
      <c r="E18" s="20"/>
      <c r="F18" s="20"/>
      <c r="G18" s="20"/>
      <c r="H18" s="16"/>
      <c r="J18" t="s">
        <v>518</v>
      </c>
      <c r="L18" s="126">
        <f>EXP(F10+F12)</f>
        <v>43.212120553983844</v>
      </c>
    </row>
    <row r="19" spans="1:13" x14ac:dyDescent="0.25">
      <c r="A19" s="17"/>
      <c r="B19" s="20" t="s">
        <v>495</v>
      </c>
      <c r="C19" s="20"/>
      <c r="D19" s="20"/>
      <c r="E19" s="20"/>
      <c r="F19" s="20"/>
      <c r="G19" s="20"/>
      <c r="H19" s="16"/>
      <c r="J19" t="s">
        <v>519</v>
      </c>
      <c r="L19" s="126">
        <f>L18/(1-SUM(B23:B24))</f>
        <v>57.616160738645128</v>
      </c>
    </row>
    <row r="20" spans="1:13" x14ac:dyDescent="0.25">
      <c r="A20" s="17"/>
      <c r="B20" s="20" t="s">
        <v>496</v>
      </c>
      <c r="C20" s="20"/>
      <c r="D20" s="20"/>
      <c r="E20" s="20"/>
      <c r="F20" s="20"/>
      <c r="G20" s="20"/>
      <c r="H20" s="16"/>
    </row>
    <row r="21" spans="1:13" x14ac:dyDescent="0.25">
      <c r="A21" s="17"/>
      <c r="B21" s="20"/>
      <c r="C21" s="20"/>
      <c r="D21" s="20"/>
      <c r="E21" s="20"/>
      <c r="F21" s="20"/>
      <c r="G21" s="20"/>
      <c r="H21" s="16"/>
      <c r="J21" t="s">
        <v>520</v>
      </c>
      <c r="M21" s="82">
        <f>L19/K6-1</f>
        <v>-6.6666666666666874E-2</v>
      </c>
    </row>
    <row r="22" spans="1:13" x14ac:dyDescent="0.25">
      <c r="A22" s="17"/>
      <c r="B22" s="20" t="s">
        <v>492</v>
      </c>
      <c r="C22" s="20"/>
      <c r="D22" s="20"/>
      <c r="E22" s="20"/>
      <c r="F22" s="20"/>
      <c r="G22" s="20"/>
      <c r="H22" s="16"/>
    </row>
    <row r="23" spans="1:13" x14ac:dyDescent="0.25">
      <c r="A23" s="17"/>
      <c r="B23" s="124">
        <v>0.05</v>
      </c>
      <c r="C23" s="119" t="s">
        <v>493</v>
      </c>
      <c r="D23" s="120"/>
      <c r="E23" s="120"/>
      <c r="F23" s="121"/>
      <c r="G23" s="20"/>
      <c r="H23" s="16"/>
      <c r="I23" t="s">
        <v>114</v>
      </c>
      <c r="J23" t="s">
        <v>525</v>
      </c>
    </row>
    <row r="24" spans="1:13" x14ac:dyDescent="0.25">
      <c r="A24" s="17"/>
      <c r="B24" s="125">
        <v>0.2</v>
      </c>
      <c r="C24" s="58" t="s">
        <v>494</v>
      </c>
      <c r="D24" s="59"/>
      <c r="E24" s="59"/>
      <c r="F24" s="64"/>
      <c r="G24" s="20"/>
      <c r="H24" s="16"/>
      <c r="J24" t="s">
        <v>526</v>
      </c>
    </row>
    <row r="25" spans="1:13" x14ac:dyDescent="0.25">
      <c r="A25" s="17"/>
      <c r="B25" s="20"/>
      <c r="C25" s="20"/>
      <c r="D25" s="20"/>
      <c r="E25" s="20"/>
      <c r="F25" s="20"/>
      <c r="G25" s="20"/>
      <c r="H25" s="16"/>
      <c r="J25" t="s">
        <v>527</v>
      </c>
    </row>
    <row r="26" spans="1:13" x14ac:dyDescent="0.25">
      <c r="A26" s="89" t="s">
        <v>55</v>
      </c>
      <c r="B26" s="20" t="s">
        <v>504</v>
      </c>
      <c r="C26" s="20"/>
      <c r="D26" s="20"/>
      <c r="E26" s="20"/>
      <c r="F26" s="20"/>
      <c r="G26" s="20"/>
      <c r="H26" s="16"/>
    </row>
    <row r="27" spans="1:13" x14ac:dyDescent="0.25">
      <c r="A27" s="17"/>
      <c r="B27" s="55" t="s">
        <v>511</v>
      </c>
      <c r="C27" s="20"/>
      <c r="D27" s="20"/>
      <c r="E27" s="20"/>
      <c r="F27" s="20"/>
      <c r="G27" s="20"/>
      <c r="H27" s="16"/>
    </row>
    <row r="28" spans="1:13" x14ac:dyDescent="0.25">
      <c r="A28" s="17"/>
      <c r="B28" s="55" t="s">
        <v>505</v>
      </c>
      <c r="C28" s="20"/>
      <c r="D28" s="20"/>
      <c r="E28" s="20"/>
      <c r="F28" s="20"/>
      <c r="G28" s="20"/>
      <c r="H28" s="16"/>
    </row>
    <row r="29" spans="1:13" x14ac:dyDescent="0.25">
      <c r="A29" s="17"/>
      <c r="B29" s="55" t="s">
        <v>506</v>
      </c>
      <c r="C29" s="20"/>
      <c r="D29" s="20"/>
      <c r="E29" s="20"/>
      <c r="F29" s="20"/>
      <c r="G29" s="20"/>
      <c r="H29" s="16"/>
    </row>
    <row r="30" spans="1:13" x14ac:dyDescent="0.25">
      <c r="A30" s="17"/>
      <c r="B30" s="20"/>
      <c r="C30" s="20"/>
      <c r="D30" s="20"/>
      <c r="E30" s="20"/>
      <c r="F30" s="20"/>
      <c r="G30" s="20"/>
      <c r="H30" s="16"/>
    </row>
    <row r="31" spans="1:13" x14ac:dyDescent="0.25">
      <c r="A31" s="17"/>
      <c r="B31" s="20" t="s">
        <v>512</v>
      </c>
      <c r="C31" s="20"/>
      <c r="D31" s="20"/>
      <c r="E31" s="20"/>
      <c r="F31" s="20"/>
      <c r="G31" s="20"/>
      <c r="H31" s="16"/>
    </row>
    <row r="32" spans="1:13" x14ac:dyDescent="0.25">
      <c r="A32" s="17"/>
      <c r="B32" s="20" t="s">
        <v>513</v>
      </c>
      <c r="C32" s="20"/>
      <c r="D32" s="20"/>
      <c r="E32" s="20"/>
      <c r="F32" s="20"/>
      <c r="G32" s="20"/>
      <c r="H32" s="16"/>
    </row>
    <row r="33" spans="1:8" x14ac:dyDescent="0.25">
      <c r="A33" s="17"/>
      <c r="B33" s="20" t="s">
        <v>507</v>
      </c>
      <c r="C33" s="20"/>
      <c r="D33" s="20"/>
      <c r="E33" s="20"/>
      <c r="F33" s="20"/>
      <c r="G33" s="20"/>
      <c r="H33" s="16"/>
    </row>
    <row r="34" spans="1:8" x14ac:dyDescent="0.25">
      <c r="A34" s="17"/>
      <c r="B34" s="20"/>
      <c r="C34" s="20"/>
      <c r="D34" s="20"/>
      <c r="E34" s="20"/>
      <c r="F34" s="20"/>
      <c r="G34" s="20"/>
      <c r="H34" s="16"/>
    </row>
    <row r="35" spans="1:8" x14ac:dyDescent="0.25">
      <c r="A35" s="17"/>
      <c r="B35" s="20" t="s">
        <v>523</v>
      </c>
      <c r="C35" s="20"/>
      <c r="D35" s="20"/>
      <c r="E35" s="20"/>
      <c r="F35" s="20"/>
      <c r="G35" s="20"/>
      <c r="H35" s="16"/>
    </row>
    <row r="36" spans="1:8" ht="15.75" thickBot="1" x14ac:dyDescent="0.3">
      <c r="A36" s="21"/>
      <c r="B36" s="22" t="s">
        <v>524</v>
      </c>
      <c r="C36" s="22"/>
      <c r="D36" s="22"/>
      <c r="E36" s="22"/>
      <c r="F36" s="22"/>
      <c r="G36" s="22"/>
      <c r="H36" s="23"/>
    </row>
  </sheetData>
  <mergeCells count="1">
    <mergeCell ref="G1:H1"/>
  </mergeCells>
  <hyperlinks>
    <hyperlink ref="G1" location="TOC!A1" display="Return to TOC" xr:uid="{54DA2B5E-2C70-4C06-9B57-542E590843EE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DB5E3-3705-4CB1-85D6-00C8FA3ACD95}">
  <dimension ref="A1:M19"/>
  <sheetViews>
    <sheetView workbookViewId="0"/>
  </sheetViews>
  <sheetFormatPr defaultRowHeight="15" x14ac:dyDescent="0.25"/>
  <cols>
    <col min="1" max="1" width="14" bestFit="1" customWidth="1"/>
    <col min="2" max="2" width="10.85546875" customWidth="1"/>
    <col min="4" max="4" width="10.85546875" bestFit="1" customWidth="1"/>
    <col min="5" max="5" width="5.140625" customWidth="1"/>
    <col min="8" max="8" width="10.85546875" bestFit="1" customWidth="1"/>
    <col min="10" max="10" width="3.7109375" customWidth="1"/>
  </cols>
  <sheetData>
    <row r="1" spans="1:13" x14ac:dyDescent="0.25">
      <c r="A1" s="6" t="s">
        <v>5</v>
      </c>
      <c r="B1" s="7" t="s">
        <v>236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3" x14ac:dyDescent="0.25">
      <c r="A2" s="11" t="s">
        <v>8</v>
      </c>
      <c r="B2" s="18" t="s">
        <v>197</v>
      </c>
      <c r="C2" s="18"/>
      <c r="D2" s="18"/>
      <c r="E2" s="18"/>
      <c r="F2" s="18"/>
      <c r="G2" s="18"/>
      <c r="H2" s="18"/>
      <c r="I2" s="12"/>
      <c r="J2" t="s">
        <v>35</v>
      </c>
      <c r="K2" s="81" t="s">
        <v>207</v>
      </c>
    </row>
    <row r="3" spans="1:13" x14ac:dyDescent="0.25">
      <c r="A3" s="11" t="s">
        <v>9</v>
      </c>
      <c r="B3" s="18" t="s">
        <v>206</v>
      </c>
      <c r="C3" s="18"/>
      <c r="D3" s="18"/>
      <c r="E3" s="18"/>
      <c r="F3" s="18"/>
      <c r="G3" s="18"/>
      <c r="H3" s="18"/>
      <c r="I3" s="12"/>
      <c r="K3" s="53" t="s">
        <v>214</v>
      </c>
    </row>
    <row r="4" spans="1:13" x14ac:dyDescent="0.25">
      <c r="A4" s="13"/>
      <c r="B4" s="19"/>
      <c r="C4" s="19"/>
      <c r="D4" s="19"/>
      <c r="E4" s="19"/>
      <c r="F4" s="19"/>
      <c r="G4" s="19"/>
      <c r="H4" s="19"/>
      <c r="I4" s="14"/>
    </row>
    <row r="5" spans="1:13" x14ac:dyDescent="0.25">
      <c r="A5" s="15" t="s">
        <v>10</v>
      </c>
      <c r="B5" s="18" t="s">
        <v>198</v>
      </c>
      <c r="C5" s="20"/>
      <c r="D5" s="20"/>
      <c r="E5" s="20"/>
      <c r="F5" s="20"/>
      <c r="G5" s="20"/>
      <c r="H5" s="20"/>
      <c r="I5" s="16"/>
      <c r="K5" t="s">
        <v>80</v>
      </c>
      <c r="M5">
        <f>D10+1*D11+300000/1000*D12</f>
        <v>61.063000000000002</v>
      </c>
    </row>
    <row r="6" spans="1:13" x14ac:dyDescent="0.25">
      <c r="A6" s="17"/>
      <c r="B6" s="18" t="s">
        <v>199</v>
      </c>
      <c r="C6" s="20"/>
      <c r="D6" s="20"/>
      <c r="E6" s="20"/>
      <c r="F6" s="20"/>
      <c r="G6" s="20"/>
      <c r="H6" s="20"/>
      <c r="I6" s="16"/>
      <c r="K6" t="s">
        <v>81</v>
      </c>
    </row>
    <row r="7" spans="1:13" x14ac:dyDescent="0.25">
      <c r="A7" s="17"/>
      <c r="B7" s="20"/>
      <c r="C7" s="20"/>
      <c r="D7" s="20"/>
      <c r="E7" s="20"/>
      <c r="F7" s="20"/>
      <c r="G7" s="20"/>
      <c r="H7" s="20"/>
      <c r="I7" s="16"/>
      <c r="K7" t="s">
        <v>208</v>
      </c>
      <c r="M7" s="82">
        <f>EXP(M5)/(1+EXP(M5))</f>
        <v>1</v>
      </c>
    </row>
    <row r="8" spans="1:13" x14ac:dyDescent="0.25">
      <c r="A8" s="17"/>
      <c r="B8" s="77" t="s">
        <v>200</v>
      </c>
      <c r="C8" s="20" t="s">
        <v>201</v>
      </c>
      <c r="D8" s="20">
        <v>262.68</v>
      </c>
      <c r="E8" s="20"/>
      <c r="F8" s="77" t="s">
        <v>204</v>
      </c>
      <c r="G8" s="20" t="s">
        <v>201</v>
      </c>
      <c r="H8" s="24">
        <v>263.39</v>
      </c>
      <c r="I8" s="16"/>
    </row>
    <row r="9" spans="1:13" x14ac:dyDescent="0.25">
      <c r="A9" s="17"/>
      <c r="B9" s="47" t="s">
        <v>68</v>
      </c>
      <c r="C9" s="37"/>
      <c r="D9" s="78" t="s">
        <v>125</v>
      </c>
      <c r="E9" s="20"/>
      <c r="F9" s="47" t="s">
        <v>68</v>
      </c>
      <c r="G9" s="37"/>
      <c r="H9" s="79" t="s">
        <v>125</v>
      </c>
      <c r="I9" s="16"/>
      <c r="J9" t="s">
        <v>83</v>
      </c>
      <c r="K9" t="s">
        <v>213</v>
      </c>
    </row>
    <row r="10" spans="1:13" x14ac:dyDescent="0.25">
      <c r="A10" s="17"/>
      <c r="B10" s="39" t="s">
        <v>71</v>
      </c>
      <c r="C10" s="41"/>
      <c r="D10" s="42">
        <v>-3.2639999999999998</v>
      </c>
      <c r="E10" s="20"/>
      <c r="F10" s="39" t="s">
        <v>71</v>
      </c>
      <c r="G10" s="41"/>
      <c r="H10" s="25">
        <v>-2.8940000000000001</v>
      </c>
      <c r="I10" s="16"/>
      <c r="K10" t="s">
        <v>775</v>
      </c>
    </row>
    <row r="11" spans="1:13" x14ac:dyDescent="0.25">
      <c r="A11" s="17"/>
      <c r="B11" s="39" t="s">
        <v>203</v>
      </c>
      <c r="C11" s="41"/>
      <c r="D11" s="42">
        <v>0.72699999999999998</v>
      </c>
      <c r="E11" s="20"/>
      <c r="F11" s="43" t="s">
        <v>203</v>
      </c>
      <c r="G11" s="45"/>
      <c r="H11" s="27">
        <v>0.72699999999999998</v>
      </c>
      <c r="I11" s="16"/>
      <c r="K11" t="s">
        <v>776</v>
      </c>
    </row>
    <row r="12" spans="1:13" x14ac:dyDescent="0.25">
      <c r="A12" s="17"/>
      <c r="B12" s="43" t="s">
        <v>202</v>
      </c>
      <c r="C12" s="45"/>
      <c r="D12" s="46">
        <v>0.21199999999999999</v>
      </c>
      <c r="E12" s="20"/>
      <c r="F12" s="20"/>
      <c r="G12" s="20"/>
      <c r="H12" s="20"/>
      <c r="I12" s="16"/>
      <c r="K12" t="s">
        <v>777</v>
      </c>
    </row>
    <row r="13" spans="1:13" x14ac:dyDescent="0.25">
      <c r="A13" s="17"/>
      <c r="B13" s="20"/>
      <c r="C13" s="20"/>
      <c r="D13" s="20"/>
      <c r="E13" s="20"/>
      <c r="F13" s="20"/>
      <c r="G13" s="20"/>
      <c r="H13" s="20"/>
      <c r="I13" s="16"/>
      <c r="K13" s="136" t="s">
        <v>771</v>
      </c>
    </row>
    <row r="14" spans="1:13" x14ac:dyDescent="0.25">
      <c r="A14" s="17"/>
      <c r="B14" s="80" t="s">
        <v>205</v>
      </c>
      <c r="C14" s="20"/>
      <c r="D14" s="20"/>
      <c r="E14" s="20"/>
      <c r="F14" s="20"/>
      <c r="G14" s="20"/>
      <c r="H14" s="20"/>
      <c r="I14" s="16"/>
      <c r="K14" s="136" t="s">
        <v>774</v>
      </c>
    </row>
    <row r="15" spans="1:13" x14ac:dyDescent="0.25">
      <c r="A15" s="17"/>
      <c r="B15" s="20"/>
      <c r="C15" s="20"/>
      <c r="D15" s="20"/>
      <c r="E15" s="20"/>
      <c r="F15" s="20"/>
      <c r="G15" s="20"/>
      <c r="H15" s="20"/>
      <c r="I15" s="16"/>
    </row>
    <row r="16" spans="1:13" x14ac:dyDescent="0.25">
      <c r="A16" s="15" t="s">
        <v>55</v>
      </c>
      <c r="B16" s="20" t="s">
        <v>209</v>
      </c>
      <c r="C16" s="20"/>
      <c r="D16" s="20"/>
      <c r="E16" s="20"/>
      <c r="F16" s="20"/>
      <c r="G16" s="20"/>
      <c r="H16" s="20"/>
      <c r="I16" s="16"/>
      <c r="K16" t="s">
        <v>212</v>
      </c>
    </row>
    <row r="17" spans="1:11" x14ac:dyDescent="0.25">
      <c r="A17" s="17"/>
      <c r="B17" s="20" t="s">
        <v>211</v>
      </c>
      <c r="C17" s="20"/>
      <c r="D17" s="20"/>
      <c r="E17" s="20"/>
      <c r="F17" s="20"/>
      <c r="G17" s="20"/>
      <c r="H17" s="20"/>
      <c r="I17" s="16"/>
      <c r="K17" t="s">
        <v>772</v>
      </c>
    </row>
    <row r="18" spans="1:11" x14ac:dyDescent="0.25">
      <c r="A18" s="17"/>
      <c r="B18" s="20"/>
      <c r="C18" s="20"/>
      <c r="D18" s="20"/>
      <c r="E18" s="20"/>
      <c r="F18" s="20"/>
      <c r="G18" s="20"/>
      <c r="H18" s="20"/>
      <c r="I18" s="16"/>
      <c r="K18" s="136" t="s">
        <v>773</v>
      </c>
    </row>
    <row r="19" spans="1:11" ht="15.75" thickBot="1" x14ac:dyDescent="0.3">
      <c r="A19" s="21"/>
      <c r="B19" s="22" t="s">
        <v>210</v>
      </c>
      <c r="C19" s="22"/>
      <c r="D19" s="22"/>
      <c r="E19" s="22"/>
      <c r="F19" s="22"/>
      <c r="G19" s="22"/>
      <c r="H19" s="22"/>
      <c r="I19" s="23"/>
    </row>
  </sheetData>
  <mergeCells count="1">
    <mergeCell ref="H1:I1"/>
  </mergeCells>
  <hyperlinks>
    <hyperlink ref="H1" location="TOC!A1" display="Return to TOC" xr:uid="{522AF22D-D75F-40D0-9B01-8976E75B0081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63539-EA8A-483B-A825-6881603DDD3A}">
  <dimension ref="A1:P19"/>
  <sheetViews>
    <sheetView workbookViewId="0"/>
  </sheetViews>
  <sheetFormatPr defaultRowHeight="15" x14ac:dyDescent="0.25"/>
  <cols>
    <col min="1" max="1" width="14" bestFit="1" customWidth="1"/>
    <col min="10" max="10" width="3.7109375" customWidth="1"/>
  </cols>
  <sheetData>
    <row r="1" spans="1:16" x14ac:dyDescent="0.25">
      <c r="A1" s="6" t="s">
        <v>5</v>
      </c>
      <c r="B1" s="7" t="s">
        <v>236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6" x14ac:dyDescent="0.25">
      <c r="A2" s="11" t="s">
        <v>8</v>
      </c>
      <c r="B2" s="18" t="s">
        <v>215</v>
      </c>
      <c r="C2" s="18"/>
      <c r="D2" s="18"/>
      <c r="E2" s="18"/>
      <c r="F2" s="18"/>
      <c r="G2" s="18"/>
      <c r="H2" s="18"/>
      <c r="I2" s="12"/>
      <c r="K2" s="81" t="s">
        <v>223</v>
      </c>
    </row>
    <row r="3" spans="1:16" x14ac:dyDescent="0.25">
      <c r="A3" s="11" t="s">
        <v>9</v>
      </c>
      <c r="B3" s="18" t="s">
        <v>216</v>
      </c>
      <c r="C3" s="18"/>
      <c r="D3" s="18"/>
      <c r="E3" s="18"/>
      <c r="F3" s="18"/>
      <c r="G3" s="18"/>
      <c r="H3" s="18"/>
      <c r="I3" s="12"/>
      <c r="K3" s="53" t="s">
        <v>224</v>
      </c>
      <c r="P3">
        <f>B8</f>
        <v>-53</v>
      </c>
    </row>
    <row r="4" spans="1:16" x14ac:dyDescent="0.25">
      <c r="A4" s="13"/>
      <c r="B4" s="19"/>
      <c r="C4" s="19"/>
      <c r="D4" s="19"/>
      <c r="E4" s="19"/>
      <c r="F4" s="19"/>
      <c r="G4" s="19"/>
      <c r="H4" s="19"/>
      <c r="I4" s="14"/>
    </row>
    <row r="5" spans="1:16" x14ac:dyDescent="0.25">
      <c r="A5" s="15" t="s">
        <v>10</v>
      </c>
      <c r="B5" s="18" t="s">
        <v>217</v>
      </c>
      <c r="C5" s="20"/>
      <c r="D5" s="20"/>
      <c r="E5" s="20"/>
      <c r="F5" s="20"/>
      <c r="G5" s="20"/>
      <c r="H5" s="20"/>
      <c r="I5" s="16"/>
      <c r="K5" t="s">
        <v>225</v>
      </c>
    </row>
    <row r="6" spans="1:16" x14ac:dyDescent="0.25">
      <c r="A6" s="17"/>
      <c r="B6" s="18" t="s">
        <v>218</v>
      </c>
      <c r="C6" s="20"/>
      <c r="D6" s="20"/>
      <c r="E6" s="20"/>
      <c r="F6" s="20"/>
      <c r="G6" s="20"/>
      <c r="H6" s="20"/>
      <c r="I6" s="16"/>
      <c r="K6" t="s">
        <v>226</v>
      </c>
    </row>
    <row r="7" spans="1:16" x14ac:dyDescent="0.25">
      <c r="A7" s="17"/>
      <c r="B7" s="20"/>
      <c r="C7" s="20"/>
      <c r="D7" s="20"/>
      <c r="E7" s="20"/>
      <c r="F7" s="20"/>
      <c r="G7" s="20"/>
      <c r="H7" s="20"/>
      <c r="I7" s="16"/>
    </row>
    <row r="8" spans="1:16" x14ac:dyDescent="0.25">
      <c r="A8" s="17"/>
      <c r="B8" s="24">
        <v>-53</v>
      </c>
      <c r="C8" s="20" t="s">
        <v>219</v>
      </c>
      <c r="D8" s="20"/>
      <c r="E8" s="20"/>
      <c r="F8" s="20"/>
      <c r="G8" s="20"/>
      <c r="H8" s="20"/>
      <c r="I8" s="16"/>
      <c r="K8" t="s">
        <v>227</v>
      </c>
    </row>
    <row r="9" spans="1:16" x14ac:dyDescent="0.25">
      <c r="A9" s="17"/>
      <c r="B9" s="24">
        <v>-47</v>
      </c>
      <c r="C9" s="20" t="s">
        <v>220</v>
      </c>
      <c r="D9" s="20"/>
      <c r="E9" s="20"/>
      <c r="F9" s="20"/>
      <c r="G9" s="20"/>
      <c r="H9" s="20"/>
      <c r="I9" s="16"/>
      <c r="K9" t="s">
        <v>228</v>
      </c>
      <c r="L9">
        <f>(B9-B8)/2</f>
        <v>3</v>
      </c>
    </row>
    <row r="10" spans="1:16" x14ac:dyDescent="0.25">
      <c r="A10" s="17"/>
      <c r="B10" s="24">
        <v>-32</v>
      </c>
      <c r="C10" s="20" t="s">
        <v>221</v>
      </c>
      <c r="D10" s="20"/>
      <c r="E10" s="20"/>
      <c r="F10" s="20"/>
      <c r="G10" s="20"/>
      <c r="H10" s="20"/>
      <c r="I10" s="16"/>
    </row>
    <row r="11" spans="1:16" x14ac:dyDescent="0.25">
      <c r="A11" s="17"/>
      <c r="B11" s="24">
        <v>15</v>
      </c>
      <c r="C11" s="20" t="s">
        <v>222</v>
      </c>
      <c r="D11" s="20"/>
      <c r="E11" s="20"/>
      <c r="F11" s="20"/>
      <c r="G11" s="20"/>
      <c r="H11" s="20"/>
      <c r="I11" s="16"/>
      <c r="K11" t="s">
        <v>229</v>
      </c>
    </row>
    <row r="12" spans="1:16" x14ac:dyDescent="0.25">
      <c r="A12" s="17"/>
      <c r="B12" s="20"/>
      <c r="C12" s="20"/>
      <c r="D12" s="20"/>
      <c r="E12" s="20"/>
      <c r="F12" s="20"/>
      <c r="G12" s="20"/>
      <c r="H12" s="20"/>
      <c r="I12" s="16"/>
      <c r="K12" t="s">
        <v>230</v>
      </c>
      <c r="M12">
        <f>15+L9</f>
        <v>18</v>
      </c>
    </row>
    <row r="13" spans="1:16" ht="15.75" thickBot="1" x14ac:dyDescent="0.3">
      <c r="A13" s="83" t="s">
        <v>55</v>
      </c>
      <c r="B13" s="22" t="s">
        <v>216</v>
      </c>
      <c r="C13" s="22"/>
      <c r="D13" s="22"/>
      <c r="E13" s="22"/>
      <c r="F13" s="22"/>
      <c r="G13" s="22"/>
      <c r="H13" s="22"/>
      <c r="I13" s="23"/>
    </row>
    <row r="14" spans="1:16" x14ac:dyDescent="0.25">
      <c r="K14" t="s">
        <v>231</v>
      </c>
    </row>
    <row r="15" spans="1:16" x14ac:dyDescent="0.25">
      <c r="K15" t="s">
        <v>232</v>
      </c>
    </row>
    <row r="16" spans="1:16" x14ac:dyDescent="0.25">
      <c r="K16" t="s">
        <v>233</v>
      </c>
      <c r="L16">
        <f>(B10-B8)/3</f>
        <v>7</v>
      </c>
    </row>
    <row r="17" spans="11:12" x14ac:dyDescent="0.25">
      <c r="K17" t="s">
        <v>234</v>
      </c>
      <c r="L17">
        <f>EXP(L16)</f>
        <v>1096.6331584284585</v>
      </c>
    </row>
    <row r="19" spans="11:12" x14ac:dyDescent="0.25">
      <c r="K19" s="56" t="s">
        <v>235</v>
      </c>
    </row>
  </sheetData>
  <mergeCells count="1">
    <mergeCell ref="H1:I1"/>
  </mergeCells>
  <hyperlinks>
    <hyperlink ref="H1" location="TOC!A1" display="Return to TOC" xr:uid="{9691876F-5E3C-45E7-8D51-231FFFFA3321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034CE-3164-4E34-894F-001398894222}">
  <dimension ref="A1:O29"/>
  <sheetViews>
    <sheetView workbookViewId="0"/>
  </sheetViews>
  <sheetFormatPr defaultRowHeight="15" x14ac:dyDescent="0.25"/>
  <cols>
    <col min="1" max="1" width="14" bestFit="1" customWidth="1"/>
    <col min="10" max="10" width="3.7109375" customWidth="1"/>
  </cols>
  <sheetData>
    <row r="1" spans="1:15" x14ac:dyDescent="0.25">
      <c r="A1" s="6" t="s">
        <v>5</v>
      </c>
      <c r="B1" s="7" t="s">
        <v>236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5" x14ac:dyDescent="0.25">
      <c r="A2" s="11" t="s">
        <v>8</v>
      </c>
      <c r="B2" s="18" t="s">
        <v>237</v>
      </c>
      <c r="C2" s="18"/>
      <c r="D2" s="18"/>
      <c r="E2" s="18"/>
      <c r="F2" s="18"/>
      <c r="G2" s="18"/>
      <c r="H2" s="18"/>
      <c r="I2" s="12"/>
      <c r="J2" t="s">
        <v>35</v>
      </c>
      <c r="K2" s="85" t="s">
        <v>263</v>
      </c>
      <c r="L2" s="85"/>
      <c r="M2" s="85"/>
      <c r="N2" s="85"/>
      <c r="O2" s="85"/>
    </row>
    <row r="3" spans="1:15" x14ac:dyDescent="0.25">
      <c r="A3" s="11" t="s">
        <v>9</v>
      </c>
      <c r="B3" s="18" t="s">
        <v>238</v>
      </c>
      <c r="C3" s="18"/>
      <c r="D3" s="18"/>
      <c r="E3" s="18"/>
      <c r="F3" s="18"/>
      <c r="G3" s="18"/>
      <c r="H3" s="18"/>
      <c r="I3" s="12"/>
      <c r="K3" s="85" t="s">
        <v>264</v>
      </c>
      <c r="L3" s="86">
        <f>F14+F15*4+F16*LN(25000)+F17*8</f>
        <v>-0.43568001642001308</v>
      </c>
      <c r="M3" s="85"/>
      <c r="N3" s="85"/>
      <c r="O3" s="85"/>
    </row>
    <row r="4" spans="1:15" x14ac:dyDescent="0.25">
      <c r="A4" s="13"/>
      <c r="B4" s="19"/>
      <c r="C4" s="19"/>
      <c r="D4" s="19"/>
      <c r="E4" s="19"/>
      <c r="F4" s="19"/>
      <c r="G4" s="19"/>
      <c r="H4" s="19"/>
      <c r="I4" s="14"/>
      <c r="K4" s="85" t="s">
        <v>265</v>
      </c>
      <c r="L4" s="85"/>
      <c r="M4" s="85"/>
      <c r="N4" s="87">
        <f>EXP(L3)</f>
        <v>0.64682466609722866</v>
      </c>
      <c r="O4" s="85"/>
    </row>
    <row r="5" spans="1:15" x14ac:dyDescent="0.25">
      <c r="A5" s="15" t="s">
        <v>10</v>
      </c>
      <c r="B5" s="18" t="s">
        <v>239</v>
      </c>
      <c r="C5" s="20"/>
      <c r="D5" s="20"/>
      <c r="E5" s="20"/>
      <c r="F5" s="20"/>
      <c r="G5" s="20"/>
      <c r="H5" s="20"/>
      <c r="I5" s="16"/>
      <c r="K5" s="85"/>
      <c r="L5" s="85"/>
      <c r="M5" s="85"/>
      <c r="N5" s="85"/>
      <c r="O5" s="85"/>
    </row>
    <row r="6" spans="1:15" x14ac:dyDescent="0.25">
      <c r="A6" s="17"/>
      <c r="B6" s="18" t="s">
        <v>240</v>
      </c>
      <c r="C6" s="20"/>
      <c r="D6" s="20"/>
      <c r="E6" s="20"/>
      <c r="F6" s="20"/>
      <c r="G6" s="20"/>
      <c r="H6" s="20"/>
      <c r="I6" s="16"/>
      <c r="J6" t="s">
        <v>83</v>
      </c>
      <c r="K6" s="85" t="s">
        <v>266</v>
      </c>
      <c r="L6" s="85"/>
      <c r="M6" s="85"/>
      <c r="N6" s="85"/>
      <c r="O6" s="85"/>
    </row>
    <row r="7" spans="1:15" ht="18" x14ac:dyDescent="0.35">
      <c r="A7" s="17"/>
      <c r="B7" s="18" t="s">
        <v>241</v>
      </c>
      <c r="C7" s="20"/>
      <c r="D7" s="20"/>
      <c r="E7" s="20"/>
      <c r="F7" s="20"/>
      <c r="G7" s="20"/>
      <c r="H7" s="20"/>
      <c r="I7" s="16"/>
      <c r="K7" s="85" t="s">
        <v>267</v>
      </c>
      <c r="L7" s="85"/>
      <c r="M7" s="85"/>
      <c r="N7" s="85"/>
      <c r="O7" s="85"/>
    </row>
    <row r="8" spans="1:15" ht="18" x14ac:dyDescent="0.35">
      <c r="A8" s="17"/>
      <c r="B8" s="18" t="s">
        <v>242</v>
      </c>
      <c r="C8" s="20"/>
      <c r="D8" s="20"/>
      <c r="E8" s="20"/>
      <c r="F8" s="20"/>
      <c r="G8" s="20"/>
      <c r="H8" s="20"/>
      <c r="I8" s="16"/>
      <c r="K8" s="85" t="s">
        <v>268</v>
      </c>
      <c r="L8" s="85"/>
      <c r="M8" s="85"/>
      <c r="N8" s="85"/>
      <c r="O8" s="85"/>
    </row>
    <row r="9" spans="1:15" ht="18" x14ac:dyDescent="0.35">
      <c r="A9" s="17"/>
      <c r="B9" s="18" t="s">
        <v>243</v>
      </c>
      <c r="C9" s="20"/>
      <c r="D9" s="20"/>
      <c r="E9" s="20"/>
      <c r="F9" s="20"/>
      <c r="G9" s="20"/>
      <c r="H9" s="20"/>
      <c r="I9" s="16"/>
      <c r="K9" s="85" t="s">
        <v>269</v>
      </c>
      <c r="L9" s="85"/>
      <c r="M9" s="85"/>
      <c r="N9" s="85"/>
      <c r="O9" s="85"/>
    </row>
    <row r="10" spans="1:15" x14ac:dyDescent="0.25">
      <c r="A10" s="17"/>
      <c r="B10" s="18" t="s">
        <v>244</v>
      </c>
      <c r="C10" s="20"/>
      <c r="D10" s="20"/>
      <c r="E10" s="20"/>
      <c r="F10" s="20"/>
      <c r="G10" s="20"/>
      <c r="H10" s="20"/>
      <c r="I10" s="16"/>
      <c r="K10" s="85"/>
      <c r="L10" s="85"/>
      <c r="M10" s="85"/>
      <c r="N10" s="85"/>
      <c r="O10" s="85"/>
    </row>
    <row r="11" spans="1:15" x14ac:dyDescent="0.25">
      <c r="A11" s="17"/>
      <c r="B11" s="18" t="s">
        <v>245</v>
      </c>
      <c r="C11" s="20"/>
      <c r="D11" s="20"/>
      <c r="E11" s="20"/>
      <c r="F11" s="20"/>
      <c r="G11" s="20"/>
      <c r="H11" s="20"/>
      <c r="I11" s="16"/>
      <c r="J11" t="s">
        <v>114</v>
      </c>
      <c r="K11" s="85" t="s">
        <v>278</v>
      </c>
      <c r="L11" s="85"/>
      <c r="M11" s="85"/>
      <c r="N11" s="85"/>
      <c r="O11" s="85"/>
    </row>
    <row r="12" spans="1:15" x14ac:dyDescent="0.25">
      <c r="A12" s="17"/>
      <c r="B12" s="20"/>
      <c r="C12" s="20"/>
      <c r="D12" s="20"/>
      <c r="E12" s="20"/>
      <c r="F12" s="20"/>
      <c r="G12" s="20"/>
      <c r="H12" s="20"/>
      <c r="I12" s="16"/>
      <c r="K12" s="85" t="s">
        <v>270</v>
      </c>
      <c r="L12" s="85"/>
      <c r="M12" s="85"/>
      <c r="N12" s="85"/>
      <c r="O12" s="85"/>
    </row>
    <row r="13" spans="1:15" x14ac:dyDescent="0.25">
      <c r="A13" s="17"/>
      <c r="B13" s="162" t="s">
        <v>246</v>
      </c>
      <c r="C13" s="67"/>
      <c r="D13" s="67"/>
      <c r="E13" s="38" t="s">
        <v>247</v>
      </c>
      <c r="F13" s="38" t="s">
        <v>248</v>
      </c>
      <c r="G13" s="20"/>
      <c r="H13" s="20"/>
      <c r="I13" s="16"/>
      <c r="K13" s="85" t="s">
        <v>271</v>
      </c>
      <c r="L13" s="85"/>
      <c r="M13" s="85"/>
      <c r="N13" s="85"/>
      <c r="O13" s="85"/>
    </row>
    <row r="14" spans="1:15" x14ac:dyDescent="0.25">
      <c r="A14" s="17"/>
      <c r="B14" s="145"/>
      <c r="C14" s="24"/>
      <c r="D14" s="24"/>
      <c r="E14" s="165" t="s">
        <v>250</v>
      </c>
      <c r="F14" s="155">
        <v>0.91</v>
      </c>
      <c r="G14" s="20"/>
      <c r="H14" s="20"/>
      <c r="I14" s="16"/>
      <c r="K14" s="85" t="s">
        <v>272</v>
      </c>
      <c r="L14" s="85"/>
      <c r="M14" s="85"/>
      <c r="N14" s="85"/>
      <c r="O14" s="85"/>
    </row>
    <row r="15" spans="1:15" x14ac:dyDescent="0.25">
      <c r="A15" s="17"/>
      <c r="B15" s="163" t="s">
        <v>249</v>
      </c>
      <c r="C15" s="24"/>
      <c r="D15" s="24"/>
      <c r="E15" s="165" t="s">
        <v>252</v>
      </c>
      <c r="F15" s="42">
        <v>1.2999999999999999E-2</v>
      </c>
      <c r="G15" s="20"/>
      <c r="H15" s="20"/>
      <c r="I15" s="16"/>
      <c r="L15" s="85"/>
      <c r="M15" s="85"/>
      <c r="N15" s="85"/>
      <c r="O15" s="85"/>
    </row>
    <row r="16" spans="1:15" x14ac:dyDescent="0.25">
      <c r="A16" s="17"/>
      <c r="B16" s="163" t="s">
        <v>251</v>
      </c>
      <c r="C16" s="24"/>
      <c r="D16" s="24"/>
      <c r="E16" s="165" t="s">
        <v>254</v>
      </c>
      <c r="F16" s="42">
        <v>-0.187</v>
      </c>
      <c r="G16" s="20"/>
      <c r="H16" s="20"/>
      <c r="I16" s="16"/>
      <c r="K16" s="85" t="s">
        <v>273</v>
      </c>
      <c r="L16" s="85"/>
      <c r="M16" s="85"/>
      <c r="N16" s="85"/>
      <c r="O16" s="85"/>
    </row>
    <row r="17" spans="1:15" x14ac:dyDescent="0.25">
      <c r="A17" s="17"/>
      <c r="B17" s="164" t="s">
        <v>253</v>
      </c>
      <c r="C17" s="26"/>
      <c r="D17" s="26"/>
      <c r="E17" s="166" t="s">
        <v>255</v>
      </c>
      <c r="F17" s="46">
        <v>6.2E-2</v>
      </c>
      <c r="G17" s="20"/>
      <c r="H17" s="20"/>
      <c r="I17" s="16"/>
      <c r="K17" s="85" t="s">
        <v>274</v>
      </c>
      <c r="L17" s="85"/>
      <c r="M17" s="85"/>
      <c r="N17" s="85"/>
      <c r="O17" s="85"/>
    </row>
    <row r="18" spans="1:15" x14ac:dyDescent="0.25">
      <c r="A18" s="17"/>
      <c r="B18" s="20"/>
      <c r="C18" s="20"/>
      <c r="D18" s="20"/>
      <c r="E18" s="20"/>
      <c r="F18" s="20"/>
      <c r="G18" s="20"/>
      <c r="H18" s="20"/>
      <c r="I18" s="16"/>
      <c r="K18" s="85" t="s">
        <v>275</v>
      </c>
      <c r="L18" s="85"/>
      <c r="M18" s="85"/>
      <c r="N18" s="85"/>
      <c r="O18" s="85"/>
    </row>
    <row r="19" spans="1:15" x14ac:dyDescent="0.25">
      <c r="A19" s="89" t="s">
        <v>55</v>
      </c>
      <c r="B19" s="18" t="s">
        <v>256</v>
      </c>
      <c r="C19" s="20"/>
      <c r="D19" s="20"/>
      <c r="E19" s="20"/>
      <c r="F19" s="20"/>
      <c r="G19" s="20"/>
      <c r="H19" s="20"/>
      <c r="I19" s="16"/>
      <c r="K19" s="85" t="s">
        <v>276</v>
      </c>
    </row>
    <row r="20" spans="1:15" x14ac:dyDescent="0.25">
      <c r="A20" s="17"/>
      <c r="B20" s="18" t="s">
        <v>257</v>
      </c>
      <c r="C20" s="20"/>
      <c r="D20" s="20"/>
      <c r="E20" s="20"/>
      <c r="F20" s="20"/>
      <c r="G20" s="20"/>
      <c r="H20" s="20"/>
      <c r="I20" s="16"/>
    </row>
    <row r="21" spans="1:15" x14ac:dyDescent="0.25">
      <c r="A21" s="17"/>
      <c r="B21" s="18" t="s">
        <v>258</v>
      </c>
      <c r="C21" s="20"/>
      <c r="D21" s="20"/>
      <c r="E21" s="20"/>
      <c r="F21" s="20"/>
      <c r="G21" s="20"/>
      <c r="H21" s="20"/>
      <c r="I21" s="16"/>
      <c r="K21" s="88" t="s">
        <v>279</v>
      </c>
    </row>
    <row r="22" spans="1:15" x14ac:dyDescent="0.25">
      <c r="A22" s="17"/>
      <c r="B22" s="20"/>
      <c r="C22" s="20"/>
      <c r="D22" s="20"/>
      <c r="E22" s="20"/>
      <c r="F22" s="20"/>
      <c r="G22" s="20"/>
      <c r="H22" s="20"/>
      <c r="I22" s="16"/>
      <c r="K22" s="85" t="s">
        <v>280</v>
      </c>
    </row>
    <row r="23" spans="1:15" x14ac:dyDescent="0.25">
      <c r="A23" s="17"/>
      <c r="B23" s="18" t="s">
        <v>259</v>
      </c>
      <c r="C23" s="20"/>
      <c r="D23" s="20"/>
      <c r="E23" s="20"/>
      <c r="F23" s="20"/>
      <c r="G23" s="20"/>
      <c r="H23" s="20"/>
      <c r="I23" s="16"/>
      <c r="K23" s="85" t="s">
        <v>281</v>
      </c>
    </row>
    <row r="24" spans="1:15" x14ac:dyDescent="0.25">
      <c r="A24" s="17"/>
      <c r="B24" s="18" t="s">
        <v>260</v>
      </c>
      <c r="C24" s="20"/>
      <c r="D24" s="20"/>
      <c r="E24" s="20"/>
      <c r="F24" s="20"/>
      <c r="G24" s="20"/>
      <c r="H24" s="20"/>
      <c r="I24" s="16"/>
      <c r="K24" s="85" t="s">
        <v>282</v>
      </c>
    </row>
    <row r="25" spans="1:15" x14ac:dyDescent="0.25">
      <c r="A25" s="17"/>
      <c r="B25" s="20"/>
      <c r="C25" s="20"/>
      <c r="D25" s="20"/>
      <c r="E25" s="20"/>
      <c r="F25" s="20"/>
      <c r="G25" s="20"/>
      <c r="H25" s="20"/>
      <c r="I25" s="16"/>
    </row>
    <row r="26" spans="1:15" x14ac:dyDescent="0.25">
      <c r="A26" s="17"/>
      <c r="B26" s="18" t="s">
        <v>261</v>
      </c>
      <c r="C26" s="20"/>
      <c r="D26" s="20"/>
      <c r="E26" s="20"/>
      <c r="F26" s="20"/>
      <c r="G26" s="20"/>
      <c r="H26" s="20"/>
      <c r="I26" s="16"/>
      <c r="K26" s="88" t="s">
        <v>283</v>
      </c>
    </row>
    <row r="27" spans="1:15" ht="15.75" thickBot="1" x14ac:dyDescent="0.3">
      <c r="A27" s="21"/>
      <c r="B27" s="84" t="s">
        <v>262</v>
      </c>
      <c r="C27" s="22"/>
      <c r="D27" s="22"/>
      <c r="E27" s="22"/>
      <c r="F27" s="22"/>
      <c r="G27" s="22"/>
      <c r="H27" s="22"/>
      <c r="I27" s="23"/>
      <c r="K27" s="85" t="s">
        <v>284</v>
      </c>
    </row>
    <row r="29" spans="1:15" x14ac:dyDescent="0.25">
      <c r="K29" s="88" t="s">
        <v>285</v>
      </c>
    </row>
  </sheetData>
  <mergeCells count="1">
    <mergeCell ref="H1:I1"/>
  </mergeCells>
  <hyperlinks>
    <hyperlink ref="H1" location="TOC!A1" display="Return to TOC" xr:uid="{E4F17775-7AC5-4664-8958-8C44062782CF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8B80-35AA-4AD1-AE41-670CBF9BA498}">
  <dimension ref="A1:N20"/>
  <sheetViews>
    <sheetView workbookViewId="0"/>
  </sheetViews>
  <sheetFormatPr defaultRowHeight="15" x14ac:dyDescent="0.25"/>
  <cols>
    <col min="1" max="1" width="14" bestFit="1" customWidth="1"/>
    <col min="2" max="2" width="16" customWidth="1"/>
    <col min="3" max="4" width="11.42578125" bestFit="1" customWidth="1"/>
    <col min="7" max="7" width="11.28515625" customWidth="1"/>
    <col min="8" max="8" width="3.7109375" customWidth="1"/>
  </cols>
  <sheetData>
    <row r="1" spans="1:14" x14ac:dyDescent="0.25">
      <c r="A1" s="6" t="s">
        <v>5</v>
      </c>
      <c r="B1" s="7" t="s">
        <v>236</v>
      </c>
      <c r="C1" s="7"/>
      <c r="D1" s="8"/>
      <c r="E1" s="8"/>
      <c r="F1" s="281" t="s">
        <v>6</v>
      </c>
      <c r="G1" s="282"/>
      <c r="H1" s="9"/>
      <c r="I1" s="10" t="s">
        <v>7</v>
      </c>
    </row>
    <row r="2" spans="1:14" x14ac:dyDescent="0.25">
      <c r="A2" s="11" t="s">
        <v>8</v>
      </c>
      <c r="B2" s="18" t="s">
        <v>286</v>
      </c>
      <c r="C2" s="18"/>
      <c r="D2" s="18"/>
      <c r="E2" s="18"/>
      <c r="F2" s="18"/>
      <c r="G2" s="12"/>
      <c r="H2" t="s">
        <v>35</v>
      </c>
      <c r="I2" s="85" t="s">
        <v>301</v>
      </c>
      <c r="J2" s="85"/>
      <c r="K2" s="85"/>
      <c r="L2" s="85"/>
      <c r="M2" s="85"/>
      <c r="N2" s="85"/>
    </row>
    <row r="3" spans="1:14" x14ac:dyDescent="0.25">
      <c r="A3" s="11" t="s">
        <v>9</v>
      </c>
      <c r="B3" s="18" t="s">
        <v>312</v>
      </c>
      <c r="C3" s="18"/>
      <c r="D3" s="18"/>
      <c r="E3" s="18"/>
      <c r="F3" s="18"/>
      <c r="G3" s="12"/>
      <c r="I3" s="85" t="s">
        <v>302</v>
      </c>
      <c r="J3" s="85"/>
      <c r="K3" s="85"/>
      <c r="L3" s="85"/>
      <c r="M3" s="85"/>
      <c r="N3" s="85"/>
    </row>
    <row r="4" spans="1:14" x14ac:dyDescent="0.25">
      <c r="A4" s="13"/>
      <c r="B4" s="19"/>
      <c r="C4" s="19"/>
      <c r="D4" s="19"/>
      <c r="E4" s="19"/>
      <c r="F4" s="19"/>
      <c r="G4" s="14"/>
      <c r="I4" s="85"/>
      <c r="J4" s="85"/>
      <c r="K4" s="85"/>
      <c r="L4" s="85"/>
      <c r="M4" s="85"/>
      <c r="N4" s="85"/>
    </row>
    <row r="5" spans="1:14" x14ac:dyDescent="0.25">
      <c r="A5" s="15" t="s">
        <v>10</v>
      </c>
      <c r="B5" s="20" t="s">
        <v>287</v>
      </c>
      <c r="C5" s="20"/>
      <c r="D5" s="20"/>
      <c r="E5" s="20"/>
      <c r="F5" s="20"/>
      <c r="G5" s="16"/>
      <c r="I5" s="92" t="s">
        <v>303</v>
      </c>
      <c r="J5" s="85"/>
      <c r="K5" s="85"/>
      <c r="L5" s="85"/>
      <c r="M5" s="85"/>
      <c r="N5" s="85"/>
    </row>
    <row r="6" spans="1:14" x14ac:dyDescent="0.25">
      <c r="A6" s="17"/>
      <c r="B6" s="20" t="s">
        <v>288</v>
      </c>
      <c r="C6" s="20"/>
      <c r="D6" s="20"/>
      <c r="E6" s="20"/>
      <c r="F6" s="20"/>
      <c r="G6" s="16"/>
      <c r="I6" s="85" t="s">
        <v>304</v>
      </c>
      <c r="J6" s="85"/>
      <c r="K6" s="85"/>
      <c r="L6" s="94">
        <f>-2*C9+2*C11</f>
        <v>1520</v>
      </c>
      <c r="M6" s="85"/>
      <c r="N6" s="85"/>
    </row>
    <row r="7" spans="1:14" x14ac:dyDescent="0.25">
      <c r="A7" s="17"/>
      <c r="B7" s="20"/>
      <c r="C7" s="20"/>
      <c r="D7" s="20"/>
      <c r="E7" s="20"/>
      <c r="F7" s="20"/>
      <c r="G7" s="16"/>
      <c r="I7" s="85" t="s">
        <v>305</v>
      </c>
      <c r="J7" s="85"/>
      <c r="K7" s="85"/>
      <c r="L7" s="85"/>
      <c r="M7" s="94">
        <f>-2*C9+C11*LN(C12)</f>
        <v>1638.1551055796426</v>
      </c>
      <c r="N7" s="85"/>
    </row>
    <row r="8" spans="1:14" x14ac:dyDescent="0.25">
      <c r="A8" s="17"/>
      <c r="B8" s="90" t="s">
        <v>289</v>
      </c>
      <c r="C8" s="90" t="s">
        <v>290</v>
      </c>
      <c r="D8" s="90" t="s">
        <v>291</v>
      </c>
      <c r="E8" s="20"/>
      <c r="F8" s="20"/>
      <c r="G8" s="16"/>
      <c r="I8" s="85"/>
      <c r="J8" s="85"/>
      <c r="K8" s="85"/>
      <c r="L8" s="85"/>
      <c r="M8" s="85"/>
      <c r="N8" s="85"/>
    </row>
    <row r="9" spans="1:14" x14ac:dyDescent="0.25">
      <c r="A9" s="17"/>
      <c r="B9" s="38" t="s">
        <v>292</v>
      </c>
      <c r="C9" s="38">
        <v>-750</v>
      </c>
      <c r="D9" s="38">
        <v>-737.5</v>
      </c>
      <c r="E9" s="20"/>
      <c r="F9" s="20"/>
      <c r="G9" s="16"/>
      <c r="I9" s="92" t="s">
        <v>291</v>
      </c>
      <c r="J9" s="85"/>
      <c r="K9" s="85"/>
      <c r="L9" s="85"/>
      <c r="M9" s="85"/>
      <c r="N9" s="85"/>
    </row>
    <row r="10" spans="1:14" x14ac:dyDescent="0.25">
      <c r="A10" s="17"/>
      <c r="B10" s="38" t="s">
        <v>293</v>
      </c>
      <c r="C10" s="38">
        <v>500</v>
      </c>
      <c r="D10" s="38">
        <v>475</v>
      </c>
      <c r="E10" s="20"/>
      <c r="F10" s="20"/>
      <c r="G10" s="16"/>
      <c r="I10" s="85" t="s">
        <v>306</v>
      </c>
      <c r="J10" s="85"/>
      <c r="K10" s="85"/>
      <c r="L10" s="94">
        <f>-2*D9+2*D11</f>
        <v>1505</v>
      </c>
      <c r="M10" s="85"/>
      <c r="N10" s="85"/>
    </row>
    <row r="11" spans="1:14" x14ac:dyDescent="0.25">
      <c r="A11" s="17"/>
      <c r="B11" s="38" t="s">
        <v>294</v>
      </c>
      <c r="C11" s="38">
        <v>10</v>
      </c>
      <c r="D11" s="38">
        <v>15</v>
      </c>
      <c r="E11" s="20"/>
      <c r="F11" s="20"/>
      <c r="G11" s="16"/>
      <c r="I11" s="85" t="s">
        <v>307</v>
      </c>
      <c r="J11" s="85"/>
      <c r="K11" s="85"/>
      <c r="L11" s="85"/>
      <c r="M11" s="94">
        <f>-2*D9+D11*LN(D12)</f>
        <v>1682.2326583694642</v>
      </c>
      <c r="N11" s="85"/>
    </row>
    <row r="12" spans="1:14" x14ac:dyDescent="0.25">
      <c r="A12" s="17"/>
      <c r="B12" s="38" t="s">
        <v>295</v>
      </c>
      <c r="C12" s="91">
        <v>1000000</v>
      </c>
      <c r="D12" s="91">
        <v>1000000</v>
      </c>
      <c r="E12" s="20"/>
      <c r="F12" s="20"/>
      <c r="G12" s="16"/>
      <c r="I12" s="85"/>
      <c r="J12" s="85"/>
      <c r="K12" s="85"/>
      <c r="L12" s="85"/>
      <c r="M12" s="85"/>
      <c r="N12" s="85"/>
    </row>
    <row r="13" spans="1:14" x14ac:dyDescent="0.25">
      <c r="A13" s="17"/>
      <c r="B13" s="20"/>
      <c r="C13" s="20"/>
      <c r="D13" s="20"/>
      <c r="E13" s="20"/>
      <c r="F13" s="20"/>
      <c r="G13" s="16"/>
      <c r="H13" t="s">
        <v>83</v>
      </c>
      <c r="I13" s="85" t="s">
        <v>308</v>
      </c>
      <c r="J13" s="85"/>
      <c r="K13" s="85"/>
      <c r="L13" s="85"/>
      <c r="M13" s="85"/>
      <c r="N13" s="85"/>
    </row>
    <row r="14" spans="1:14" x14ac:dyDescent="0.25">
      <c r="A14" s="89" t="s">
        <v>55</v>
      </c>
      <c r="B14" s="20" t="s">
        <v>296</v>
      </c>
      <c r="C14" s="20"/>
      <c r="D14" s="20"/>
      <c r="E14" s="20"/>
      <c r="F14" s="20"/>
      <c r="G14" s="16"/>
      <c r="I14" s="85" t="s">
        <v>309</v>
      </c>
      <c r="J14" s="85"/>
      <c r="K14" s="85"/>
      <c r="L14" s="85"/>
      <c r="M14" s="85"/>
      <c r="N14" s="85"/>
    </row>
    <row r="15" spans="1:14" x14ac:dyDescent="0.25">
      <c r="A15" s="17"/>
      <c r="B15" s="20" t="s">
        <v>297</v>
      </c>
      <c r="C15" s="20"/>
      <c r="D15" s="20"/>
      <c r="E15" s="20"/>
      <c r="F15" s="20"/>
      <c r="G15" s="16"/>
      <c r="I15" s="85" t="s">
        <v>310</v>
      </c>
      <c r="J15" s="85"/>
      <c r="K15" s="85"/>
      <c r="L15" s="85"/>
      <c r="M15" s="85"/>
      <c r="N15" s="85"/>
    </row>
    <row r="16" spans="1:14" x14ac:dyDescent="0.25">
      <c r="A16" s="17"/>
      <c r="B16" s="20"/>
      <c r="C16" s="20"/>
      <c r="D16" s="20"/>
      <c r="E16" s="20"/>
      <c r="F16" s="20"/>
      <c r="G16" s="16"/>
      <c r="I16" s="85"/>
      <c r="J16" s="85"/>
      <c r="K16" s="85"/>
      <c r="L16" s="85"/>
      <c r="M16" s="85"/>
      <c r="N16" s="85"/>
    </row>
    <row r="17" spans="1:14" x14ac:dyDescent="0.25">
      <c r="A17" s="17"/>
      <c r="B17" s="20" t="s">
        <v>298</v>
      </c>
      <c r="C17" s="20"/>
      <c r="D17" s="20"/>
      <c r="E17" s="20"/>
      <c r="F17" s="20"/>
      <c r="G17" s="16"/>
      <c r="H17" t="s">
        <v>114</v>
      </c>
      <c r="I17" s="85" t="s">
        <v>311</v>
      </c>
      <c r="J17" s="85"/>
      <c r="K17" s="85"/>
      <c r="L17" s="85"/>
      <c r="M17" s="85"/>
      <c r="N17" s="85"/>
    </row>
    <row r="18" spans="1:14" x14ac:dyDescent="0.25">
      <c r="A18" s="17"/>
      <c r="B18" s="20" t="s">
        <v>299</v>
      </c>
      <c r="C18" s="20"/>
      <c r="D18" s="20"/>
      <c r="E18" s="20"/>
      <c r="F18" s="20"/>
      <c r="G18" s="16"/>
      <c r="I18" s="85"/>
      <c r="J18" s="85"/>
      <c r="K18" s="85"/>
      <c r="L18" s="85"/>
      <c r="M18" s="85"/>
      <c r="N18" s="85"/>
    </row>
    <row r="19" spans="1:14" x14ac:dyDescent="0.25">
      <c r="A19" s="17"/>
      <c r="B19" s="20"/>
      <c r="C19" s="20"/>
      <c r="D19" s="20"/>
      <c r="E19" s="20"/>
      <c r="F19" s="20"/>
      <c r="G19" s="16"/>
    </row>
    <row r="20" spans="1:14" ht="15.75" thickBot="1" x14ac:dyDescent="0.3">
      <c r="A20" s="21"/>
      <c r="B20" s="22" t="s">
        <v>300</v>
      </c>
      <c r="C20" s="22"/>
      <c r="D20" s="22"/>
      <c r="E20" s="22"/>
      <c r="F20" s="22"/>
      <c r="G20" s="23"/>
    </row>
  </sheetData>
  <mergeCells count="1">
    <mergeCell ref="F1:G1"/>
  </mergeCells>
  <hyperlinks>
    <hyperlink ref="F1" location="TOC!A1" display="Return to TOC" xr:uid="{0135864E-851E-479B-B0E4-5630DEF7CFD6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1B0EF-784A-4C37-91C9-0B7A376F5949}">
  <dimension ref="A1:R26"/>
  <sheetViews>
    <sheetView workbookViewId="0"/>
  </sheetViews>
  <sheetFormatPr defaultRowHeight="15" x14ac:dyDescent="0.25"/>
  <cols>
    <col min="1" max="1" width="14" bestFit="1" customWidth="1"/>
    <col min="3" max="3" width="11" customWidth="1"/>
    <col min="4" max="4" width="9.5703125" bestFit="1" customWidth="1"/>
    <col min="10" max="10" width="3.7109375" customWidth="1"/>
  </cols>
  <sheetData>
    <row r="1" spans="1:18" x14ac:dyDescent="0.25">
      <c r="A1" s="6" t="s">
        <v>5</v>
      </c>
      <c r="B1" s="7" t="s">
        <v>236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8" x14ac:dyDescent="0.25">
      <c r="A2" s="11" t="s">
        <v>8</v>
      </c>
      <c r="B2" s="18" t="s">
        <v>388</v>
      </c>
      <c r="C2" s="18"/>
      <c r="D2" s="18"/>
      <c r="E2" s="18"/>
      <c r="F2" s="18"/>
      <c r="G2" s="18"/>
      <c r="H2" s="18"/>
      <c r="I2" s="12"/>
      <c r="J2" t="s">
        <v>35</v>
      </c>
      <c r="K2" s="92" t="s">
        <v>405</v>
      </c>
      <c r="L2" s="85" t="s">
        <v>406</v>
      </c>
      <c r="M2" s="85"/>
      <c r="N2" s="85"/>
      <c r="O2" s="85"/>
      <c r="P2" s="85"/>
      <c r="Q2" s="85"/>
      <c r="R2" s="85"/>
    </row>
    <row r="3" spans="1:18" x14ac:dyDescent="0.25">
      <c r="A3" s="11" t="s">
        <v>9</v>
      </c>
      <c r="B3" s="18" t="s">
        <v>404</v>
      </c>
      <c r="C3" s="18"/>
      <c r="D3" s="18"/>
      <c r="E3" s="18"/>
      <c r="F3" s="18"/>
      <c r="G3" s="18"/>
      <c r="H3" s="18"/>
      <c r="I3" s="12"/>
      <c r="K3" s="85"/>
      <c r="L3" s="85"/>
      <c r="M3" s="85"/>
      <c r="N3" s="85"/>
      <c r="O3" s="85"/>
      <c r="P3" s="85"/>
      <c r="Q3" s="85"/>
      <c r="R3" s="85"/>
    </row>
    <row r="4" spans="1:18" x14ac:dyDescent="0.25">
      <c r="A4" s="13"/>
      <c r="B4" s="19"/>
      <c r="C4" s="19"/>
      <c r="D4" s="19"/>
      <c r="E4" s="19"/>
      <c r="F4" s="19"/>
      <c r="G4" s="19"/>
      <c r="H4" s="19"/>
      <c r="I4" s="14"/>
      <c r="K4" s="85"/>
      <c r="L4" s="85" t="s">
        <v>407</v>
      </c>
      <c r="M4" s="85"/>
      <c r="N4" s="85"/>
      <c r="O4" s="85"/>
      <c r="P4" s="85"/>
      <c r="Q4" s="85"/>
      <c r="R4" s="85"/>
    </row>
    <row r="5" spans="1:18" ht="18" x14ac:dyDescent="0.35">
      <c r="A5" s="15" t="s">
        <v>10</v>
      </c>
      <c r="B5" s="20" t="s">
        <v>397</v>
      </c>
      <c r="C5" s="20"/>
      <c r="D5" s="20"/>
      <c r="E5" s="20"/>
      <c r="F5" s="20"/>
      <c r="G5" s="20"/>
      <c r="H5" s="20"/>
      <c r="I5" s="16"/>
      <c r="K5" s="85" t="s">
        <v>408</v>
      </c>
      <c r="L5" s="85"/>
      <c r="M5" s="85"/>
      <c r="N5" s="85"/>
      <c r="O5" s="85"/>
      <c r="P5" s="85"/>
      <c r="Q5" s="85"/>
      <c r="R5" s="85"/>
    </row>
    <row r="6" spans="1:18" x14ac:dyDescent="0.25">
      <c r="A6" s="17"/>
      <c r="B6" s="20" t="s">
        <v>398</v>
      </c>
      <c r="C6" s="20"/>
      <c r="D6" s="20"/>
      <c r="E6" s="20"/>
      <c r="F6" s="20"/>
      <c r="G6" s="20"/>
      <c r="H6" s="20"/>
      <c r="I6" s="16"/>
      <c r="K6" s="85" t="s">
        <v>409</v>
      </c>
      <c r="L6" s="85"/>
      <c r="M6" s="85"/>
      <c r="N6" s="85"/>
      <c r="O6" s="85"/>
      <c r="P6" s="85"/>
      <c r="Q6" s="85"/>
      <c r="R6" s="85"/>
    </row>
    <row r="7" spans="1:18" x14ac:dyDescent="0.25">
      <c r="A7" s="17"/>
      <c r="B7" s="20"/>
      <c r="C7" s="20"/>
      <c r="D7" s="48" t="s">
        <v>389</v>
      </c>
      <c r="E7" s="49"/>
      <c r="F7" s="100"/>
      <c r="G7" s="20"/>
      <c r="H7" s="20"/>
      <c r="I7" s="16"/>
      <c r="K7" s="85"/>
      <c r="L7" s="85"/>
      <c r="M7" s="85"/>
      <c r="N7" s="85"/>
      <c r="O7" s="85"/>
      <c r="P7" s="85"/>
      <c r="Q7" s="85"/>
      <c r="R7" s="85"/>
    </row>
    <row r="8" spans="1:18" x14ac:dyDescent="0.25">
      <c r="A8" s="17"/>
      <c r="B8" s="20"/>
      <c r="C8" s="20"/>
      <c r="D8" s="38" t="s">
        <v>390</v>
      </c>
      <c r="E8" s="38" t="s">
        <v>391</v>
      </c>
      <c r="F8" s="38" t="s">
        <v>392</v>
      </c>
      <c r="G8" s="20"/>
      <c r="H8" s="20"/>
      <c r="I8" s="16"/>
      <c r="K8" s="85" t="s">
        <v>410</v>
      </c>
      <c r="L8" s="85"/>
      <c r="M8" s="85"/>
      <c r="N8" s="85"/>
      <c r="O8" s="85"/>
      <c r="P8" s="85"/>
      <c r="Q8" s="85"/>
      <c r="R8" s="85"/>
    </row>
    <row r="9" spans="1:18" ht="17.25" x14ac:dyDescent="0.25">
      <c r="A9" s="17"/>
      <c r="B9" s="283" t="s">
        <v>393</v>
      </c>
      <c r="C9" s="284"/>
      <c r="D9" s="91">
        <v>-1000</v>
      </c>
      <c r="E9" s="91">
        <v>-1500</v>
      </c>
      <c r="F9" s="91">
        <v>-1465</v>
      </c>
      <c r="G9" s="20"/>
      <c r="H9" s="20"/>
      <c r="I9" s="16"/>
      <c r="K9" s="85" t="s">
        <v>411</v>
      </c>
      <c r="L9" s="85"/>
      <c r="M9" s="85"/>
      <c r="N9" s="85"/>
      <c r="O9" s="85"/>
      <c r="P9" s="85"/>
      <c r="Q9" s="85"/>
      <c r="R9" s="85"/>
    </row>
    <row r="10" spans="1:18" x14ac:dyDescent="0.25">
      <c r="A10" s="17"/>
      <c r="B10" s="283" t="s">
        <v>394</v>
      </c>
      <c r="C10" s="284"/>
      <c r="D10" s="38">
        <v>1.75</v>
      </c>
      <c r="E10" s="38">
        <v>1.75</v>
      </c>
      <c r="F10" s="38">
        <v>1.75</v>
      </c>
      <c r="G10" s="20"/>
      <c r="H10" s="20"/>
      <c r="I10" s="16"/>
      <c r="K10" s="85"/>
      <c r="O10" s="85"/>
      <c r="P10" s="85"/>
      <c r="Q10" s="85"/>
      <c r="R10" s="85"/>
    </row>
    <row r="11" spans="1:18" x14ac:dyDescent="0.25">
      <c r="A11" s="17"/>
      <c r="B11" s="20"/>
      <c r="C11" s="20"/>
      <c r="D11" s="20"/>
      <c r="E11" s="20"/>
      <c r="F11" s="20"/>
      <c r="G11" s="20"/>
      <c r="H11" s="20"/>
      <c r="I11" s="16"/>
      <c r="K11" s="85" t="s">
        <v>413</v>
      </c>
      <c r="L11" s="93">
        <f>(2*(D9-E9)-2*(D9-F9))/(2*F10)</f>
        <v>20</v>
      </c>
      <c r="M11" s="85" t="s">
        <v>412</v>
      </c>
      <c r="N11" s="85"/>
      <c r="O11" s="85"/>
      <c r="P11" s="85"/>
      <c r="Q11" s="85"/>
      <c r="R11" s="85"/>
    </row>
    <row r="12" spans="1:18" x14ac:dyDescent="0.25">
      <c r="A12" s="17"/>
      <c r="B12" s="20" t="s">
        <v>399</v>
      </c>
      <c r="C12" s="20"/>
      <c r="D12" s="20"/>
      <c r="E12" s="20"/>
      <c r="F12" s="20"/>
      <c r="G12" s="20"/>
      <c r="H12" s="20"/>
      <c r="I12" s="16"/>
      <c r="K12" s="85" t="s">
        <v>414</v>
      </c>
      <c r="L12" s="85"/>
      <c r="M12" s="85"/>
      <c r="N12" s="85"/>
      <c r="O12" s="85"/>
      <c r="P12" s="85"/>
      <c r="Q12" s="85"/>
      <c r="R12" s="85"/>
    </row>
    <row r="13" spans="1:18" x14ac:dyDescent="0.25">
      <c r="A13" s="17"/>
      <c r="B13" s="20" t="s">
        <v>400</v>
      </c>
      <c r="C13" s="20"/>
      <c r="D13" s="20"/>
      <c r="E13" s="20"/>
      <c r="F13" s="20"/>
      <c r="G13" s="20"/>
      <c r="H13" s="20"/>
      <c r="I13" s="16"/>
      <c r="K13" s="85"/>
      <c r="L13" s="85"/>
      <c r="M13" s="85"/>
      <c r="N13" s="85"/>
      <c r="O13" s="85"/>
      <c r="P13" s="85"/>
      <c r="Q13" s="85"/>
      <c r="R13" s="85"/>
    </row>
    <row r="14" spans="1:18" ht="18" x14ac:dyDescent="0.35">
      <c r="A14" s="17"/>
      <c r="B14" s="20" t="s">
        <v>395</v>
      </c>
      <c r="C14" s="20"/>
      <c r="D14" s="20"/>
      <c r="E14" s="20"/>
      <c r="F14" s="20"/>
      <c r="G14" s="20"/>
      <c r="H14" s="20"/>
      <c r="I14" s="16"/>
      <c r="K14" s="92" t="s">
        <v>201</v>
      </c>
      <c r="L14" s="85" t="s">
        <v>415</v>
      </c>
      <c r="M14" s="85"/>
      <c r="N14" s="85"/>
      <c r="O14" s="85"/>
      <c r="P14" s="85"/>
      <c r="Q14" s="85"/>
      <c r="R14" s="85"/>
    </row>
    <row r="15" spans="1:18" x14ac:dyDescent="0.25">
      <c r="A15" s="17"/>
      <c r="B15" s="20" t="s">
        <v>396</v>
      </c>
      <c r="C15" s="20"/>
      <c r="D15" s="20"/>
      <c r="E15" s="20"/>
      <c r="F15" s="20"/>
      <c r="G15" s="20"/>
      <c r="H15" s="20"/>
      <c r="I15" s="16"/>
      <c r="K15" s="85"/>
      <c r="L15" s="85" t="s">
        <v>416</v>
      </c>
      <c r="M15" s="85"/>
      <c r="N15" s="85"/>
      <c r="O15" s="85"/>
      <c r="P15" s="85"/>
      <c r="Q15" s="85"/>
      <c r="R15" s="85"/>
    </row>
    <row r="16" spans="1:18" ht="18" x14ac:dyDescent="0.35">
      <c r="A16" s="17"/>
      <c r="B16" s="20"/>
      <c r="C16" s="20"/>
      <c r="D16" s="20"/>
      <c r="E16" s="20"/>
      <c r="F16" s="20"/>
      <c r="G16" s="20"/>
      <c r="H16" s="20"/>
      <c r="I16" s="16"/>
      <c r="K16" s="85" t="s">
        <v>417</v>
      </c>
      <c r="L16" s="85"/>
      <c r="M16" s="85"/>
      <c r="N16" s="85"/>
      <c r="O16" s="85"/>
      <c r="P16" s="85"/>
      <c r="Q16" s="85"/>
      <c r="R16" s="85"/>
    </row>
    <row r="17" spans="1:18" ht="18" x14ac:dyDescent="0.35">
      <c r="A17" s="89" t="s">
        <v>55</v>
      </c>
      <c r="B17" s="20" t="s">
        <v>402</v>
      </c>
      <c r="C17" s="20"/>
      <c r="D17" s="20"/>
      <c r="E17" s="20"/>
      <c r="F17" s="20"/>
      <c r="G17" s="20"/>
      <c r="H17" s="20"/>
      <c r="I17" s="16"/>
      <c r="K17" s="85" t="s">
        <v>418</v>
      </c>
      <c r="L17" s="85"/>
      <c r="M17" s="85"/>
      <c r="N17" s="85"/>
      <c r="O17" s="85"/>
      <c r="P17" s="85"/>
      <c r="Q17" s="85"/>
      <c r="R17" s="85"/>
    </row>
    <row r="18" spans="1:18" ht="18" x14ac:dyDescent="0.35">
      <c r="A18" s="17"/>
      <c r="B18" s="20" t="s">
        <v>403</v>
      </c>
      <c r="C18" s="20"/>
      <c r="D18" s="20"/>
      <c r="E18" s="20"/>
      <c r="F18" s="20"/>
      <c r="G18" s="20"/>
      <c r="H18" s="20"/>
      <c r="I18" s="16"/>
      <c r="K18" s="85" t="s">
        <v>419</v>
      </c>
      <c r="L18" s="85"/>
      <c r="M18" s="85"/>
      <c r="N18" s="85"/>
      <c r="O18" s="85"/>
      <c r="P18" s="85"/>
      <c r="Q18" s="85"/>
      <c r="R18" s="85"/>
    </row>
    <row r="19" spans="1:18" x14ac:dyDescent="0.25">
      <c r="A19" s="17"/>
      <c r="B19" s="20"/>
      <c r="C19" s="20"/>
      <c r="D19" s="20"/>
      <c r="E19" s="20"/>
      <c r="F19" s="20"/>
      <c r="G19" s="20"/>
      <c r="H19" s="20"/>
      <c r="I19" s="16"/>
      <c r="K19" s="85"/>
      <c r="L19" s="85"/>
      <c r="M19" s="85"/>
      <c r="N19" s="85"/>
      <c r="O19" s="85"/>
      <c r="P19" s="85"/>
      <c r="Q19" s="85"/>
      <c r="R19" s="85"/>
    </row>
    <row r="20" spans="1:18" ht="18.75" thickBot="1" x14ac:dyDescent="0.4">
      <c r="A20" s="21"/>
      <c r="B20" s="22" t="s">
        <v>401</v>
      </c>
      <c r="C20" s="22"/>
      <c r="D20" s="22"/>
      <c r="E20" s="22"/>
      <c r="F20" s="22"/>
      <c r="G20" s="22"/>
      <c r="H20" s="22"/>
      <c r="I20" s="23"/>
      <c r="K20" s="85" t="s">
        <v>420</v>
      </c>
      <c r="L20" s="85"/>
      <c r="M20" s="85"/>
      <c r="N20" s="85"/>
      <c r="O20" s="85"/>
      <c r="P20" s="85"/>
      <c r="Q20" s="85"/>
      <c r="R20" s="85"/>
    </row>
    <row r="21" spans="1:18" x14ac:dyDescent="0.25">
      <c r="K21" s="85"/>
      <c r="L21" s="85"/>
      <c r="M21" s="85"/>
      <c r="N21" s="85"/>
      <c r="O21" s="85"/>
      <c r="P21" s="85"/>
      <c r="Q21" s="85"/>
      <c r="R21" s="85"/>
    </row>
    <row r="22" spans="1:18" x14ac:dyDescent="0.25">
      <c r="K22" s="85" t="s">
        <v>421</v>
      </c>
      <c r="L22" s="85"/>
      <c r="M22" s="85"/>
      <c r="N22" s="85"/>
      <c r="O22" s="85"/>
      <c r="P22" s="85"/>
      <c r="Q22" s="85"/>
      <c r="R22" s="85"/>
    </row>
    <row r="23" spans="1:18" x14ac:dyDescent="0.25">
      <c r="K23" s="85" t="s">
        <v>422</v>
      </c>
      <c r="L23" s="85"/>
      <c r="M23" s="85"/>
      <c r="N23" s="85"/>
      <c r="O23" s="85"/>
      <c r="P23" s="85"/>
      <c r="Q23" s="85"/>
      <c r="R23" s="85"/>
    </row>
    <row r="24" spans="1:18" x14ac:dyDescent="0.25">
      <c r="K24" s="85"/>
      <c r="L24" s="85"/>
      <c r="M24" s="85"/>
      <c r="N24" s="85"/>
      <c r="O24" s="85"/>
      <c r="P24" s="85"/>
      <c r="Q24" s="85"/>
      <c r="R24" s="85"/>
    </row>
    <row r="25" spans="1:18" x14ac:dyDescent="0.25">
      <c r="J25" t="s">
        <v>83</v>
      </c>
      <c r="K25" s="85" t="s">
        <v>423</v>
      </c>
      <c r="L25" s="85"/>
      <c r="M25" s="85"/>
      <c r="N25" s="85"/>
      <c r="O25" s="85"/>
      <c r="P25" s="85"/>
      <c r="Q25" s="85"/>
      <c r="R25" s="85"/>
    </row>
    <row r="26" spans="1:18" x14ac:dyDescent="0.25">
      <c r="K26" s="85" t="s">
        <v>424</v>
      </c>
      <c r="L26" s="85"/>
      <c r="M26" s="85"/>
      <c r="N26" s="85"/>
      <c r="O26" s="85"/>
      <c r="P26" s="85"/>
      <c r="Q26" s="85"/>
      <c r="R26" s="85"/>
    </row>
  </sheetData>
  <mergeCells count="3">
    <mergeCell ref="H1:I1"/>
    <mergeCell ref="B9:C9"/>
    <mergeCell ref="B10:C10"/>
  </mergeCells>
  <hyperlinks>
    <hyperlink ref="H1" location="TOC!A1" display="Return to TOC" xr:uid="{23263907-6DF8-45DB-BDD3-D0C89FA6CC6A}"/>
  </hyperlink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A888D-BAC0-4076-92F0-A91F466433C9}">
  <dimension ref="A1:N31"/>
  <sheetViews>
    <sheetView workbookViewId="0"/>
  </sheetViews>
  <sheetFormatPr defaultRowHeight="15" x14ac:dyDescent="0.25"/>
  <cols>
    <col min="1" max="1" width="14" bestFit="1" customWidth="1"/>
    <col min="10" max="10" width="3.7109375" customWidth="1"/>
  </cols>
  <sheetData>
    <row r="1" spans="1:13" x14ac:dyDescent="0.25">
      <c r="A1" s="6" t="s">
        <v>5</v>
      </c>
      <c r="B1" s="7" t="s">
        <v>236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3" x14ac:dyDescent="0.25">
      <c r="A2" s="11" t="s">
        <v>8</v>
      </c>
      <c r="B2" s="18" t="s">
        <v>558</v>
      </c>
      <c r="C2" s="18"/>
      <c r="D2" s="18"/>
      <c r="E2" s="18"/>
      <c r="F2" s="18"/>
      <c r="G2" s="18"/>
      <c r="H2" s="18"/>
      <c r="I2" s="12"/>
      <c r="J2" t="s">
        <v>35</v>
      </c>
      <c r="K2" s="85" t="s">
        <v>573</v>
      </c>
    </row>
    <row r="3" spans="1:13" x14ac:dyDescent="0.25">
      <c r="A3" s="11" t="s">
        <v>9</v>
      </c>
      <c r="B3" s="18" t="s">
        <v>559</v>
      </c>
      <c r="C3" s="18"/>
      <c r="D3" s="18"/>
      <c r="E3" s="18"/>
      <c r="F3" s="18"/>
      <c r="G3" s="18"/>
      <c r="H3" s="18"/>
      <c r="I3" s="12"/>
      <c r="K3" s="85"/>
    </row>
    <row r="4" spans="1:13" x14ac:dyDescent="0.25">
      <c r="A4" s="13"/>
      <c r="B4" s="19"/>
      <c r="C4" s="19"/>
      <c r="D4" s="19"/>
      <c r="E4" s="19"/>
      <c r="F4" s="19"/>
      <c r="G4" s="19"/>
      <c r="H4" s="19"/>
      <c r="I4" s="14"/>
      <c r="J4" t="s">
        <v>83</v>
      </c>
      <c r="K4" s="85" t="s">
        <v>574</v>
      </c>
    </row>
    <row r="5" spans="1:13" x14ac:dyDescent="0.25">
      <c r="A5" s="15" t="s">
        <v>10</v>
      </c>
      <c r="B5" s="20" t="s">
        <v>560</v>
      </c>
      <c r="C5" s="20"/>
      <c r="D5" s="20"/>
      <c r="E5" s="20"/>
      <c r="F5" s="20"/>
      <c r="G5" s="20"/>
      <c r="H5" s="20"/>
      <c r="I5" s="16"/>
      <c r="K5" s="85"/>
    </row>
    <row r="6" spans="1:13" x14ac:dyDescent="0.25">
      <c r="A6" s="17"/>
      <c r="B6" s="20" t="s">
        <v>562</v>
      </c>
      <c r="C6" s="20"/>
      <c r="D6" s="20"/>
      <c r="E6" s="20"/>
      <c r="F6" s="20"/>
      <c r="G6" s="20"/>
      <c r="H6" s="20"/>
      <c r="I6" s="16"/>
    </row>
    <row r="7" spans="1:13" x14ac:dyDescent="0.25">
      <c r="A7" s="17"/>
      <c r="B7" s="20" t="s">
        <v>561</v>
      </c>
      <c r="C7" s="20"/>
      <c r="D7" s="20"/>
      <c r="E7" s="20"/>
      <c r="F7" s="20"/>
      <c r="G7" s="20"/>
      <c r="H7" s="20"/>
      <c r="I7" s="16"/>
    </row>
    <row r="8" spans="1:13" x14ac:dyDescent="0.25">
      <c r="A8" s="17"/>
      <c r="B8" s="20"/>
      <c r="C8" s="20"/>
      <c r="D8" s="20"/>
      <c r="E8" s="20"/>
      <c r="F8" s="20"/>
      <c r="G8" s="20"/>
      <c r="H8" s="20"/>
      <c r="I8" s="16"/>
      <c r="K8" t="s">
        <v>575</v>
      </c>
    </row>
    <row r="9" spans="1:13" x14ac:dyDescent="0.25">
      <c r="A9" s="17"/>
      <c r="B9" s="20" t="s">
        <v>583</v>
      </c>
      <c r="C9" s="20"/>
      <c r="D9" s="20"/>
      <c r="E9" s="20"/>
      <c r="F9" s="20"/>
      <c r="G9" s="20"/>
      <c r="H9" s="20"/>
      <c r="I9" s="16"/>
      <c r="K9" t="s">
        <v>576</v>
      </c>
    </row>
    <row r="10" spans="1:13" x14ac:dyDescent="0.25">
      <c r="A10" s="17"/>
      <c r="B10" s="20" t="s">
        <v>584</v>
      </c>
      <c r="C10" s="20"/>
      <c r="D10" s="20"/>
      <c r="E10" s="20"/>
      <c r="F10" s="20"/>
      <c r="G10" s="20"/>
      <c r="H10" s="20"/>
      <c r="I10" s="16"/>
      <c r="K10" t="s">
        <v>577</v>
      </c>
    </row>
    <row r="11" spans="1:13" x14ac:dyDescent="0.25">
      <c r="A11" s="17"/>
      <c r="B11" s="20" t="s">
        <v>585</v>
      </c>
      <c r="C11" s="20"/>
      <c r="D11" s="20"/>
      <c r="E11" s="20"/>
      <c r="F11" s="20"/>
      <c r="G11" s="20"/>
      <c r="H11" s="20"/>
      <c r="I11" s="16"/>
    </row>
    <row r="12" spans="1:13" x14ac:dyDescent="0.25">
      <c r="A12" s="17"/>
      <c r="B12" s="20"/>
      <c r="C12" s="20"/>
      <c r="D12" s="20"/>
      <c r="E12" s="20"/>
      <c r="F12" s="20"/>
      <c r="G12" s="20"/>
      <c r="H12" s="20"/>
      <c r="I12" s="16"/>
      <c r="K12" t="s">
        <v>578</v>
      </c>
      <c r="M12" s="138">
        <f>(B15-B22)/(3*B23)</f>
        <v>6.4102564102564097</v>
      </c>
    </row>
    <row r="13" spans="1:13" x14ac:dyDescent="0.25">
      <c r="A13" s="17"/>
      <c r="B13" s="20" t="s">
        <v>563</v>
      </c>
      <c r="C13" s="20"/>
      <c r="D13" s="20"/>
      <c r="E13" s="20"/>
      <c r="F13" s="20"/>
      <c r="G13" s="20"/>
      <c r="H13" s="20"/>
      <c r="I13" s="16"/>
    </row>
    <row r="14" spans="1:13" x14ac:dyDescent="0.25">
      <c r="A14" s="17"/>
      <c r="B14" s="141">
        <v>1000</v>
      </c>
      <c r="C14" s="119" t="s">
        <v>564</v>
      </c>
      <c r="D14" s="120"/>
      <c r="E14" s="120"/>
      <c r="F14" s="121"/>
      <c r="G14" s="20"/>
      <c r="H14" s="20"/>
      <c r="I14" s="16"/>
      <c r="K14" t="s">
        <v>579</v>
      </c>
    </row>
    <row r="15" spans="1:13" x14ac:dyDescent="0.25">
      <c r="A15" s="17"/>
      <c r="B15" s="42">
        <v>100</v>
      </c>
      <c r="C15" s="57" t="s">
        <v>565</v>
      </c>
      <c r="D15" s="20"/>
      <c r="E15" s="20"/>
      <c r="F15" s="63"/>
      <c r="G15" s="20"/>
      <c r="H15" s="20"/>
      <c r="I15" s="16"/>
      <c r="K15" t="s">
        <v>580</v>
      </c>
    </row>
    <row r="16" spans="1:13" x14ac:dyDescent="0.25">
      <c r="A16" s="17"/>
      <c r="B16" s="46">
        <v>1.3</v>
      </c>
      <c r="C16" s="58" t="s">
        <v>566</v>
      </c>
      <c r="D16" s="59"/>
      <c r="E16" s="59"/>
      <c r="F16" s="64"/>
      <c r="G16" s="20"/>
      <c r="H16" s="20"/>
      <c r="I16" s="16"/>
    </row>
    <row r="17" spans="1:14" x14ac:dyDescent="0.25">
      <c r="A17" s="17"/>
      <c r="B17" s="20"/>
      <c r="C17" s="20"/>
      <c r="D17" s="20"/>
      <c r="E17" s="20"/>
      <c r="F17" s="20"/>
      <c r="G17" s="20"/>
      <c r="H17" s="20"/>
      <c r="I17" s="16"/>
      <c r="K17" t="s">
        <v>581</v>
      </c>
      <c r="M17" s="5">
        <v>3</v>
      </c>
    </row>
    <row r="18" spans="1:14" x14ac:dyDescent="0.25">
      <c r="A18" s="17"/>
      <c r="B18" s="20" t="s">
        <v>567</v>
      </c>
      <c r="C18" s="20"/>
      <c r="D18" s="20"/>
      <c r="E18" s="20"/>
      <c r="F18" s="20"/>
      <c r="G18" s="20"/>
      <c r="H18" s="20"/>
      <c r="I18" s="16"/>
      <c r="K18" t="s">
        <v>582</v>
      </c>
      <c r="M18" s="139">
        <f>B14-((11-1) + 3 + (3-1)+3)</f>
        <v>982</v>
      </c>
      <c r="N18" s="74" t="s">
        <v>809</v>
      </c>
    </row>
    <row r="19" spans="1:14" x14ac:dyDescent="0.25">
      <c r="A19" s="17"/>
      <c r="B19" s="20" t="s">
        <v>568</v>
      </c>
      <c r="C19" s="20"/>
      <c r="D19" s="20"/>
      <c r="E19" s="20"/>
      <c r="F19" s="20"/>
      <c r="G19" s="20"/>
      <c r="H19" s="20"/>
      <c r="I19" s="16"/>
      <c r="K19" s="136" t="s">
        <v>587</v>
      </c>
    </row>
    <row r="20" spans="1:14" ht="17.25" x14ac:dyDescent="0.25">
      <c r="A20" s="17"/>
      <c r="B20" s="20" t="s">
        <v>569</v>
      </c>
      <c r="C20" s="20"/>
      <c r="D20" s="20"/>
      <c r="E20" s="20"/>
      <c r="F20" s="20"/>
      <c r="G20" s="20"/>
      <c r="H20" s="20"/>
      <c r="I20" s="16"/>
      <c r="K20" s="137" t="s">
        <v>588</v>
      </c>
    </row>
    <row r="21" spans="1:14" x14ac:dyDescent="0.25">
      <c r="A21" s="17"/>
      <c r="B21" s="20"/>
      <c r="C21" s="20"/>
      <c r="D21" s="20"/>
      <c r="E21" s="20"/>
      <c r="F21" s="20"/>
      <c r="G21" s="20"/>
      <c r="H21" s="20"/>
      <c r="I21" s="16"/>
      <c r="K21" s="137" t="s">
        <v>586</v>
      </c>
    </row>
    <row r="22" spans="1:14" x14ac:dyDescent="0.25">
      <c r="A22" s="17"/>
      <c r="B22" s="140">
        <v>75</v>
      </c>
      <c r="C22" s="119" t="s">
        <v>565</v>
      </c>
      <c r="D22" s="120"/>
      <c r="E22" s="120"/>
      <c r="F22" s="121"/>
      <c r="G22" s="20"/>
      <c r="H22" s="20"/>
      <c r="I22" s="16"/>
      <c r="K22" s="137" t="s">
        <v>808</v>
      </c>
    </row>
    <row r="23" spans="1:14" x14ac:dyDescent="0.25">
      <c r="A23" s="17"/>
      <c r="B23" s="46">
        <v>1.3</v>
      </c>
      <c r="C23" s="58" t="s">
        <v>566</v>
      </c>
      <c r="D23" s="59"/>
      <c r="E23" s="59"/>
      <c r="F23" s="64"/>
      <c r="G23" s="20"/>
      <c r="H23" s="20"/>
      <c r="I23" s="16"/>
    </row>
    <row r="24" spans="1:14" x14ac:dyDescent="0.25">
      <c r="A24" s="17"/>
      <c r="B24" s="20"/>
      <c r="C24" s="20"/>
      <c r="D24" s="20"/>
      <c r="E24" s="20"/>
      <c r="F24" s="20"/>
      <c r="G24" s="20"/>
      <c r="H24" s="20"/>
      <c r="I24" s="16"/>
      <c r="K24" t="s">
        <v>589</v>
      </c>
      <c r="M24" s="138">
        <f>_xlfn.F.INV.RT(5%,M17,M18)</f>
        <v>2.6139669563880905</v>
      </c>
    </row>
    <row r="25" spans="1:14" x14ac:dyDescent="0.25">
      <c r="A25" s="89" t="s">
        <v>55</v>
      </c>
      <c r="B25" s="20" t="s">
        <v>570</v>
      </c>
      <c r="C25" s="20"/>
      <c r="D25" s="20"/>
      <c r="E25" s="20"/>
      <c r="F25" s="20"/>
      <c r="G25" s="20"/>
      <c r="H25" s="20"/>
      <c r="I25" s="16"/>
    </row>
    <row r="26" spans="1:14" x14ac:dyDescent="0.25">
      <c r="A26" s="17"/>
      <c r="B26" s="20"/>
      <c r="C26" s="20"/>
      <c r="D26" s="20"/>
      <c r="E26" s="20"/>
      <c r="F26" s="20"/>
      <c r="G26" s="20"/>
      <c r="H26" s="20"/>
      <c r="I26" s="16"/>
      <c r="K26" t="s">
        <v>676</v>
      </c>
    </row>
    <row r="27" spans="1:14" x14ac:dyDescent="0.25">
      <c r="A27" s="17"/>
      <c r="B27" s="20" t="s">
        <v>571</v>
      </c>
      <c r="C27" s="20"/>
      <c r="D27" s="20"/>
      <c r="E27" s="20"/>
      <c r="F27" s="20"/>
      <c r="G27" s="20"/>
      <c r="H27" s="20"/>
      <c r="I27" s="16"/>
      <c r="K27" t="s">
        <v>677</v>
      </c>
    </row>
    <row r="28" spans="1:14" x14ac:dyDescent="0.25">
      <c r="A28" s="17"/>
      <c r="B28" s="20" t="s">
        <v>572</v>
      </c>
      <c r="C28" s="20"/>
      <c r="D28" s="20"/>
      <c r="E28" s="20"/>
      <c r="F28" s="20"/>
      <c r="G28" s="20"/>
      <c r="H28" s="20"/>
      <c r="I28" s="16"/>
    </row>
    <row r="29" spans="1:14" x14ac:dyDescent="0.25">
      <c r="A29" s="17"/>
      <c r="B29" s="20"/>
      <c r="C29" s="20"/>
      <c r="D29" s="20"/>
      <c r="E29" s="20"/>
      <c r="F29" s="20"/>
      <c r="G29" s="20"/>
      <c r="H29" s="20"/>
      <c r="I29" s="16"/>
      <c r="J29" t="s">
        <v>114</v>
      </c>
      <c r="K29" t="s">
        <v>592</v>
      </c>
    </row>
    <row r="30" spans="1:14" x14ac:dyDescent="0.25">
      <c r="A30" s="17"/>
      <c r="B30" s="20" t="s">
        <v>590</v>
      </c>
      <c r="C30" s="20"/>
      <c r="D30" s="20"/>
      <c r="E30" s="20"/>
      <c r="F30" s="20"/>
      <c r="G30" s="20"/>
      <c r="H30" s="20"/>
      <c r="I30" s="16"/>
      <c r="K30" t="s">
        <v>593</v>
      </c>
    </row>
    <row r="31" spans="1:14" ht="15.75" thickBot="1" x14ac:dyDescent="0.3">
      <c r="A31" s="21"/>
      <c r="B31" s="22" t="s">
        <v>591</v>
      </c>
      <c r="C31" s="22"/>
      <c r="D31" s="22"/>
      <c r="E31" s="22"/>
      <c r="F31" s="22"/>
      <c r="G31" s="22"/>
      <c r="H31" s="22"/>
      <c r="I31" s="23"/>
      <c r="K31" t="s">
        <v>594</v>
      </c>
    </row>
  </sheetData>
  <mergeCells count="1">
    <mergeCell ref="H1:I1"/>
  </mergeCells>
  <hyperlinks>
    <hyperlink ref="H1" location="TOC!A1" display="Return to TOC" xr:uid="{E07821AA-C0BB-405D-9376-BF33B528C82B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20D11-79EF-44A6-82E3-ED7CF0DF6C84}">
  <dimension ref="A1:N31"/>
  <sheetViews>
    <sheetView workbookViewId="0"/>
  </sheetViews>
  <sheetFormatPr defaultRowHeight="15" x14ac:dyDescent="0.25"/>
  <cols>
    <col min="1" max="1" width="14" bestFit="1" customWidth="1"/>
    <col min="2" max="2" width="10.140625" customWidth="1"/>
    <col min="9" max="9" width="3.7109375" customWidth="1"/>
  </cols>
  <sheetData>
    <row r="1" spans="1:14" x14ac:dyDescent="0.25">
      <c r="A1" s="6" t="s">
        <v>5</v>
      </c>
      <c r="B1" s="7" t="s">
        <v>54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4" x14ac:dyDescent="0.25">
      <c r="A2" s="11" t="s">
        <v>8</v>
      </c>
      <c r="B2" s="18" t="s">
        <v>11</v>
      </c>
      <c r="C2" s="18"/>
      <c r="D2" s="18"/>
      <c r="E2" s="18"/>
      <c r="F2" s="18"/>
      <c r="G2" s="18"/>
      <c r="H2" s="12"/>
      <c r="I2" t="s">
        <v>35</v>
      </c>
      <c r="J2" t="s">
        <v>36</v>
      </c>
    </row>
    <row r="3" spans="1:14" x14ac:dyDescent="0.25">
      <c r="A3" s="11" t="s">
        <v>9</v>
      </c>
      <c r="B3" s="18" t="s">
        <v>12</v>
      </c>
      <c r="C3" s="18"/>
      <c r="D3" s="18"/>
      <c r="E3" s="18"/>
      <c r="F3" s="18"/>
      <c r="G3" s="18"/>
      <c r="H3" s="12"/>
      <c r="J3" t="s">
        <v>37</v>
      </c>
    </row>
    <row r="4" spans="1:14" x14ac:dyDescent="0.25">
      <c r="A4" s="13"/>
      <c r="B4" s="19"/>
      <c r="C4" s="19"/>
      <c r="D4" s="19"/>
      <c r="E4" s="19"/>
      <c r="F4" s="19"/>
      <c r="G4" s="19"/>
      <c r="H4" s="14"/>
      <c r="J4" t="s">
        <v>38</v>
      </c>
      <c r="K4" s="33">
        <f>C15</f>
        <v>3</v>
      </c>
    </row>
    <row r="5" spans="1:14" x14ac:dyDescent="0.25">
      <c r="A5" s="15" t="s">
        <v>10</v>
      </c>
      <c r="B5" s="18" t="s">
        <v>13</v>
      </c>
      <c r="C5" s="20"/>
      <c r="D5" s="20"/>
      <c r="E5" s="20"/>
      <c r="F5" s="20"/>
      <c r="G5" s="20"/>
      <c r="H5" s="16"/>
      <c r="K5" s="33">
        <f>D15</f>
        <v>5</v>
      </c>
      <c r="L5" t="s">
        <v>39</v>
      </c>
    </row>
    <row r="6" spans="1:14" x14ac:dyDescent="0.25">
      <c r="A6" s="17"/>
      <c r="B6" s="18" t="s">
        <v>14</v>
      </c>
      <c r="C6" s="20"/>
      <c r="D6" s="20"/>
      <c r="E6" s="20"/>
      <c r="F6" s="20"/>
      <c r="G6" s="20"/>
      <c r="H6" s="16"/>
      <c r="K6" s="33">
        <f>C16</f>
        <v>8</v>
      </c>
    </row>
    <row r="7" spans="1:14" x14ac:dyDescent="0.25">
      <c r="A7" s="17"/>
      <c r="B7" s="18" t="s">
        <v>15</v>
      </c>
      <c r="C7" s="20"/>
      <c r="D7" s="20"/>
      <c r="E7" s="20"/>
      <c r="F7" s="20"/>
      <c r="G7" s="20"/>
      <c r="H7" s="16"/>
      <c r="K7" s="33">
        <f>D16</f>
        <v>12</v>
      </c>
    </row>
    <row r="8" spans="1:14" x14ac:dyDescent="0.25">
      <c r="A8" s="17"/>
      <c r="B8" s="18" t="s">
        <v>16</v>
      </c>
      <c r="C8" s="20"/>
      <c r="D8" s="20"/>
      <c r="E8" s="20"/>
      <c r="F8" s="20"/>
      <c r="G8" s="20"/>
      <c r="H8" s="16"/>
    </row>
    <row r="9" spans="1:14" x14ac:dyDescent="0.25">
      <c r="A9" s="17"/>
      <c r="B9" s="18" t="s">
        <v>17</v>
      </c>
      <c r="C9" s="20"/>
      <c r="D9" s="20"/>
      <c r="E9" s="20"/>
      <c r="F9" s="20"/>
      <c r="G9" s="20"/>
      <c r="H9" s="16"/>
      <c r="J9" t="s">
        <v>40</v>
      </c>
      <c r="K9" s="33" t="s">
        <v>41</v>
      </c>
      <c r="L9" t="s">
        <v>44</v>
      </c>
      <c r="N9" t="s">
        <v>47</v>
      </c>
    </row>
    <row r="10" spans="1:14" x14ac:dyDescent="0.25">
      <c r="A10" s="17"/>
      <c r="B10" s="18" t="s">
        <v>18</v>
      </c>
      <c r="C10" s="20"/>
      <c r="D10" s="20"/>
      <c r="E10" s="20"/>
      <c r="F10" s="20"/>
      <c r="G10" s="20"/>
      <c r="H10" s="16"/>
      <c r="K10" s="33" t="s">
        <v>42</v>
      </c>
      <c r="L10" t="s">
        <v>45</v>
      </c>
    </row>
    <row r="11" spans="1:14" x14ac:dyDescent="0.25">
      <c r="A11" s="17"/>
      <c r="B11" s="20"/>
      <c r="C11" s="20"/>
      <c r="D11" s="20"/>
      <c r="E11" s="20"/>
      <c r="F11" s="20"/>
      <c r="G11" s="20"/>
      <c r="H11" s="16"/>
      <c r="K11" s="33" t="s">
        <v>43</v>
      </c>
      <c r="L11" t="s">
        <v>46</v>
      </c>
    </row>
    <row r="12" spans="1:14" x14ac:dyDescent="0.25">
      <c r="A12" s="17"/>
      <c r="B12" s="18"/>
      <c r="C12" s="20"/>
      <c r="D12" s="20"/>
      <c r="E12" s="20"/>
      <c r="F12" s="20"/>
      <c r="G12" s="20"/>
      <c r="H12" s="16"/>
    </row>
    <row r="13" spans="1:14" x14ac:dyDescent="0.25">
      <c r="A13" s="17"/>
      <c r="B13" s="30" t="s">
        <v>23</v>
      </c>
      <c r="C13" s="28" t="s">
        <v>22</v>
      </c>
      <c r="D13" s="29"/>
      <c r="E13" s="20"/>
      <c r="F13" s="20"/>
      <c r="G13" s="20"/>
      <c r="H13" s="16"/>
      <c r="J13" t="s">
        <v>48</v>
      </c>
      <c r="K13" s="33">
        <v>1</v>
      </c>
      <c r="L13" s="33">
        <v>1</v>
      </c>
      <c r="M13" s="33">
        <v>1</v>
      </c>
      <c r="N13" t="s">
        <v>49</v>
      </c>
    </row>
    <row r="14" spans="1:14" x14ac:dyDescent="0.25">
      <c r="A14" s="17"/>
      <c r="B14" s="32" t="s">
        <v>19</v>
      </c>
      <c r="C14" s="26" t="s">
        <v>20</v>
      </c>
      <c r="D14" s="27" t="s">
        <v>21</v>
      </c>
      <c r="E14" s="20"/>
      <c r="F14" s="20"/>
      <c r="G14" s="20"/>
      <c r="H14" s="16"/>
      <c r="K14" s="33">
        <v>1</v>
      </c>
      <c r="L14" s="33">
        <v>1</v>
      </c>
      <c r="M14" s="33">
        <v>0</v>
      </c>
    </row>
    <row r="15" spans="1:14" x14ac:dyDescent="0.25">
      <c r="A15" s="17"/>
      <c r="B15" s="31" t="s">
        <v>20</v>
      </c>
      <c r="C15" s="24">
        <v>3</v>
      </c>
      <c r="D15" s="25">
        <v>5</v>
      </c>
      <c r="E15" s="20"/>
      <c r="F15" s="20"/>
      <c r="G15" s="20"/>
      <c r="H15" s="16"/>
      <c r="K15" s="33">
        <v>1</v>
      </c>
      <c r="L15" s="33">
        <v>0</v>
      </c>
      <c r="M15" s="33">
        <v>1</v>
      </c>
    </row>
    <row r="16" spans="1:14" x14ac:dyDescent="0.25">
      <c r="A16" s="17"/>
      <c r="B16" s="32" t="s">
        <v>21</v>
      </c>
      <c r="C16" s="26">
        <v>8</v>
      </c>
      <c r="D16" s="27">
        <v>12</v>
      </c>
      <c r="E16" s="20"/>
      <c r="F16" s="20"/>
      <c r="G16" s="20"/>
      <c r="H16" s="16"/>
      <c r="K16" s="33">
        <v>1</v>
      </c>
      <c r="L16" s="33">
        <v>0</v>
      </c>
      <c r="M16" s="33">
        <v>0</v>
      </c>
    </row>
    <row r="17" spans="1:10" x14ac:dyDescent="0.25">
      <c r="A17" s="17"/>
      <c r="B17" s="20"/>
      <c r="C17" s="20"/>
      <c r="D17" s="20"/>
      <c r="E17" s="20"/>
      <c r="F17" s="20"/>
      <c r="G17" s="20"/>
      <c r="H17" s="16"/>
    </row>
    <row r="18" spans="1:10" x14ac:dyDescent="0.25">
      <c r="A18" s="17"/>
      <c r="B18" s="18" t="s">
        <v>24</v>
      </c>
      <c r="C18" s="20"/>
      <c r="D18" s="20"/>
      <c r="E18" s="20"/>
      <c r="F18" s="20"/>
      <c r="G18" s="20"/>
      <c r="H18" s="16"/>
      <c r="J18" t="s">
        <v>50</v>
      </c>
    </row>
    <row r="19" spans="1:10" x14ac:dyDescent="0.25">
      <c r="A19" s="17"/>
      <c r="B19" s="20" t="s">
        <v>25</v>
      </c>
      <c r="C19" s="20"/>
      <c r="D19" s="20"/>
      <c r="E19" s="20"/>
      <c r="F19" s="20"/>
      <c r="G19" s="20"/>
      <c r="H19" s="16"/>
      <c r="J19" t="s">
        <v>51</v>
      </c>
    </row>
    <row r="20" spans="1:10" x14ac:dyDescent="0.25">
      <c r="A20" s="17"/>
      <c r="B20" s="20"/>
      <c r="C20" s="20"/>
      <c r="D20" s="20"/>
      <c r="E20" s="20"/>
      <c r="F20" s="20"/>
      <c r="G20" s="20"/>
      <c r="H20" s="16"/>
      <c r="J20" t="s">
        <v>52</v>
      </c>
    </row>
    <row r="21" spans="1:10" x14ac:dyDescent="0.25">
      <c r="A21" s="15" t="s">
        <v>55</v>
      </c>
      <c r="B21" s="20" t="s">
        <v>26</v>
      </c>
      <c r="C21" s="20"/>
      <c r="D21" s="20"/>
      <c r="E21" s="20"/>
      <c r="F21" s="20"/>
      <c r="G21" s="20"/>
      <c r="H21" s="16"/>
    </row>
    <row r="22" spans="1:10" x14ac:dyDescent="0.25">
      <c r="A22" s="17"/>
      <c r="B22" s="20" t="s">
        <v>27</v>
      </c>
      <c r="C22" s="20"/>
      <c r="D22" s="20"/>
      <c r="E22" s="20"/>
      <c r="F22" s="20"/>
      <c r="G22" s="20"/>
      <c r="H22" s="16"/>
      <c r="J22" t="s">
        <v>53</v>
      </c>
    </row>
    <row r="23" spans="1:10" x14ac:dyDescent="0.25">
      <c r="A23" s="17"/>
      <c r="B23" s="20" t="s">
        <v>28</v>
      </c>
      <c r="C23" s="20"/>
      <c r="D23" s="20"/>
      <c r="E23" s="20"/>
      <c r="F23" s="20"/>
      <c r="G23" s="20"/>
      <c r="H23" s="16"/>
    </row>
    <row r="24" spans="1:10" x14ac:dyDescent="0.25">
      <c r="A24" s="17"/>
      <c r="B24" s="20" t="s">
        <v>29</v>
      </c>
      <c r="C24" s="20"/>
      <c r="D24" s="20"/>
      <c r="E24" s="20"/>
      <c r="F24" s="20"/>
      <c r="G24" s="20"/>
      <c r="H24" s="16"/>
    </row>
    <row r="25" spans="1:10" x14ac:dyDescent="0.25">
      <c r="A25" s="17"/>
      <c r="B25" s="20" t="s">
        <v>30</v>
      </c>
      <c r="C25" s="20"/>
      <c r="D25" s="20"/>
      <c r="E25" s="20"/>
      <c r="F25" s="20"/>
      <c r="G25" s="20"/>
      <c r="H25" s="16"/>
    </row>
    <row r="26" spans="1:10" x14ac:dyDescent="0.25">
      <c r="A26" s="17"/>
      <c r="B26" s="20" t="s">
        <v>31</v>
      </c>
      <c r="C26" s="20"/>
      <c r="D26" s="20"/>
      <c r="E26" s="20"/>
      <c r="F26" s="20"/>
      <c r="G26" s="20"/>
      <c r="H26" s="16"/>
    </row>
    <row r="27" spans="1:10" x14ac:dyDescent="0.25">
      <c r="A27" s="17"/>
      <c r="B27" s="20" t="s">
        <v>32</v>
      </c>
      <c r="C27" s="20"/>
      <c r="D27" s="20"/>
      <c r="E27" s="20"/>
      <c r="F27" s="20"/>
      <c r="G27" s="20"/>
      <c r="H27" s="16"/>
    </row>
    <row r="28" spans="1:10" x14ac:dyDescent="0.25">
      <c r="A28" s="17"/>
      <c r="B28" s="20"/>
      <c r="C28" s="20"/>
      <c r="D28" s="20"/>
      <c r="E28" s="20"/>
      <c r="F28" s="20"/>
      <c r="G28" s="20"/>
      <c r="H28" s="16"/>
    </row>
    <row r="29" spans="1:10" x14ac:dyDescent="0.25">
      <c r="A29" s="17"/>
      <c r="B29" s="20" t="s">
        <v>33</v>
      </c>
      <c r="C29" s="20"/>
      <c r="D29" s="20"/>
      <c r="E29" s="20"/>
      <c r="F29" s="20"/>
      <c r="G29" s="20"/>
      <c r="H29" s="16"/>
    </row>
    <row r="30" spans="1:10" x14ac:dyDescent="0.25">
      <c r="A30" s="17"/>
      <c r="B30" s="20" t="s">
        <v>34</v>
      </c>
      <c r="C30" s="20"/>
      <c r="D30" s="20"/>
      <c r="E30" s="20"/>
      <c r="F30" s="20"/>
      <c r="G30" s="20"/>
      <c r="H30" s="16"/>
    </row>
    <row r="31" spans="1:10" ht="15.75" thickBot="1" x14ac:dyDescent="0.3">
      <c r="A31" s="21"/>
      <c r="B31" s="22"/>
      <c r="C31" s="22"/>
      <c r="D31" s="22"/>
      <c r="E31" s="22"/>
      <c r="F31" s="22"/>
      <c r="G31" s="22"/>
      <c r="H31" s="23"/>
    </row>
  </sheetData>
  <mergeCells count="1">
    <mergeCell ref="G1:H1"/>
  </mergeCells>
  <hyperlinks>
    <hyperlink ref="G1" location="TOC!A1" display="Return to TOC" xr:uid="{3EC84FA8-31E0-47C9-9A68-1F094199BCAE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B694A-5E9C-41EB-9822-CB9B72148D4D}">
  <dimension ref="A1:S37"/>
  <sheetViews>
    <sheetView workbookViewId="0"/>
  </sheetViews>
  <sheetFormatPr defaultRowHeight="15" x14ac:dyDescent="0.25"/>
  <cols>
    <col min="1" max="1" width="14" bestFit="1" customWidth="1"/>
    <col min="5" max="5" width="11.5703125" customWidth="1"/>
    <col min="11" max="11" width="3.7109375" customWidth="1"/>
    <col min="12" max="12" width="10.140625" customWidth="1"/>
  </cols>
  <sheetData>
    <row r="1" spans="1:19" x14ac:dyDescent="0.25">
      <c r="A1" s="6" t="s">
        <v>5</v>
      </c>
      <c r="B1" s="7" t="s">
        <v>679</v>
      </c>
      <c r="C1" s="7"/>
      <c r="D1" s="8"/>
      <c r="E1" s="8"/>
      <c r="F1" s="8"/>
      <c r="G1" s="8"/>
      <c r="H1" s="8"/>
      <c r="I1" s="281" t="s">
        <v>6</v>
      </c>
      <c r="J1" s="282"/>
      <c r="K1" s="9"/>
      <c r="L1" s="10" t="s">
        <v>7</v>
      </c>
    </row>
    <row r="2" spans="1:19" x14ac:dyDescent="0.25">
      <c r="A2" s="11" t="s">
        <v>8</v>
      </c>
      <c r="B2" s="18" t="s">
        <v>340</v>
      </c>
      <c r="C2" s="18"/>
      <c r="D2" s="18"/>
      <c r="E2" s="18"/>
      <c r="F2" s="18"/>
      <c r="G2" s="18"/>
      <c r="H2" s="18"/>
      <c r="I2" s="18"/>
      <c r="J2" s="12"/>
      <c r="K2" t="s">
        <v>35</v>
      </c>
      <c r="L2" s="97" t="s">
        <v>354</v>
      </c>
      <c r="M2" s="97" t="s">
        <v>355</v>
      </c>
      <c r="N2" s="98">
        <v>0.5</v>
      </c>
      <c r="O2" s="98">
        <v>0.25</v>
      </c>
      <c r="P2" s="85"/>
      <c r="Q2" s="85"/>
      <c r="R2" s="85"/>
      <c r="S2" s="85"/>
    </row>
    <row r="3" spans="1:19" x14ac:dyDescent="0.25">
      <c r="A3" s="11" t="s">
        <v>9</v>
      </c>
      <c r="B3" s="18" t="s">
        <v>376</v>
      </c>
      <c r="C3" s="18"/>
      <c r="D3" s="18"/>
      <c r="E3" s="18"/>
      <c r="F3" s="18"/>
      <c r="G3" s="18"/>
      <c r="H3" s="18"/>
      <c r="I3" s="18"/>
      <c r="J3" s="12"/>
      <c r="L3" s="97">
        <v>1</v>
      </c>
      <c r="M3" s="97" t="str">
        <f>D10</f>
        <v>Y</v>
      </c>
      <c r="N3" s="97" t="str">
        <f>IF(E10&gt;50%,"Y","N")</f>
        <v>N</v>
      </c>
      <c r="O3" s="97" t="str">
        <f>IF(E10&gt;25%,"Y","N")</f>
        <v>N</v>
      </c>
      <c r="P3" s="85"/>
      <c r="Q3" s="85"/>
      <c r="R3" s="85"/>
      <c r="S3" s="85"/>
    </row>
    <row r="4" spans="1:19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L4" s="97">
        <v>2</v>
      </c>
      <c r="M4" s="97" t="str">
        <f t="shared" ref="M4:M12" si="0">D11</f>
        <v>N</v>
      </c>
      <c r="N4" s="97" t="str">
        <f t="shared" ref="N4:N12" si="1">IF(E11&gt;50%,"Y","N")</f>
        <v>N</v>
      </c>
      <c r="O4" s="97" t="str">
        <f t="shared" ref="O4:O12" si="2">IF(E11&gt;25%,"Y","N")</f>
        <v>N</v>
      </c>
      <c r="P4" s="85"/>
      <c r="Q4" s="85"/>
      <c r="R4" s="85"/>
      <c r="S4" s="85"/>
    </row>
    <row r="5" spans="1:19" x14ac:dyDescent="0.25">
      <c r="A5" s="15" t="s">
        <v>10</v>
      </c>
      <c r="B5" s="20" t="s">
        <v>341</v>
      </c>
      <c r="C5" s="20"/>
      <c r="D5" s="20"/>
      <c r="E5" s="20"/>
      <c r="F5" s="20"/>
      <c r="G5" s="20"/>
      <c r="H5" s="20"/>
      <c r="I5" s="20"/>
      <c r="J5" s="16"/>
      <c r="L5" s="97">
        <v>3</v>
      </c>
      <c r="M5" s="97" t="str">
        <f t="shared" si="0"/>
        <v>N</v>
      </c>
      <c r="N5" s="97" t="str">
        <f t="shared" si="1"/>
        <v>N</v>
      </c>
      <c r="O5" s="97" t="str">
        <f t="shared" si="2"/>
        <v>N</v>
      </c>
      <c r="P5" s="85"/>
      <c r="Q5" s="85"/>
      <c r="R5" s="85"/>
      <c r="S5" s="85"/>
    </row>
    <row r="6" spans="1:19" x14ac:dyDescent="0.25">
      <c r="A6" s="17"/>
      <c r="B6" s="20" t="s">
        <v>342</v>
      </c>
      <c r="C6" s="20"/>
      <c r="D6" s="20"/>
      <c r="E6" s="20"/>
      <c r="F6" s="20"/>
      <c r="G6" s="20"/>
      <c r="H6" s="20"/>
      <c r="I6" s="20"/>
      <c r="J6" s="16"/>
      <c r="L6" s="97">
        <v>4</v>
      </c>
      <c r="M6" s="97" t="str">
        <f t="shared" si="0"/>
        <v>N</v>
      </c>
      <c r="N6" s="97" t="str">
        <f t="shared" si="1"/>
        <v>Y</v>
      </c>
      <c r="O6" s="97" t="str">
        <f t="shared" si="2"/>
        <v>Y</v>
      </c>
      <c r="P6" s="85"/>
      <c r="Q6" s="85"/>
      <c r="R6" s="85"/>
      <c r="S6" s="85"/>
    </row>
    <row r="7" spans="1:19" x14ac:dyDescent="0.25">
      <c r="A7" s="17"/>
      <c r="B7" s="20" t="s">
        <v>343</v>
      </c>
      <c r="C7" s="20"/>
      <c r="D7" s="20"/>
      <c r="E7" s="20"/>
      <c r="F7" s="20"/>
      <c r="G7" s="20"/>
      <c r="H7" s="20"/>
      <c r="I7" s="20"/>
      <c r="J7" s="16"/>
      <c r="L7" s="97">
        <v>5</v>
      </c>
      <c r="M7" s="97" t="str">
        <f t="shared" si="0"/>
        <v>Y</v>
      </c>
      <c r="N7" s="97" t="str">
        <f t="shared" si="1"/>
        <v>Y</v>
      </c>
      <c r="O7" s="97" t="str">
        <f t="shared" si="2"/>
        <v>Y</v>
      </c>
      <c r="P7" s="85"/>
      <c r="Q7" s="85"/>
      <c r="R7" s="85"/>
      <c r="S7" s="85"/>
    </row>
    <row r="8" spans="1:19" x14ac:dyDescent="0.25">
      <c r="A8" s="17"/>
      <c r="B8" s="20"/>
      <c r="C8" s="286" t="s">
        <v>344</v>
      </c>
      <c r="D8" s="286" t="s">
        <v>345</v>
      </c>
      <c r="E8" s="286" t="s">
        <v>346</v>
      </c>
      <c r="F8" s="20"/>
      <c r="G8" s="20"/>
      <c r="H8" s="20"/>
      <c r="I8" s="20"/>
      <c r="J8" s="16"/>
      <c r="L8" s="97">
        <v>6</v>
      </c>
      <c r="M8" s="97" t="str">
        <f t="shared" si="0"/>
        <v>Y</v>
      </c>
      <c r="N8" s="97" t="str">
        <f t="shared" si="1"/>
        <v>N</v>
      </c>
      <c r="O8" s="97" t="str">
        <f t="shared" si="2"/>
        <v>Y</v>
      </c>
      <c r="P8" s="85"/>
      <c r="Q8" s="85"/>
      <c r="R8" s="85"/>
      <c r="S8" s="85"/>
    </row>
    <row r="9" spans="1:19" x14ac:dyDescent="0.25">
      <c r="A9" s="17"/>
      <c r="B9" s="20"/>
      <c r="C9" s="286"/>
      <c r="D9" s="286"/>
      <c r="E9" s="286"/>
      <c r="F9" s="20"/>
      <c r="G9" s="20"/>
      <c r="H9" s="20"/>
      <c r="I9" s="20"/>
      <c r="J9" s="16"/>
      <c r="L9" s="97">
        <v>7</v>
      </c>
      <c r="M9" s="97" t="str">
        <f t="shared" si="0"/>
        <v>N</v>
      </c>
      <c r="N9" s="97" t="str">
        <f t="shared" si="1"/>
        <v>N</v>
      </c>
      <c r="O9" s="97" t="str">
        <f t="shared" si="2"/>
        <v>N</v>
      </c>
      <c r="P9" s="85"/>
      <c r="Q9" s="85"/>
      <c r="R9" s="85"/>
      <c r="S9" s="85"/>
    </row>
    <row r="10" spans="1:19" x14ac:dyDescent="0.25">
      <c r="A10" s="17"/>
      <c r="B10" s="20"/>
      <c r="C10" s="38">
        <v>1</v>
      </c>
      <c r="D10" s="38" t="s">
        <v>347</v>
      </c>
      <c r="E10" s="96">
        <v>0.11</v>
      </c>
      <c r="F10" s="20"/>
      <c r="G10" s="20"/>
      <c r="H10" s="20"/>
      <c r="I10" s="20"/>
      <c r="J10" s="16"/>
      <c r="L10" s="97">
        <v>8</v>
      </c>
      <c r="M10" s="97" t="str">
        <f t="shared" si="0"/>
        <v>Y</v>
      </c>
      <c r="N10" s="97" t="str">
        <f t="shared" si="1"/>
        <v>Y</v>
      </c>
      <c r="O10" s="97" t="str">
        <f t="shared" si="2"/>
        <v>Y</v>
      </c>
      <c r="P10" s="85"/>
      <c r="Q10" s="85"/>
      <c r="R10" s="85"/>
      <c r="S10" s="85"/>
    </row>
    <row r="11" spans="1:19" x14ac:dyDescent="0.25">
      <c r="A11" s="17"/>
      <c r="B11" s="20"/>
      <c r="C11" s="38">
        <v>2</v>
      </c>
      <c r="D11" s="38" t="s">
        <v>348</v>
      </c>
      <c r="E11" s="96">
        <v>0.23</v>
      </c>
      <c r="F11" s="20"/>
      <c r="G11" s="20"/>
      <c r="H11" s="20"/>
      <c r="I11" s="20"/>
      <c r="J11" s="16"/>
      <c r="L11" s="97">
        <v>9</v>
      </c>
      <c r="M11" s="97" t="str">
        <f t="shared" si="0"/>
        <v>N</v>
      </c>
      <c r="N11" s="97" t="str">
        <f t="shared" si="1"/>
        <v>Y</v>
      </c>
      <c r="O11" s="97" t="str">
        <f t="shared" si="2"/>
        <v>Y</v>
      </c>
      <c r="P11" s="85"/>
      <c r="Q11" s="85"/>
      <c r="R11" s="85"/>
      <c r="S11" s="85"/>
    </row>
    <row r="12" spans="1:19" x14ac:dyDescent="0.25">
      <c r="A12" s="17"/>
      <c r="B12" s="20"/>
      <c r="C12" s="38">
        <v>3</v>
      </c>
      <c r="D12" s="38" t="s">
        <v>348</v>
      </c>
      <c r="E12" s="96">
        <v>0.15</v>
      </c>
      <c r="F12" s="20"/>
      <c r="G12" s="20"/>
      <c r="H12" s="20"/>
      <c r="I12" s="20"/>
      <c r="J12" s="16"/>
      <c r="L12" s="97">
        <v>10</v>
      </c>
      <c r="M12" s="97" t="str">
        <f t="shared" si="0"/>
        <v>N</v>
      </c>
      <c r="N12" s="97" t="str">
        <f t="shared" si="1"/>
        <v>N</v>
      </c>
      <c r="O12" s="97" t="str">
        <f t="shared" si="2"/>
        <v>Y</v>
      </c>
      <c r="P12" s="85"/>
      <c r="Q12" s="85"/>
      <c r="R12" s="85"/>
      <c r="S12" s="85"/>
    </row>
    <row r="13" spans="1:19" x14ac:dyDescent="0.25">
      <c r="A13" s="17"/>
      <c r="B13" s="20"/>
      <c r="C13" s="38">
        <v>4</v>
      </c>
      <c r="D13" s="38" t="s">
        <v>348</v>
      </c>
      <c r="E13" s="96">
        <v>0.7</v>
      </c>
      <c r="F13" s="20"/>
      <c r="G13" s="20"/>
      <c r="H13" s="20"/>
      <c r="I13" s="20"/>
      <c r="J13" s="16"/>
      <c r="L13" s="85"/>
      <c r="M13" s="85"/>
      <c r="N13" s="85"/>
      <c r="O13" s="85"/>
      <c r="P13" s="85"/>
      <c r="Q13" s="85"/>
      <c r="R13" s="85"/>
      <c r="S13" s="85"/>
    </row>
    <row r="14" spans="1:19" x14ac:dyDescent="0.25">
      <c r="A14" s="17"/>
      <c r="B14" s="20"/>
      <c r="C14" s="38">
        <v>5</v>
      </c>
      <c r="D14" s="38" t="s">
        <v>347</v>
      </c>
      <c r="E14" s="96">
        <v>0.91</v>
      </c>
      <c r="F14" s="20"/>
      <c r="G14" s="20"/>
      <c r="H14" s="20"/>
      <c r="I14" s="20"/>
      <c r="J14" s="16"/>
      <c r="L14" s="85" t="s">
        <v>356</v>
      </c>
      <c r="M14" s="85"/>
      <c r="N14" s="85"/>
      <c r="O14" s="85"/>
      <c r="P14" s="85" t="s">
        <v>357</v>
      </c>
      <c r="Q14" s="85"/>
      <c r="R14" s="85"/>
      <c r="S14" s="85"/>
    </row>
    <row r="15" spans="1:19" x14ac:dyDescent="0.25">
      <c r="A15" s="17"/>
      <c r="B15" s="20"/>
      <c r="C15" s="38">
        <v>6</v>
      </c>
      <c r="D15" s="38" t="s">
        <v>347</v>
      </c>
      <c r="E15" s="96">
        <v>0.3</v>
      </c>
      <c r="F15" s="20"/>
      <c r="G15" s="20"/>
      <c r="H15" s="20"/>
      <c r="I15" s="20"/>
      <c r="J15" s="16"/>
      <c r="L15" s="85"/>
      <c r="M15" s="99" t="s">
        <v>358</v>
      </c>
      <c r="N15" s="99"/>
      <c r="O15" s="85"/>
      <c r="P15" s="85"/>
      <c r="Q15" s="99" t="s">
        <v>358</v>
      </c>
      <c r="R15" s="99"/>
      <c r="S15" s="85"/>
    </row>
    <row r="16" spans="1:19" x14ac:dyDescent="0.25">
      <c r="A16" s="17"/>
      <c r="B16" s="20"/>
      <c r="C16" s="38">
        <v>7</v>
      </c>
      <c r="D16" s="38" t="s">
        <v>348</v>
      </c>
      <c r="E16" s="96">
        <v>0.11</v>
      </c>
      <c r="F16" s="20"/>
      <c r="G16" s="20"/>
      <c r="H16" s="20"/>
      <c r="I16" s="20"/>
      <c r="J16" s="16"/>
      <c r="L16" s="285" t="s">
        <v>355</v>
      </c>
      <c r="M16" s="9">
        <f>COUNTIFS($N$3:$N$12,"Y",$M$3:$M$12,"Y")</f>
        <v>2</v>
      </c>
      <c r="N16" s="9">
        <f>COUNTIFS($N$3:$N$12,"N",$M$3:$M$12,"Y")</f>
        <v>2</v>
      </c>
      <c r="O16" s="85"/>
      <c r="P16" s="285" t="s">
        <v>355</v>
      </c>
      <c r="Q16" s="9">
        <f>COUNTIFS($O$3:$O$12,"Y",$M$3:$M$12,"Y")</f>
        <v>3</v>
      </c>
      <c r="R16" s="9">
        <f>COUNTIFS($O$3:$O$12,"N",$M$3:$M$12,"Y")</f>
        <v>1</v>
      </c>
      <c r="S16" s="85"/>
    </row>
    <row r="17" spans="1:19" x14ac:dyDescent="0.25">
      <c r="A17" s="17"/>
      <c r="B17" s="20"/>
      <c r="C17" s="38">
        <v>8</v>
      </c>
      <c r="D17" s="38" t="s">
        <v>347</v>
      </c>
      <c r="E17" s="96">
        <v>0.75</v>
      </c>
      <c r="F17" s="20"/>
      <c r="G17" s="20"/>
      <c r="H17" s="20"/>
      <c r="I17" s="20"/>
      <c r="J17" s="16"/>
      <c r="L17" s="285"/>
      <c r="M17" s="9">
        <f>COUNTIFS($N$3:$N$12,"Y",$M$3:$M$12,"N")</f>
        <v>2</v>
      </c>
      <c r="N17" s="9">
        <f>COUNTIFS($N$3:$N$12,"N",$M$3:$M$12,"N")</f>
        <v>4</v>
      </c>
      <c r="O17" s="85"/>
      <c r="P17" s="285"/>
      <c r="Q17" s="9">
        <f>COUNTIFS($O$3:$O$12,"Y",$M$3:$M$12,"N")</f>
        <v>3</v>
      </c>
      <c r="R17" s="9">
        <f>COUNTIFS($O$3:$O$12,"N",$M$3:$M$12,"N")</f>
        <v>3</v>
      </c>
      <c r="S17" s="85"/>
    </row>
    <row r="18" spans="1:19" x14ac:dyDescent="0.25">
      <c r="A18" s="17"/>
      <c r="B18" s="20"/>
      <c r="C18" s="38">
        <v>9</v>
      </c>
      <c r="D18" s="38" t="s">
        <v>348</v>
      </c>
      <c r="E18" s="96">
        <v>0.57999999999999996</v>
      </c>
      <c r="F18" s="20"/>
      <c r="G18" s="20"/>
      <c r="H18" s="20"/>
      <c r="I18" s="20"/>
      <c r="J18" s="16"/>
      <c r="L18" s="85"/>
      <c r="M18" s="85"/>
      <c r="N18" s="85"/>
      <c r="O18" s="85"/>
      <c r="P18" s="85"/>
      <c r="Q18" s="85"/>
      <c r="R18" s="85"/>
      <c r="S18" s="85"/>
    </row>
    <row r="19" spans="1:19" x14ac:dyDescent="0.25">
      <c r="A19" s="17"/>
      <c r="B19" s="20"/>
      <c r="C19" s="38">
        <v>10</v>
      </c>
      <c r="D19" s="38" t="s">
        <v>348</v>
      </c>
      <c r="E19" s="96">
        <v>0.27</v>
      </c>
      <c r="F19" s="20"/>
      <c r="G19" s="20"/>
      <c r="H19" s="20"/>
      <c r="I19" s="20"/>
      <c r="J19" s="16"/>
      <c r="K19" t="s">
        <v>83</v>
      </c>
      <c r="L19" s="85" t="s">
        <v>359</v>
      </c>
      <c r="M19" s="85"/>
      <c r="N19" s="85"/>
      <c r="O19" s="85"/>
      <c r="P19" s="85"/>
      <c r="Q19" s="85"/>
      <c r="R19" s="85"/>
      <c r="S19" s="85"/>
    </row>
    <row r="20" spans="1:19" x14ac:dyDescent="0.25">
      <c r="A20" s="17"/>
      <c r="B20" s="20"/>
      <c r="C20" s="20"/>
      <c r="D20" s="20"/>
      <c r="E20" s="20"/>
      <c r="F20" s="20"/>
      <c r="G20" s="20"/>
      <c r="H20" s="20"/>
      <c r="I20" s="20"/>
      <c r="J20" s="16"/>
      <c r="L20" s="85" t="s">
        <v>360</v>
      </c>
      <c r="M20" s="85"/>
      <c r="N20" s="85"/>
      <c r="O20" s="85"/>
      <c r="P20" s="85"/>
      <c r="Q20" s="85"/>
      <c r="R20" s="85"/>
      <c r="S20" s="85"/>
    </row>
    <row r="21" spans="1:19" x14ac:dyDescent="0.25">
      <c r="A21" s="89" t="s">
        <v>55</v>
      </c>
      <c r="B21" s="20" t="s">
        <v>351</v>
      </c>
      <c r="C21" s="20"/>
      <c r="D21" s="20"/>
      <c r="E21" s="20"/>
      <c r="F21" s="20"/>
      <c r="G21" s="20"/>
      <c r="H21" s="20"/>
      <c r="I21" s="20"/>
      <c r="J21" s="16"/>
      <c r="L21" s="85" t="s">
        <v>361</v>
      </c>
      <c r="M21" s="85"/>
      <c r="N21" s="85"/>
      <c r="O21" s="85"/>
      <c r="P21" s="85"/>
      <c r="Q21" s="85"/>
      <c r="R21" s="85"/>
      <c r="S21" s="85"/>
    </row>
    <row r="22" spans="1:19" x14ac:dyDescent="0.25">
      <c r="A22" s="17"/>
      <c r="B22" s="20"/>
      <c r="C22" s="20"/>
      <c r="D22" s="20"/>
      <c r="E22" s="20"/>
      <c r="F22" s="20"/>
      <c r="G22" s="20"/>
      <c r="H22" s="20"/>
      <c r="I22" s="20"/>
      <c r="J22" s="16"/>
      <c r="L22" s="85" t="s">
        <v>362</v>
      </c>
      <c r="M22" s="85"/>
      <c r="N22" s="85"/>
      <c r="O22" s="85"/>
      <c r="P22" s="85"/>
      <c r="Q22" s="85"/>
      <c r="R22" s="85"/>
      <c r="S22" s="85"/>
    </row>
    <row r="23" spans="1:19" x14ac:dyDescent="0.25">
      <c r="A23" s="17"/>
      <c r="B23" s="20" t="s">
        <v>373</v>
      </c>
      <c r="C23" s="20"/>
      <c r="D23" s="20"/>
      <c r="E23" s="20"/>
      <c r="F23" s="20"/>
      <c r="G23" s="20"/>
      <c r="H23" s="20"/>
      <c r="I23" s="20"/>
      <c r="J23" s="16"/>
      <c r="L23" s="85"/>
      <c r="M23" s="85"/>
      <c r="N23" s="85"/>
      <c r="O23" s="85"/>
      <c r="P23" s="85"/>
      <c r="Q23" s="85"/>
      <c r="R23" s="85"/>
      <c r="S23" s="85"/>
    </row>
    <row r="24" spans="1:19" x14ac:dyDescent="0.25">
      <c r="A24" s="17"/>
      <c r="B24" s="20" t="s">
        <v>374</v>
      </c>
      <c r="C24" s="20"/>
      <c r="D24" s="20"/>
      <c r="E24" s="20"/>
      <c r="F24" s="20"/>
      <c r="G24" s="20"/>
      <c r="H24" s="20"/>
      <c r="I24" s="20"/>
      <c r="J24" s="16"/>
      <c r="L24" s="97" t="s">
        <v>363</v>
      </c>
      <c r="M24" s="97" t="s">
        <v>364</v>
      </c>
      <c r="N24" s="97" t="s">
        <v>365</v>
      </c>
      <c r="P24" s="85"/>
      <c r="Q24" s="85"/>
      <c r="R24" s="85"/>
      <c r="S24" s="85"/>
    </row>
    <row r="25" spans="1:19" x14ac:dyDescent="0.25">
      <c r="A25" s="17"/>
      <c r="B25" s="20" t="s">
        <v>375</v>
      </c>
      <c r="C25" s="20"/>
      <c r="D25" s="20"/>
      <c r="E25" s="20"/>
      <c r="F25" s="20"/>
      <c r="G25" s="20"/>
      <c r="H25" s="20"/>
      <c r="I25" s="20"/>
      <c r="J25" s="16"/>
      <c r="L25" s="97">
        <v>0</v>
      </c>
      <c r="M25" s="97">
        <v>1</v>
      </c>
      <c r="N25" s="97">
        <v>1</v>
      </c>
      <c r="P25" s="85"/>
      <c r="Q25" s="85"/>
      <c r="R25" s="85"/>
      <c r="S25" s="85"/>
    </row>
    <row r="26" spans="1:19" x14ac:dyDescent="0.25">
      <c r="A26" s="17"/>
      <c r="B26" s="20"/>
      <c r="C26" s="20"/>
      <c r="D26" s="20"/>
      <c r="E26" s="20"/>
      <c r="F26" s="20"/>
      <c r="G26" s="20"/>
      <c r="H26" s="20"/>
      <c r="I26" s="20"/>
      <c r="J26" s="16"/>
      <c r="L26" s="97">
        <v>0.25</v>
      </c>
      <c r="M26" s="97">
        <f>1-R17/SUM(Q17:R17)</f>
        <v>0.5</v>
      </c>
      <c r="N26" s="97">
        <f>Q16/SUM(Q16:R16)</f>
        <v>0.75</v>
      </c>
      <c r="P26" s="85"/>
      <c r="Q26" s="85"/>
      <c r="R26" s="85"/>
      <c r="S26" s="85"/>
    </row>
    <row r="27" spans="1:19" x14ac:dyDescent="0.25">
      <c r="A27" s="17"/>
      <c r="B27" s="20" t="s">
        <v>352</v>
      </c>
      <c r="C27" s="20"/>
      <c r="D27" s="20"/>
      <c r="E27" s="20"/>
      <c r="F27" s="20"/>
      <c r="G27" s="20"/>
      <c r="H27" s="20"/>
      <c r="I27" s="20"/>
      <c r="J27" s="16"/>
      <c r="L27" s="97">
        <v>0.5</v>
      </c>
      <c r="M27" s="97">
        <f>1-N17/SUM(M17:N17)</f>
        <v>0.33333333333333337</v>
      </c>
      <c r="N27" s="97">
        <f>M16/SUM(M16:N16)</f>
        <v>0.5</v>
      </c>
      <c r="P27" s="85"/>
      <c r="Q27" s="85"/>
      <c r="R27" s="85"/>
      <c r="S27" s="85"/>
    </row>
    <row r="28" spans="1:19" x14ac:dyDescent="0.25">
      <c r="A28" s="17"/>
      <c r="B28" s="20" t="s">
        <v>350</v>
      </c>
      <c r="C28" s="20"/>
      <c r="D28" s="20"/>
      <c r="E28" s="20"/>
      <c r="F28" s="20"/>
      <c r="G28" s="20"/>
      <c r="H28" s="20"/>
      <c r="I28" s="20"/>
      <c r="J28" s="16"/>
      <c r="L28" s="97">
        <v>1</v>
      </c>
      <c r="M28" s="97">
        <v>0</v>
      </c>
      <c r="N28" s="97">
        <v>0</v>
      </c>
      <c r="P28" s="85"/>
      <c r="Q28" s="85"/>
      <c r="R28" s="85"/>
      <c r="S28" s="85"/>
    </row>
    <row r="29" spans="1:19" x14ac:dyDescent="0.25">
      <c r="A29" s="17"/>
      <c r="B29" s="20"/>
      <c r="C29" s="20"/>
      <c r="D29" s="20"/>
      <c r="E29" s="20"/>
      <c r="F29" s="20"/>
      <c r="G29" s="20"/>
      <c r="H29" s="20"/>
      <c r="I29" s="20"/>
      <c r="J29" s="16"/>
      <c r="L29" s="85"/>
      <c r="M29" s="85"/>
      <c r="N29" s="85"/>
      <c r="O29" s="85"/>
      <c r="P29" s="85"/>
      <c r="Q29" s="85"/>
      <c r="R29" s="85"/>
      <c r="S29" s="85"/>
    </row>
    <row r="30" spans="1:19" x14ac:dyDescent="0.25">
      <c r="A30" s="17"/>
      <c r="B30" s="20" t="s">
        <v>353</v>
      </c>
      <c r="C30" s="20"/>
      <c r="D30" s="20"/>
      <c r="E30" s="20"/>
      <c r="F30" s="20"/>
      <c r="G30" s="20"/>
      <c r="H30" s="20"/>
      <c r="I30" s="20"/>
      <c r="J30" s="16"/>
      <c r="K30" t="s">
        <v>114</v>
      </c>
      <c r="L30" s="85" t="s">
        <v>366</v>
      </c>
    </row>
    <row r="31" spans="1:19" ht="15.75" thickBot="1" x14ac:dyDescent="0.3">
      <c r="A31" s="21"/>
      <c r="B31" s="22" t="s">
        <v>349</v>
      </c>
      <c r="C31" s="22"/>
      <c r="D31" s="22"/>
      <c r="E31" s="22"/>
      <c r="F31" s="22"/>
      <c r="G31" s="22"/>
      <c r="H31" s="22"/>
      <c r="I31" s="22"/>
      <c r="J31" s="23"/>
      <c r="L31" s="85" t="s">
        <v>367</v>
      </c>
    </row>
    <row r="32" spans="1:19" x14ac:dyDescent="0.25">
      <c r="L32" s="85" t="s">
        <v>368</v>
      </c>
    </row>
    <row r="33" spans="11:12" x14ac:dyDescent="0.25">
      <c r="L33" s="85"/>
    </row>
    <row r="34" spans="11:12" x14ac:dyDescent="0.25">
      <c r="K34" t="s">
        <v>193</v>
      </c>
      <c r="L34" s="85" t="s">
        <v>369</v>
      </c>
    </row>
    <row r="35" spans="11:12" x14ac:dyDescent="0.25">
      <c r="L35" s="85" t="s">
        <v>370</v>
      </c>
    </row>
    <row r="36" spans="11:12" x14ac:dyDescent="0.25">
      <c r="L36" s="85" t="s">
        <v>371</v>
      </c>
    </row>
    <row r="37" spans="11:12" x14ac:dyDescent="0.25">
      <c r="L37" s="85" t="s">
        <v>372</v>
      </c>
    </row>
  </sheetData>
  <mergeCells count="6">
    <mergeCell ref="P16:P17"/>
    <mergeCell ref="I1:J1"/>
    <mergeCell ref="C8:C9"/>
    <mergeCell ref="D8:D9"/>
    <mergeCell ref="E8:E9"/>
    <mergeCell ref="L16:L17"/>
  </mergeCells>
  <hyperlinks>
    <hyperlink ref="I1" location="TOC!A1" display="Return to TOC" xr:uid="{2FD9EF58-EBD7-4AD4-9A19-2912A1F65BCC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32F93-15EF-4D21-A87E-BF5E02C839CB}">
  <dimension ref="A1:Y39"/>
  <sheetViews>
    <sheetView workbookViewId="0"/>
  </sheetViews>
  <sheetFormatPr defaultRowHeight="15" x14ac:dyDescent="0.25"/>
  <cols>
    <col min="1" max="1" width="14" bestFit="1" customWidth="1"/>
    <col min="11" max="11" width="3.7109375" customWidth="1"/>
    <col min="15" max="15" width="2.7109375" customWidth="1"/>
    <col min="21" max="22" width="12" bestFit="1" customWidth="1"/>
  </cols>
  <sheetData>
    <row r="1" spans="1:25" x14ac:dyDescent="0.25">
      <c r="A1" s="6" t="s">
        <v>5</v>
      </c>
      <c r="B1" s="7" t="s">
        <v>679</v>
      </c>
      <c r="C1" s="7"/>
      <c r="D1" s="8"/>
      <c r="E1" s="8"/>
      <c r="F1" s="8"/>
      <c r="G1" s="8"/>
      <c r="H1" s="8"/>
      <c r="I1" s="281" t="s">
        <v>6</v>
      </c>
      <c r="J1" s="282"/>
      <c r="K1" s="9"/>
      <c r="L1" s="10" t="s">
        <v>7</v>
      </c>
    </row>
    <row r="2" spans="1:25" x14ac:dyDescent="0.25">
      <c r="A2" s="11" t="s">
        <v>8</v>
      </c>
      <c r="B2" s="18" t="s">
        <v>482</v>
      </c>
      <c r="C2" s="18"/>
      <c r="D2" s="18"/>
      <c r="E2" s="18"/>
      <c r="F2" s="18"/>
      <c r="G2" s="18"/>
      <c r="H2" s="18"/>
      <c r="I2" s="18"/>
      <c r="J2" s="12"/>
      <c r="K2" t="s">
        <v>35</v>
      </c>
      <c r="L2" t="s">
        <v>711</v>
      </c>
    </row>
    <row r="3" spans="1:25" x14ac:dyDescent="0.25">
      <c r="A3" s="11" t="s">
        <v>9</v>
      </c>
      <c r="B3" s="20" t="s">
        <v>702</v>
      </c>
      <c r="C3" s="18"/>
      <c r="D3" s="18"/>
      <c r="E3" s="18"/>
      <c r="F3" s="18"/>
      <c r="G3" s="18"/>
      <c r="H3" s="18"/>
      <c r="I3" s="18"/>
      <c r="J3" s="12"/>
      <c r="L3" t="s">
        <v>712</v>
      </c>
    </row>
    <row r="4" spans="1:25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Y4" s="247" t="s">
        <v>778</v>
      </c>
    </row>
    <row r="5" spans="1:25" x14ac:dyDescent="0.25">
      <c r="A5" s="15" t="s">
        <v>10</v>
      </c>
      <c r="B5" s="20" t="s">
        <v>709</v>
      </c>
      <c r="C5" s="20"/>
      <c r="D5" s="20"/>
      <c r="E5" s="20"/>
      <c r="F5" s="20"/>
      <c r="G5" s="20"/>
      <c r="H5" s="20"/>
      <c r="I5" s="20"/>
      <c r="J5" s="16"/>
      <c r="L5" s="182" t="s">
        <v>713</v>
      </c>
      <c r="M5" s="172" t="s">
        <v>714</v>
      </c>
      <c r="N5" s="109" t="s">
        <v>715</v>
      </c>
      <c r="P5" s="171" t="s">
        <v>716</v>
      </c>
      <c r="Q5" s="171" t="s">
        <v>717</v>
      </c>
      <c r="R5" s="109" t="s">
        <v>718</v>
      </c>
      <c r="S5" s="171" t="s">
        <v>719</v>
      </c>
      <c r="T5" s="109" t="s">
        <v>720</v>
      </c>
      <c r="U5" s="172" t="s">
        <v>721</v>
      </c>
      <c r="V5" s="109" t="s">
        <v>722</v>
      </c>
      <c r="W5" s="171" t="s">
        <v>725</v>
      </c>
      <c r="X5" s="172" t="s">
        <v>726</v>
      </c>
      <c r="Y5" s="181" t="s">
        <v>779</v>
      </c>
    </row>
    <row r="6" spans="1:25" x14ac:dyDescent="0.25">
      <c r="A6" s="17"/>
      <c r="B6" s="20" t="s">
        <v>710</v>
      </c>
      <c r="C6" s="20"/>
      <c r="D6" s="20"/>
      <c r="E6" s="20"/>
      <c r="F6" s="20"/>
      <c r="G6" s="20"/>
      <c r="H6" s="20"/>
      <c r="I6" s="20"/>
      <c r="J6" s="16"/>
      <c r="L6" s="180">
        <v>1</v>
      </c>
      <c r="M6" s="5">
        <f>_xlfn.RANK.AVG(C10,C$10:C$29,1)</f>
        <v>3</v>
      </c>
      <c r="N6" s="173">
        <f>_xlfn.RANK.AVG(D10,D$10:D$29,1)</f>
        <v>1</v>
      </c>
      <c r="P6" s="167">
        <v>1</v>
      </c>
      <c r="Q6" s="167">
        <v>1</v>
      </c>
      <c r="R6" s="173">
        <v>2</v>
      </c>
      <c r="S6" s="187">
        <f>(SUMIFS(C$10:C$29,M$6:M$25,Q6)+SUMIFS(C$10:C$29,M$6:M$25,R6))/2</f>
        <v>1036</v>
      </c>
      <c r="T6" s="188">
        <f>(SUMIFS(D$10:D$29,N$6:N$25,Q6)+SUMIFS(D$10:D$29,N$6:N$25,R6))/2</f>
        <v>861</v>
      </c>
      <c r="U6" s="189">
        <f>(SUMIFS(E$10:E$29,M$6:M$25,Q6)+SUMIFS(E$10:E$29,M$6:M$25,R6))/2</f>
        <v>1485</v>
      </c>
      <c r="V6" s="188">
        <f>(SUMIFS(E$10:E$29,N$6:N$25,Q6)+SUMIFS(E$10:E$29,N$6:N$25,R6))/2</f>
        <v>1469</v>
      </c>
      <c r="W6" s="193">
        <f>ABS(S6-U6)</f>
        <v>449</v>
      </c>
      <c r="X6" s="194">
        <f>ABS(T6-V6)</f>
        <v>608</v>
      </c>
      <c r="Y6" s="247">
        <f>IF(W6&lt;X6,1,IF(W6&gt;X6,0,""))</f>
        <v>1</v>
      </c>
    </row>
    <row r="7" spans="1:25" x14ac:dyDescent="0.25">
      <c r="A7" s="17"/>
      <c r="B7" s="20"/>
      <c r="C7" s="20"/>
      <c r="D7" s="20"/>
      <c r="E7" s="20"/>
      <c r="F7" s="20"/>
      <c r="G7" s="20"/>
      <c r="H7" s="20"/>
      <c r="I7" s="20"/>
      <c r="J7" s="16"/>
      <c r="L7" s="180">
        <v>2</v>
      </c>
      <c r="M7" s="5">
        <f t="shared" ref="M7:N25" si="0">_xlfn.RANK.AVG(C11,C$10:C$29,1)</f>
        <v>8</v>
      </c>
      <c r="N7" s="173">
        <f t="shared" si="0"/>
        <v>6</v>
      </c>
      <c r="P7" s="167">
        <v>2</v>
      </c>
      <c r="Q7" s="167">
        <f>Q6+2</f>
        <v>3</v>
      </c>
      <c r="R7" s="173">
        <f>R6+2</f>
        <v>4</v>
      </c>
      <c r="S7" s="187">
        <f t="shared" ref="S7:S15" si="1">(SUMIFS(C$10:C$29,M$6:M$25,Q7)+SUMIFS(C$10:C$29,M$6:M$25,R7))/2</f>
        <v>1085</v>
      </c>
      <c r="T7" s="188">
        <f t="shared" ref="T7:T15" si="2">(SUMIFS(D$10:D$29,N$6:N$25,Q7)+SUMIFS(D$10:D$29,N$6:N$25,R7))/2</f>
        <v>1113.5</v>
      </c>
      <c r="U7" s="189">
        <f t="shared" ref="U7:U15" si="3">(SUMIFS(E$10:E$29,M$6:M$25,Q7)+SUMIFS(E$10:E$29,M$6:M$25,R7))/2</f>
        <v>1472</v>
      </c>
      <c r="V7" s="188">
        <f t="shared" ref="V7:V15" si="4">(SUMIFS(E$10:E$29,N$6:N$25,Q7)+SUMIFS(E$10:E$29,N$6:N$25,R7))/2</f>
        <v>1407</v>
      </c>
      <c r="W7" s="175">
        <f t="shared" ref="W7:W15" si="5">ABS(S7-U7)</f>
        <v>387</v>
      </c>
      <c r="X7" s="168">
        <f t="shared" ref="X7:X15" si="6">ABS(T7-V7)</f>
        <v>293.5</v>
      </c>
      <c r="Y7" s="180">
        <f t="shared" ref="Y7:Y15" si="7">IF(W7&lt;X7,1,IF(W7&gt;X7,0,""))</f>
        <v>0</v>
      </c>
    </row>
    <row r="8" spans="1:25" x14ac:dyDescent="0.25">
      <c r="A8" s="17"/>
      <c r="B8" s="20"/>
      <c r="C8" s="40" t="s">
        <v>706</v>
      </c>
      <c r="D8" s="40"/>
      <c r="E8" s="40"/>
      <c r="F8" s="20"/>
      <c r="G8" s="20"/>
      <c r="H8" s="20"/>
      <c r="I8" s="20"/>
      <c r="J8" s="16"/>
      <c r="L8" s="180">
        <v>3</v>
      </c>
      <c r="M8" s="5">
        <f t="shared" si="0"/>
        <v>17</v>
      </c>
      <c r="N8" s="173">
        <f t="shared" si="0"/>
        <v>12</v>
      </c>
      <c r="P8" s="167">
        <v>3</v>
      </c>
      <c r="Q8" s="167">
        <f t="shared" ref="Q8:Q15" si="8">Q7+2</f>
        <v>5</v>
      </c>
      <c r="R8" s="173">
        <f t="shared" ref="R8:R15" si="9">R7+2</f>
        <v>6</v>
      </c>
      <c r="S8" s="187">
        <f t="shared" si="1"/>
        <v>1253</v>
      </c>
      <c r="T8" s="188">
        <f t="shared" si="2"/>
        <v>1305.5</v>
      </c>
      <c r="U8" s="189">
        <f t="shared" si="3"/>
        <v>1629.5</v>
      </c>
      <c r="V8" s="188">
        <f t="shared" si="4"/>
        <v>1454</v>
      </c>
      <c r="W8" s="175">
        <f t="shared" si="5"/>
        <v>376.5</v>
      </c>
      <c r="X8" s="168">
        <f t="shared" si="6"/>
        <v>148.5</v>
      </c>
      <c r="Y8" s="180">
        <f t="shared" si="7"/>
        <v>0</v>
      </c>
    </row>
    <row r="9" spans="1:25" x14ac:dyDescent="0.25">
      <c r="A9" s="17"/>
      <c r="B9" s="183" t="s">
        <v>705</v>
      </c>
      <c r="C9" s="38" t="s">
        <v>707</v>
      </c>
      <c r="D9" s="38" t="s">
        <v>708</v>
      </c>
      <c r="E9" s="68" t="s">
        <v>355</v>
      </c>
      <c r="F9" s="20"/>
      <c r="G9" s="20"/>
      <c r="H9" s="20"/>
      <c r="I9" s="20"/>
      <c r="J9" s="16"/>
      <c r="L9" s="180">
        <v>4</v>
      </c>
      <c r="M9" s="5">
        <f t="shared" si="0"/>
        <v>15</v>
      </c>
      <c r="N9" s="173">
        <f t="shared" si="0"/>
        <v>3</v>
      </c>
      <c r="P9" s="167">
        <v>4</v>
      </c>
      <c r="Q9" s="167">
        <f t="shared" si="8"/>
        <v>7</v>
      </c>
      <c r="R9" s="173">
        <f t="shared" si="9"/>
        <v>8</v>
      </c>
      <c r="S9" s="187">
        <f t="shared" si="1"/>
        <v>1366</v>
      </c>
      <c r="T9" s="188">
        <f t="shared" si="2"/>
        <v>1478.5</v>
      </c>
      <c r="U9" s="189">
        <f t="shared" si="3"/>
        <v>1472</v>
      </c>
      <c r="V9" s="188">
        <f t="shared" si="4"/>
        <v>1498</v>
      </c>
      <c r="W9" s="175">
        <f t="shared" si="5"/>
        <v>106</v>
      </c>
      <c r="X9" s="168">
        <f t="shared" si="6"/>
        <v>19.5</v>
      </c>
      <c r="Y9" s="180">
        <f t="shared" si="7"/>
        <v>0</v>
      </c>
    </row>
    <row r="10" spans="1:25" x14ac:dyDescent="0.25">
      <c r="A10" s="17"/>
      <c r="B10" s="177">
        <v>1</v>
      </c>
      <c r="C10" s="184">
        <v>1070</v>
      </c>
      <c r="D10" s="184">
        <v>812</v>
      </c>
      <c r="E10" s="70">
        <v>1521</v>
      </c>
      <c r="F10" s="20"/>
      <c r="G10" s="20"/>
      <c r="H10" s="20"/>
      <c r="I10" s="20"/>
      <c r="J10" s="16"/>
      <c r="L10" s="180">
        <v>5</v>
      </c>
      <c r="M10" s="5">
        <f t="shared" si="0"/>
        <v>20</v>
      </c>
      <c r="N10" s="173">
        <f t="shared" si="0"/>
        <v>18</v>
      </c>
      <c r="P10" s="167">
        <v>5</v>
      </c>
      <c r="Q10" s="167">
        <f t="shared" si="8"/>
        <v>9</v>
      </c>
      <c r="R10" s="173">
        <f t="shared" si="9"/>
        <v>10</v>
      </c>
      <c r="S10" s="187">
        <f t="shared" si="1"/>
        <v>1417.5</v>
      </c>
      <c r="T10" s="188">
        <f t="shared" si="2"/>
        <v>1645.5</v>
      </c>
      <c r="U10" s="189">
        <f t="shared" si="3"/>
        <v>1719.5</v>
      </c>
      <c r="V10" s="188">
        <f t="shared" si="4"/>
        <v>1436</v>
      </c>
      <c r="W10" s="175">
        <f t="shared" si="5"/>
        <v>302</v>
      </c>
      <c r="X10" s="168">
        <f t="shared" si="6"/>
        <v>209.5</v>
      </c>
      <c r="Y10" s="180">
        <f t="shared" si="7"/>
        <v>0</v>
      </c>
    </row>
    <row r="11" spans="1:25" x14ac:dyDescent="0.25">
      <c r="A11" s="17"/>
      <c r="B11" s="177">
        <v>2</v>
      </c>
      <c r="C11" s="184">
        <v>1385</v>
      </c>
      <c r="D11" s="184">
        <v>1310</v>
      </c>
      <c r="E11" s="70">
        <v>1343</v>
      </c>
      <c r="F11" s="20"/>
      <c r="G11" s="20"/>
      <c r="H11" s="20"/>
      <c r="I11" s="20"/>
      <c r="J11" s="16"/>
      <c r="L11" s="180">
        <v>6</v>
      </c>
      <c r="M11" s="5">
        <f t="shared" si="0"/>
        <v>4</v>
      </c>
      <c r="N11" s="173">
        <f t="shared" si="0"/>
        <v>4</v>
      </c>
      <c r="P11" s="167">
        <v>6</v>
      </c>
      <c r="Q11" s="167">
        <f t="shared" si="8"/>
        <v>11</v>
      </c>
      <c r="R11" s="173">
        <f t="shared" si="9"/>
        <v>12</v>
      </c>
      <c r="S11" s="187">
        <f t="shared" si="1"/>
        <v>1557.5</v>
      </c>
      <c r="T11" s="188">
        <f t="shared" si="2"/>
        <v>1768</v>
      </c>
      <c r="U11" s="189">
        <f t="shared" si="3"/>
        <v>1503.5</v>
      </c>
      <c r="V11" s="188">
        <f t="shared" si="4"/>
        <v>1432.5</v>
      </c>
      <c r="W11" s="175">
        <f t="shared" si="5"/>
        <v>54</v>
      </c>
      <c r="X11" s="168">
        <f t="shared" si="6"/>
        <v>335.5</v>
      </c>
      <c r="Y11" s="180">
        <f t="shared" si="7"/>
        <v>1</v>
      </c>
    </row>
    <row r="12" spans="1:25" x14ac:dyDescent="0.25">
      <c r="A12" s="17"/>
      <c r="B12" s="177">
        <v>3</v>
      </c>
      <c r="C12" s="184">
        <v>1813</v>
      </c>
      <c r="D12" s="184">
        <v>1840</v>
      </c>
      <c r="E12" s="70">
        <v>1264</v>
      </c>
      <c r="F12" s="20"/>
      <c r="G12" s="20"/>
      <c r="H12" s="20"/>
      <c r="I12" s="20"/>
      <c r="J12" s="16"/>
      <c r="L12" s="180">
        <v>7</v>
      </c>
      <c r="M12" s="5">
        <f t="shared" si="0"/>
        <v>13</v>
      </c>
      <c r="N12" s="173">
        <f t="shared" si="0"/>
        <v>2</v>
      </c>
      <c r="P12" s="167">
        <v>7</v>
      </c>
      <c r="Q12" s="167">
        <f t="shared" si="8"/>
        <v>13</v>
      </c>
      <c r="R12" s="173">
        <f t="shared" si="9"/>
        <v>14</v>
      </c>
      <c r="S12" s="187">
        <f t="shared" si="1"/>
        <v>1646.5</v>
      </c>
      <c r="T12" s="188">
        <f t="shared" si="2"/>
        <v>1902.5</v>
      </c>
      <c r="U12" s="189">
        <f t="shared" si="3"/>
        <v>1342</v>
      </c>
      <c r="V12" s="188">
        <f t="shared" si="4"/>
        <v>1485</v>
      </c>
      <c r="W12" s="175">
        <f t="shared" si="5"/>
        <v>304.5</v>
      </c>
      <c r="X12" s="168">
        <f t="shared" si="6"/>
        <v>417.5</v>
      </c>
      <c r="Y12" s="180">
        <f t="shared" si="7"/>
        <v>1</v>
      </c>
    </row>
    <row r="13" spans="1:25" x14ac:dyDescent="0.25">
      <c r="A13" s="17"/>
      <c r="B13" s="177">
        <v>4</v>
      </c>
      <c r="C13" s="184">
        <v>1800</v>
      </c>
      <c r="D13" s="184">
        <v>1026</v>
      </c>
      <c r="E13" s="70">
        <v>1391</v>
      </c>
      <c r="F13" s="20"/>
      <c r="G13" s="20"/>
      <c r="H13" s="20"/>
      <c r="I13" s="20"/>
      <c r="J13" s="16"/>
      <c r="L13" s="180">
        <v>8</v>
      </c>
      <c r="M13" s="5">
        <f t="shared" si="0"/>
        <v>7</v>
      </c>
      <c r="N13" s="173">
        <f t="shared" si="0"/>
        <v>11</v>
      </c>
      <c r="P13" s="167">
        <v>8</v>
      </c>
      <c r="Q13" s="167">
        <f t="shared" si="8"/>
        <v>15</v>
      </c>
      <c r="R13" s="173">
        <f t="shared" si="9"/>
        <v>16</v>
      </c>
      <c r="S13" s="187">
        <f t="shared" si="1"/>
        <v>1804</v>
      </c>
      <c r="T13" s="188">
        <f t="shared" si="2"/>
        <v>1971.5</v>
      </c>
      <c r="U13" s="189">
        <f t="shared" si="3"/>
        <v>1421.5</v>
      </c>
      <c r="V13" s="188">
        <f t="shared" si="4"/>
        <v>1589.5</v>
      </c>
      <c r="W13" s="175">
        <f t="shared" si="5"/>
        <v>382.5</v>
      </c>
      <c r="X13" s="168">
        <f t="shared" si="6"/>
        <v>382</v>
      </c>
      <c r="Y13" s="180">
        <f t="shared" si="7"/>
        <v>0</v>
      </c>
    </row>
    <row r="14" spans="1:25" x14ac:dyDescent="0.25">
      <c r="A14" s="17"/>
      <c r="B14" s="177">
        <v>5</v>
      </c>
      <c r="C14" s="184">
        <v>1912</v>
      </c>
      <c r="D14" s="184">
        <v>2048</v>
      </c>
      <c r="E14" s="70">
        <v>1664</v>
      </c>
      <c r="F14" s="20"/>
      <c r="G14" s="20"/>
      <c r="H14" s="20"/>
      <c r="I14" s="20"/>
      <c r="J14" s="16"/>
      <c r="L14" s="180">
        <v>9</v>
      </c>
      <c r="M14" s="5">
        <f t="shared" si="0"/>
        <v>16</v>
      </c>
      <c r="N14" s="173">
        <f t="shared" si="0"/>
        <v>15</v>
      </c>
      <c r="P14" s="167">
        <v>9</v>
      </c>
      <c r="Q14" s="167">
        <f t="shared" si="8"/>
        <v>17</v>
      </c>
      <c r="R14" s="173">
        <f t="shared" si="9"/>
        <v>18</v>
      </c>
      <c r="S14" s="187">
        <f t="shared" si="1"/>
        <v>1847.5</v>
      </c>
      <c r="T14" s="188">
        <f t="shared" si="2"/>
        <v>2025.5</v>
      </c>
      <c r="U14" s="189">
        <f t="shared" si="3"/>
        <v>1418.5</v>
      </c>
      <c r="V14" s="188">
        <f t="shared" si="4"/>
        <v>1659</v>
      </c>
      <c r="W14" s="175">
        <f t="shared" si="5"/>
        <v>429</v>
      </c>
      <c r="X14" s="168">
        <f t="shared" si="6"/>
        <v>366.5</v>
      </c>
      <c r="Y14" s="180">
        <f t="shared" si="7"/>
        <v>0</v>
      </c>
    </row>
    <row r="15" spans="1:25" x14ac:dyDescent="0.25">
      <c r="A15" s="17"/>
      <c r="B15" s="177">
        <v>6</v>
      </c>
      <c r="C15" s="184">
        <v>1100</v>
      </c>
      <c r="D15" s="184">
        <v>1201</v>
      </c>
      <c r="E15" s="70">
        <v>1423</v>
      </c>
      <c r="F15" s="20"/>
      <c r="G15" s="20"/>
      <c r="H15" s="20"/>
      <c r="I15" s="20"/>
      <c r="J15" s="16"/>
      <c r="L15" s="180">
        <v>10</v>
      </c>
      <c r="M15" s="5">
        <f t="shared" si="0"/>
        <v>1</v>
      </c>
      <c r="N15" s="173">
        <f t="shared" si="0"/>
        <v>14</v>
      </c>
      <c r="P15" s="169">
        <v>10</v>
      </c>
      <c r="Q15" s="169">
        <f t="shared" si="8"/>
        <v>19</v>
      </c>
      <c r="R15" s="174">
        <f t="shared" si="9"/>
        <v>20</v>
      </c>
      <c r="S15" s="190">
        <f t="shared" si="1"/>
        <v>1898</v>
      </c>
      <c r="T15" s="191">
        <f t="shared" si="2"/>
        <v>2113</v>
      </c>
      <c r="U15" s="192">
        <f t="shared" si="3"/>
        <v>1474</v>
      </c>
      <c r="V15" s="191">
        <f t="shared" si="4"/>
        <v>1507.5</v>
      </c>
      <c r="W15" s="176">
        <f t="shared" si="5"/>
        <v>424</v>
      </c>
      <c r="X15" s="170">
        <f t="shared" si="6"/>
        <v>605.5</v>
      </c>
      <c r="Y15" s="181">
        <f t="shared" si="7"/>
        <v>1</v>
      </c>
    </row>
    <row r="16" spans="1:25" x14ac:dyDescent="0.25">
      <c r="A16" s="17"/>
      <c r="B16" s="177">
        <v>7</v>
      </c>
      <c r="C16" s="184">
        <v>1585</v>
      </c>
      <c r="D16" s="184">
        <v>910</v>
      </c>
      <c r="E16" s="70">
        <v>1417</v>
      </c>
      <c r="F16" s="20"/>
      <c r="G16" s="20"/>
      <c r="H16" s="20"/>
      <c r="I16" s="20"/>
      <c r="J16" s="16"/>
      <c r="L16" s="180">
        <v>11</v>
      </c>
      <c r="M16" s="5">
        <f t="shared" si="0"/>
        <v>5</v>
      </c>
      <c r="N16" s="173">
        <f t="shared" si="0"/>
        <v>17</v>
      </c>
      <c r="W16" s="186"/>
      <c r="X16" s="186"/>
    </row>
    <row r="17" spans="1:25" x14ac:dyDescent="0.25">
      <c r="A17" s="17"/>
      <c r="B17" s="177">
        <v>8</v>
      </c>
      <c r="C17" s="184">
        <v>1347</v>
      </c>
      <c r="D17" s="184">
        <v>1696</v>
      </c>
      <c r="E17" s="70">
        <v>1601</v>
      </c>
      <c r="F17" s="20"/>
      <c r="G17" s="20"/>
      <c r="H17" s="20"/>
      <c r="I17" s="20"/>
      <c r="J17" s="16"/>
      <c r="L17" s="180">
        <v>12</v>
      </c>
      <c r="M17" s="5">
        <f t="shared" si="0"/>
        <v>18</v>
      </c>
      <c r="N17" s="173">
        <f t="shared" si="0"/>
        <v>20</v>
      </c>
      <c r="V17" s="171" t="s">
        <v>727</v>
      </c>
      <c r="W17" s="202">
        <f>SUM(W6:W15)</f>
        <v>3214.5</v>
      </c>
      <c r="X17" s="196">
        <f>SUM(X6:X15)</f>
        <v>3386</v>
      </c>
      <c r="Y17" s="109">
        <f>SUM(Y6:Y15)</f>
        <v>4</v>
      </c>
    </row>
    <row r="18" spans="1:25" x14ac:dyDescent="0.25">
      <c r="A18" s="17"/>
      <c r="B18" s="177">
        <v>9</v>
      </c>
      <c r="C18" s="184">
        <v>1808</v>
      </c>
      <c r="D18" s="184">
        <v>1945</v>
      </c>
      <c r="E18" s="70">
        <v>1452</v>
      </c>
      <c r="F18" s="20"/>
      <c r="G18" s="20"/>
      <c r="H18" s="20"/>
      <c r="I18" s="20"/>
      <c r="J18" s="16"/>
      <c r="L18" s="180">
        <v>13</v>
      </c>
      <c r="M18" s="5">
        <f t="shared" si="0"/>
        <v>19</v>
      </c>
      <c r="N18" s="173">
        <f t="shared" si="0"/>
        <v>7</v>
      </c>
    </row>
    <row r="19" spans="1:25" x14ac:dyDescent="0.25">
      <c r="A19" s="17"/>
      <c r="B19" s="177">
        <v>10</v>
      </c>
      <c r="C19" s="184">
        <v>1005</v>
      </c>
      <c r="D19" s="184">
        <v>1903</v>
      </c>
      <c r="E19" s="70">
        <v>1474</v>
      </c>
      <c r="F19" s="20"/>
      <c r="G19" s="20"/>
      <c r="H19" s="20"/>
      <c r="I19" s="20"/>
      <c r="J19" s="16"/>
      <c r="L19" s="180">
        <v>14</v>
      </c>
      <c r="M19" s="5">
        <f t="shared" si="0"/>
        <v>14</v>
      </c>
      <c r="N19" s="173">
        <f t="shared" si="0"/>
        <v>9</v>
      </c>
      <c r="V19" s="182" t="s">
        <v>735</v>
      </c>
      <c r="W19" s="195">
        <f>U15-U6</f>
        <v>-11</v>
      </c>
      <c r="X19" s="196">
        <f>V15-V6</f>
        <v>38.5</v>
      </c>
    </row>
    <row r="20" spans="1:25" x14ac:dyDescent="0.25">
      <c r="A20" s="17"/>
      <c r="B20" s="177">
        <v>11</v>
      </c>
      <c r="C20" s="184">
        <v>1247</v>
      </c>
      <c r="D20" s="184">
        <v>2003</v>
      </c>
      <c r="E20" s="70">
        <v>1654</v>
      </c>
      <c r="F20" s="20"/>
      <c r="G20" s="20"/>
      <c r="H20" s="20"/>
      <c r="I20" s="20"/>
      <c r="J20" s="16"/>
      <c r="L20" s="180">
        <v>15</v>
      </c>
      <c r="M20" s="5">
        <f t="shared" si="0"/>
        <v>9</v>
      </c>
      <c r="N20" s="173">
        <f t="shared" si="0"/>
        <v>8</v>
      </c>
    </row>
    <row r="21" spans="1:25" x14ac:dyDescent="0.25">
      <c r="A21" s="17"/>
      <c r="B21" s="177">
        <v>12</v>
      </c>
      <c r="C21" s="184">
        <v>1882</v>
      </c>
      <c r="D21" s="184">
        <v>2177</v>
      </c>
      <c r="E21" s="70">
        <v>1573</v>
      </c>
      <c r="F21" s="20"/>
      <c r="G21" s="20"/>
      <c r="H21" s="20"/>
      <c r="I21" s="20"/>
      <c r="J21" s="16"/>
      <c r="L21" s="180">
        <v>16</v>
      </c>
      <c r="M21" s="5">
        <f t="shared" si="0"/>
        <v>2</v>
      </c>
      <c r="N21" s="173">
        <f t="shared" si="0"/>
        <v>13</v>
      </c>
    </row>
    <row r="22" spans="1:25" x14ac:dyDescent="0.25">
      <c r="A22" s="17"/>
      <c r="B22" s="177">
        <v>13</v>
      </c>
      <c r="C22" s="184">
        <v>1884</v>
      </c>
      <c r="D22" s="184">
        <v>1357</v>
      </c>
      <c r="E22" s="70">
        <v>1284</v>
      </c>
      <c r="F22" s="20"/>
      <c r="G22" s="20"/>
      <c r="H22" s="20"/>
      <c r="I22" s="20"/>
      <c r="J22" s="16"/>
      <c r="L22" s="180">
        <v>17</v>
      </c>
      <c r="M22" s="5">
        <f t="shared" si="0"/>
        <v>6</v>
      </c>
      <c r="N22" s="173">
        <f t="shared" si="0"/>
        <v>10</v>
      </c>
    </row>
    <row r="23" spans="1:25" x14ac:dyDescent="0.25">
      <c r="A23" s="17"/>
      <c r="B23" s="177">
        <v>14</v>
      </c>
      <c r="C23" s="184">
        <v>1708</v>
      </c>
      <c r="D23" s="184">
        <v>1612</v>
      </c>
      <c r="E23" s="70">
        <v>1267</v>
      </c>
      <c r="F23" s="20"/>
      <c r="G23" s="20"/>
      <c r="H23" s="20"/>
      <c r="I23" s="20"/>
      <c r="J23" s="16"/>
      <c r="L23" s="180">
        <v>18</v>
      </c>
      <c r="M23" s="5">
        <f t="shared" si="0"/>
        <v>11</v>
      </c>
      <c r="N23" s="173">
        <f t="shared" si="0"/>
        <v>19</v>
      </c>
    </row>
    <row r="24" spans="1:25" x14ac:dyDescent="0.25">
      <c r="A24" s="17"/>
      <c r="B24" s="177">
        <v>15</v>
      </c>
      <c r="C24" s="184">
        <v>1394</v>
      </c>
      <c r="D24" s="184">
        <v>1600</v>
      </c>
      <c r="E24" s="70">
        <v>1712</v>
      </c>
      <c r="F24" s="20"/>
      <c r="G24" s="20"/>
      <c r="H24" s="20"/>
      <c r="I24" s="20"/>
      <c r="J24" s="16"/>
      <c r="L24" s="180">
        <v>19</v>
      </c>
      <c r="M24" s="5">
        <f t="shared" si="0"/>
        <v>12</v>
      </c>
      <c r="N24" s="173">
        <f t="shared" si="0"/>
        <v>5</v>
      </c>
    </row>
    <row r="25" spans="1:25" x14ac:dyDescent="0.25">
      <c r="A25" s="17"/>
      <c r="B25" s="177">
        <v>16</v>
      </c>
      <c r="C25" s="184">
        <v>1067</v>
      </c>
      <c r="D25" s="184">
        <v>1902</v>
      </c>
      <c r="E25" s="70">
        <v>1496</v>
      </c>
      <c r="F25" s="20"/>
      <c r="G25" s="20"/>
      <c r="H25" s="20"/>
      <c r="I25" s="20"/>
      <c r="J25" s="16"/>
      <c r="L25" s="181">
        <v>20</v>
      </c>
      <c r="M25" s="179">
        <f t="shared" si="0"/>
        <v>10</v>
      </c>
      <c r="N25" s="174">
        <f t="shared" si="0"/>
        <v>16</v>
      </c>
    </row>
    <row r="26" spans="1:25" x14ac:dyDescent="0.25">
      <c r="A26" s="17"/>
      <c r="B26" s="177">
        <v>17</v>
      </c>
      <c r="C26" s="184">
        <v>1259</v>
      </c>
      <c r="D26" s="184">
        <v>1679</v>
      </c>
      <c r="E26" s="70">
        <v>1605</v>
      </c>
      <c r="F26" s="20"/>
      <c r="G26" s="20"/>
      <c r="H26" s="20"/>
      <c r="I26" s="20"/>
      <c r="J26" s="16"/>
    </row>
    <row r="27" spans="1:25" x14ac:dyDescent="0.25">
      <c r="A27" s="17"/>
      <c r="B27" s="177">
        <v>18</v>
      </c>
      <c r="C27" s="184">
        <v>1531</v>
      </c>
      <c r="D27" s="184">
        <v>2049</v>
      </c>
      <c r="E27" s="70">
        <v>1442</v>
      </c>
      <c r="F27" s="20"/>
      <c r="G27" s="20"/>
      <c r="H27" s="20"/>
      <c r="I27" s="20"/>
      <c r="J27" s="16"/>
      <c r="K27" t="s">
        <v>83</v>
      </c>
      <c r="L27" s="51" t="s">
        <v>724</v>
      </c>
    </row>
    <row r="28" spans="1:25" x14ac:dyDescent="0.25">
      <c r="A28" s="17"/>
      <c r="B28" s="177">
        <v>19</v>
      </c>
      <c r="C28" s="184">
        <v>1584</v>
      </c>
      <c r="D28" s="184">
        <v>1301</v>
      </c>
      <c r="E28" s="70">
        <v>1565</v>
      </c>
      <c r="F28" s="20"/>
      <c r="G28" s="20"/>
      <c r="H28" s="20"/>
      <c r="I28" s="20"/>
      <c r="J28" s="16"/>
      <c r="L28" t="s">
        <v>780</v>
      </c>
    </row>
    <row r="29" spans="1:25" x14ac:dyDescent="0.25">
      <c r="A29" s="17"/>
      <c r="B29" s="178">
        <v>20</v>
      </c>
      <c r="C29" s="185">
        <v>1441</v>
      </c>
      <c r="D29" s="185">
        <v>1998</v>
      </c>
      <c r="E29" s="72">
        <v>1727</v>
      </c>
      <c r="F29" s="20"/>
      <c r="G29" s="20"/>
      <c r="H29" s="20"/>
      <c r="I29" s="20"/>
      <c r="J29" s="16"/>
      <c r="L29" t="s">
        <v>781</v>
      </c>
    </row>
    <row r="30" spans="1:25" x14ac:dyDescent="0.25">
      <c r="A30" s="17"/>
      <c r="B30" s="20"/>
      <c r="C30" s="20"/>
      <c r="D30" s="20"/>
      <c r="E30" s="20"/>
      <c r="F30" s="20"/>
      <c r="G30" s="20"/>
      <c r="H30" s="20"/>
      <c r="I30" s="20"/>
      <c r="J30" s="16"/>
    </row>
    <row r="31" spans="1:25" x14ac:dyDescent="0.25">
      <c r="A31" s="89" t="s">
        <v>55</v>
      </c>
      <c r="B31" s="20" t="s">
        <v>737</v>
      </c>
      <c r="C31" s="20"/>
      <c r="D31" s="20"/>
      <c r="E31" s="20"/>
      <c r="F31" s="20"/>
      <c r="G31" s="20"/>
      <c r="H31" s="20"/>
      <c r="I31" s="20"/>
      <c r="J31" s="16"/>
      <c r="L31" s="51" t="s">
        <v>728</v>
      </c>
    </row>
    <row r="32" spans="1:25" x14ac:dyDescent="0.25">
      <c r="A32" s="17"/>
      <c r="B32" s="20"/>
      <c r="C32" s="20"/>
      <c r="D32" s="20"/>
      <c r="E32" s="20"/>
      <c r="F32" s="20"/>
      <c r="G32" s="20"/>
      <c r="H32" s="20"/>
      <c r="I32" s="20"/>
      <c r="J32" s="16"/>
      <c r="L32" t="s">
        <v>729</v>
      </c>
    </row>
    <row r="33" spans="1:12" ht="15.75" thickBot="1" x14ac:dyDescent="0.3">
      <c r="A33" s="21"/>
      <c r="B33" s="22" t="s">
        <v>723</v>
      </c>
      <c r="C33" s="22"/>
      <c r="D33" s="22"/>
      <c r="E33" s="22"/>
      <c r="F33" s="22"/>
      <c r="G33" s="22"/>
      <c r="H33" s="22"/>
      <c r="I33" s="22"/>
      <c r="J33" s="23"/>
      <c r="L33" t="s">
        <v>730</v>
      </c>
    </row>
    <row r="35" spans="1:12" x14ac:dyDescent="0.25">
      <c r="L35" s="51" t="s">
        <v>731</v>
      </c>
    </row>
    <row r="36" spans="1:12" x14ac:dyDescent="0.25">
      <c r="L36" t="s">
        <v>732</v>
      </c>
    </row>
    <row r="37" spans="1:12" x14ac:dyDescent="0.25">
      <c r="L37" t="s">
        <v>733</v>
      </c>
    </row>
    <row r="39" spans="1:12" x14ac:dyDescent="0.25">
      <c r="L39" t="s">
        <v>734</v>
      </c>
    </row>
  </sheetData>
  <mergeCells count="1">
    <mergeCell ref="I1:J1"/>
  </mergeCells>
  <hyperlinks>
    <hyperlink ref="I1" location="TOC!A1" display="Return to TOC" xr:uid="{57C43772-A690-466D-989A-186D3F1E716D}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ACFBB-A459-4AA3-B452-88562541D447}">
  <dimension ref="A1:Z54"/>
  <sheetViews>
    <sheetView workbookViewId="0"/>
  </sheetViews>
  <sheetFormatPr defaultRowHeight="15" x14ac:dyDescent="0.25"/>
  <cols>
    <col min="1" max="1" width="14" bestFit="1" customWidth="1"/>
    <col min="10" max="10" width="5.5703125" customWidth="1"/>
    <col min="11" max="11" width="3.7109375" customWidth="1"/>
    <col min="21" max="21" width="10.28515625" bestFit="1" customWidth="1"/>
  </cols>
  <sheetData>
    <row r="1" spans="1:26" x14ac:dyDescent="0.25">
      <c r="A1" s="6" t="s">
        <v>5</v>
      </c>
      <c r="B1" s="7" t="s">
        <v>679</v>
      </c>
      <c r="C1" s="7"/>
      <c r="D1" s="8"/>
      <c r="E1" s="8"/>
      <c r="F1" s="8"/>
      <c r="G1" s="8"/>
      <c r="H1" s="8"/>
      <c r="I1" s="281" t="s">
        <v>6</v>
      </c>
      <c r="J1" s="282"/>
      <c r="K1" s="9"/>
      <c r="L1" s="10" t="s">
        <v>7</v>
      </c>
    </row>
    <row r="2" spans="1:26" x14ac:dyDescent="0.25">
      <c r="A2" s="11" t="s">
        <v>8</v>
      </c>
      <c r="B2" s="18" t="s">
        <v>482</v>
      </c>
      <c r="C2" s="18"/>
      <c r="D2" s="18"/>
      <c r="E2" s="18"/>
      <c r="F2" s="18"/>
      <c r="G2" s="18"/>
      <c r="H2" s="18"/>
      <c r="I2" s="18"/>
      <c r="J2" s="12"/>
      <c r="K2" t="s">
        <v>35</v>
      </c>
      <c r="L2" t="s">
        <v>738</v>
      </c>
    </row>
    <row r="3" spans="1:26" x14ac:dyDescent="0.25">
      <c r="A3" s="11" t="s">
        <v>9</v>
      </c>
      <c r="B3" s="20" t="s">
        <v>703</v>
      </c>
      <c r="C3" s="18"/>
      <c r="D3" s="18"/>
      <c r="E3" s="18"/>
      <c r="F3" s="18"/>
      <c r="G3" s="18"/>
      <c r="H3" s="18"/>
      <c r="I3" s="18"/>
      <c r="J3" s="12"/>
      <c r="V3" s="223" t="s">
        <v>743</v>
      </c>
      <c r="W3" s="224"/>
      <c r="X3" s="225"/>
    </row>
    <row r="4" spans="1:26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L4" s="182" t="s">
        <v>705</v>
      </c>
      <c r="M4" s="182" t="s">
        <v>739</v>
      </c>
      <c r="N4" s="109" t="s">
        <v>740</v>
      </c>
      <c r="P4" s="209" t="s">
        <v>716</v>
      </c>
      <c r="Q4" s="171" t="s">
        <v>717</v>
      </c>
      <c r="R4" s="109" t="s">
        <v>718</v>
      </c>
      <c r="S4" s="171" t="s">
        <v>719</v>
      </c>
      <c r="T4" s="172" t="s">
        <v>720</v>
      </c>
      <c r="U4" s="182" t="s">
        <v>741</v>
      </c>
      <c r="V4" s="209" t="s">
        <v>707</v>
      </c>
      <c r="W4" s="212" t="s">
        <v>708</v>
      </c>
      <c r="X4" s="213" t="s">
        <v>355</v>
      </c>
      <c r="Y4" s="182" t="s">
        <v>725</v>
      </c>
      <c r="Z4" s="109" t="s">
        <v>726</v>
      </c>
    </row>
    <row r="5" spans="1:26" x14ac:dyDescent="0.25">
      <c r="A5" s="15" t="s">
        <v>10</v>
      </c>
      <c r="B5" s="20" t="s">
        <v>709</v>
      </c>
      <c r="C5" s="20"/>
      <c r="D5" s="20"/>
      <c r="E5" s="20"/>
      <c r="F5" s="20"/>
      <c r="G5" s="20"/>
      <c r="H5" s="20"/>
      <c r="I5" s="20"/>
      <c r="J5" s="16"/>
      <c r="L5" s="180">
        <v>1</v>
      </c>
      <c r="M5" s="180">
        <f>C10/D10</f>
        <v>1.3177339901477831</v>
      </c>
      <c r="N5" s="173">
        <f>_xlfn.RANK.AVG(M5,$M$5:$M$24,1)</f>
        <v>17</v>
      </c>
      <c r="P5" s="210">
        <v>1</v>
      </c>
      <c r="Q5" s="167">
        <v>1</v>
      </c>
      <c r="R5" s="173">
        <v>2</v>
      </c>
      <c r="S5" s="175">
        <f>(SUMIFS($C$10:$C$29,$N$5:$N$24,Q5)+SUMIFS($C$10:$C$29,$N$5:$N$24,R5))/2</f>
        <v>1036</v>
      </c>
      <c r="T5" s="139">
        <f>(SUMIFS($D$10:$D$29,$N$5:$N$24,Q5)+SUMIFS($D$10:$D$29,$N$5:$N$24,R5))/2</f>
        <v>1902.5</v>
      </c>
      <c r="U5" s="199">
        <f>(SUMIFS($E$10:$E$29,$N$5:$N$24,Q5)+SUMIFS($E$10:$E$29,$N$5:$N$24,R5))/2</f>
        <v>1485</v>
      </c>
      <c r="V5" s="214">
        <f>S5/S$15</f>
        <v>0.69045952880802419</v>
      </c>
      <c r="W5" s="215">
        <f>T5/T$15</f>
        <v>1.1755074299484074</v>
      </c>
      <c r="X5" s="216">
        <f>U5/U$15</f>
        <v>0.99414225941422596</v>
      </c>
      <c r="Y5" s="206">
        <f>ABS(V5-$X5)</f>
        <v>0.30368273060620177</v>
      </c>
      <c r="Z5" s="203">
        <f>ABS(W5-$X5)</f>
        <v>0.18136517053418144</v>
      </c>
    </row>
    <row r="6" spans="1:26" x14ac:dyDescent="0.25">
      <c r="A6" s="17"/>
      <c r="B6" s="20" t="s">
        <v>710</v>
      </c>
      <c r="C6" s="20"/>
      <c r="D6" s="20"/>
      <c r="E6" s="20"/>
      <c r="F6" s="20"/>
      <c r="G6" s="20"/>
      <c r="H6" s="20"/>
      <c r="I6" s="20"/>
      <c r="J6" s="16"/>
      <c r="L6" s="180">
        <v>2</v>
      </c>
      <c r="M6" s="180">
        <f t="shared" ref="M6:M24" si="0">C11/D11</f>
        <v>1.0572519083969465</v>
      </c>
      <c r="N6" s="173">
        <f t="shared" ref="N6:N24" si="1">_xlfn.RANK.AVG(M6,$M$5:$M$24,1)</f>
        <v>14</v>
      </c>
      <c r="P6" s="210">
        <v>2</v>
      </c>
      <c r="Q6" s="167">
        <f>Q5+2</f>
        <v>3</v>
      </c>
      <c r="R6" s="173">
        <f>R5+2</f>
        <v>4</v>
      </c>
      <c r="S6" s="175">
        <f t="shared" ref="S6:S14" si="2">(SUMIFS($C$10:$C$29,$N$5:$N$24,Q6)+SUMIFS($C$10:$C$29,$N$5:$N$24,R6))/2</f>
        <v>1344</v>
      </c>
      <c r="T6" s="139">
        <f t="shared" ref="T6:T14" si="3">(SUMIFS($D$10:$D$29,$N$5:$N$24,Q6)+SUMIFS($D$10:$D$29,$N$5:$N$24,R6))/2</f>
        <v>2000.5</v>
      </c>
      <c r="U6" s="199">
        <f t="shared" ref="U6:U14" si="4">(SUMIFS($E$10:$E$29,$N$5:$N$24,Q6)+SUMIFS($E$10:$E$29,$N$5:$N$24,R6))/2</f>
        <v>1690.5</v>
      </c>
      <c r="V6" s="217">
        <f t="shared" ref="V6:V14" si="5">S6/S$15</f>
        <v>0.8957312806158152</v>
      </c>
      <c r="W6" s="218">
        <f t="shared" ref="W6:W14" si="6">T6/T$15</f>
        <v>1.2360591924372084</v>
      </c>
      <c r="X6" s="219">
        <f t="shared" ref="X6:X14" si="7">U6/U$15</f>
        <v>1.1317154811715482</v>
      </c>
      <c r="Y6" s="207">
        <f t="shared" ref="Y6:Y14" si="8">ABS(V6-$X6)</f>
        <v>0.23598420055573299</v>
      </c>
      <c r="Z6" s="204">
        <f t="shared" ref="Z6:Z14" si="9">ABS(W6-$X6)</f>
        <v>0.10434371126566022</v>
      </c>
    </row>
    <row r="7" spans="1:26" x14ac:dyDescent="0.25">
      <c r="A7" s="17"/>
      <c r="B7" s="20"/>
      <c r="C7" s="20"/>
      <c r="D7" s="20"/>
      <c r="E7" s="20"/>
      <c r="F7" s="20"/>
      <c r="G7" s="20"/>
      <c r="H7" s="20"/>
      <c r="I7" s="20"/>
      <c r="J7" s="16"/>
      <c r="L7" s="180">
        <v>3</v>
      </c>
      <c r="M7" s="180">
        <f t="shared" si="0"/>
        <v>0.98532608695652169</v>
      </c>
      <c r="N7" s="173">
        <f t="shared" si="1"/>
        <v>13</v>
      </c>
      <c r="P7" s="210">
        <v>3</v>
      </c>
      <c r="Q7" s="167">
        <f t="shared" ref="Q7:R14" si="10">Q6+2</f>
        <v>5</v>
      </c>
      <c r="R7" s="173">
        <f t="shared" si="10"/>
        <v>6</v>
      </c>
      <c r="S7" s="175">
        <f t="shared" si="2"/>
        <v>1395</v>
      </c>
      <c r="T7" s="139">
        <f t="shared" si="3"/>
        <v>1864</v>
      </c>
      <c r="U7" s="199">
        <f t="shared" si="4"/>
        <v>1523.5</v>
      </c>
      <c r="V7" s="217">
        <f t="shared" si="5"/>
        <v>0.92972108367489747</v>
      </c>
      <c r="W7" s="218">
        <f t="shared" si="6"/>
        <v>1.1517192375420926</v>
      </c>
      <c r="X7" s="219">
        <f t="shared" si="7"/>
        <v>1.0199163179916317</v>
      </c>
      <c r="Y7" s="207">
        <f t="shared" si="8"/>
        <v>9.0195234316734263E-2</v>
      </c>
      <c r="Z7" s="204">
        <f t="shared" si="9"/>
        <v>0.13180291955046086</v>
      </c>
    </row>
    <row r="8" spans="1:26" x14ac:dyDescent="0.25">
      <c r="A8" s="17"/>
      <c r="B8" s="20"/>
      <c r="C8" s="40" t="s">
        <v>706</v>
      </c>
      <c r="D8" s="40"/>
      <c r="E8" s="40"/>
      <c r="F8" s="20"/>
      <c r="G8" s="20"/>
      <c r="H8" s="20"/>
      <c r="I8" s="20"/>
      <c r="J8" s="16"/>
      <c r="L8" s="180">
        <v>4</v>
      </c>
      <c r="M8" s="180">
        <f t="shared" si="0"/>
        <v>1.9366471734892787</v>
      </c>
      <c r="N8" s="173">
        <f t="shared" si="1"/>
        <v>20</v>
      </c>
      <c r="P8" s="210">
        <v>4</v>
      </c>
      <c r="Q8" s="167">
        <f t="shared" si="10"/>
        <v>7</v>
      </c>
      <c r="R8" s="173">
        <f t="shared" si="10"/>
        <v>8</v>
      </c>
      <c r="S8" s="175">
        <f t="shared" si="2"/>
        <v>1614.5</v>
      </c>
      <c r="T8" s="139">
        <f t="shared" si="3"/>
        <v>1936.5</v>
      </c>
      <c r="U8" s="199">
        <f t="shared" si="4"/>
        <v>1587</v>
      </c>
      <c r="V8" s="217">
        <f t="shared" si="5"/>
        <v>1.0760105301742811</v>
      </c>
      <c r="W8" s="218">
        <f t="shared" si="6"/>
        <v>1.1965151842812567</v>
      </c>
      <c r="X8" s="219">
        <f t="shared" si="7"/>
        <v>1.0624267782426777</v>
      </c>
      <c r="Y8" s="207">
        <f t="shared" si="8"/>
        <v>1.3583751931603327E-2</v>
      </c>
      <c r="Z8" s="204">
        <f t="shared" si="9"/>
        <v>0.13408840603857897</v>
      </c>
    </row>
    <row r="9" spans="1:26" x14ac:dyDescent="0.25">
      <c r="A9" s="17"/>
      <c r="B9" s="183" t="s">
        <v>705</v>
      </c>
      <c r="C9" s="38" t="s">
        <v>707</v>
      </c>
      <c r="D9" s="38" t="s">
        <v>708</v>
      </c>
      <c r="E9" s="68" t="s">
        <v>355</v>
      </c>
      <c r="F9" s="20"/>
      <c r="G9" s="20"/>
      <c r="H9" s="20"/>
      <c r="I9" s="20"/>
      <c r="J9" s="16"/>
      <c r="L9" s="180">
        <v>5</v>
      </c>
      <c r="M9" s="180">
        <f t="shared" si="0"/>
        <v>0.93359375</v>
      </c>
      <c r="N9" s="173">
        <f t="shared" si="1"/>
        <v>12</v>
      </c>
      <c r="P9" s="210">
        <v>5</v>
      </c>
      <c r="Q9" s="167">
        <f t="shared" si="10"/>
        <v>9</v>
      </c>
      <c r="R9" s="173">
        <f t="shared" si="10"/>
        <v>10</v>
      </c>
      <c r="S9" s="175">
        <f t="shared" si="2"/>
        <v>1247</v>
      </c>
      <c r="T9" s="139">
        <f t="shared" si="3"/>
        <v>1400.5</v>
      </c>
      <c r="U9" s="199">
        <f t="shared" si="4"/>
        <v>1567.5</v>
      </c>
      <c r="V9" s="217">
        <f t="shared" si="5"/>
        <v>0.831084008130894</v>
      </c>
      <c r="W9" s="218">
        <f t="shared" si="6"/>
        <v>0.86533411597516141</v>
      </c>
      <c r="X9" s="219">
        <f t="shared" si="7"/>
        <v>1.0493723849372385</v>
      </c>
      <c r="Y9" s="207">
        <f t="shared" si="8"/>
        <v>0.2182883768063445</v>
      </c>
      <c r="Z9" s="204">
        <f t="shared" si="9"/>
        <v>0.18403826896207709</v>
      </c>
    </row>
    <row r="10" spans="1:26" x14ac:dyDescent="0.25">
      <c r="A10" s="17"/>
      <c r="B10" s="177">
        <v>1</v>
      </c>
      <c r="C10" s="184">
        <v>1070</v>
      </c>
      <c r="D10" s="184">
        <v>812</v>
      </c>
      <c r="E10" s="70">
        <v>1521</v>
      </c>
      <c r="F10" s="20"/>
      <c r="G10" s="20"/>
      <c r="H10" s="20"/>
      <c r="I10" s="20"/>
      <c r="J10" s="16"/>
      <c r="L10" s="180">
        <v>6</v>
      </c>
      <c r="M10" s="180">
        <f t="shared" si="0"/>
        <v>0.91590341382181517</v>
      </c>
      <c r="N10" s="173">
        <f t="shared" si="1"/>
        <v>10</v>
      </c>
      <c r="P10" s="210">
        <v>6</v>
      </c>
      <c r="Q10" s="167">
        <f t="shared" si="10"/>
        <v>11</v>
      </c>
      <c r="R10" s="173">
        <f t="shared" si="10"/>
        <v>12</v>
      </c>
      <c r="S10" s="175">
        <f t="shared" si="2"/>
        <v>1860</v>
      </c>
      <c r="T10" s="139">
        <f t="shared" si="3"/>
        <v>1996.5</v>
      </c>
      <c r="U10" s="199">
        <f t="shared" si="4"/>
        <v>1558</v>
      </c>
      <c r="V10" s="217">
        <f t="shared" si="5"/>
        <v>1.23962811156653</v>
      </c>
      <c r="W10" s="218">
        <f t="shared" si="6"/>
        <v>1.2335876919274613</v>
      </c>
      <c r="X10" s="219">
        <f t="shared" si="7"/>
        <v>1.0430125523012552</v>
      </c>
      <c r="Y10" s="207">
        <f t="shared" si="8"/>
        <v>0.19661555926527474</v>
      </c>
      <c r="Z10" s="204">
        <f t="shared" si="9"/>
        <v>0.19057513962620609</v>
      </c>
    </row>
    <row r="11" spans="1:26" x14ac:dyDescent="0.25">
      <c r="A11" s="17"/>
      <c r="B11" s="177">
        <v>2</v>
      </c>
      <c r="C11" s="184">
        <v>1385</v>
      </c>
      <c r="D11" s="184">
        <v>1310</v>
      </c>
      <c r="E11" s="70">
        <v>1343</v>
      </c>
      <c r="F11" s="20"/>
      <c r="G11" s="20"/>
      <c r="H11" s="20"/>
      <c r="I11" s="20"/>
      <c r="J11" s="16"/>
      <c r="L11" s="180">
        <v>7</v>
      </c>
      <c r="M11" s="180">
        <f t="shared" si="0"/>
        <v>1.7417582417582418</v>
      </c>
      <c r="N11" s="173">
        <f t="shared" si="1"/>
        <v>19</v>
      </c>
      <c r="P11" s="210">
        <v>7</v>
      </c>
      <c r="Q11" s="167">
        <f t="shared" si="10"/>
        <v>13</v>
      </c>
      <c r="R11" s="173">
        <f t="shared" si="10"/>
        <v>14</v>
      </c>
      <c r="S11" s="175">
        <f t="shared" si="2"/>
        <v>1599</v>
      </c>
      <c r="T11" s="139">
        <f t="shared" si="3"/>
        <v>1575</v>
      </c>
      <c r="U11" s="199">
        <f t="shared" si="4"/>
        <v>1303.5</v>
      </c>
      <c r="V11" s="217">
        <f t="shared" si="5"/>
        <v>1.0656802959112266</v>
      </c>
      <c r="W11" s="218">
        <f t="shared" si="6"/>
        <v>0.97315332571287338</v>
      </c>
      <c r="X11" s="219">
        <f t="shared" si="7"/>
        <v>0.87263598326359837</v>
      </c>
      <c r="Y11" s="207">
        <f t="shared" si="8"/>
        <v>0.19304431264762822</v>
      </c>
      <c r="Z11" s="204">
        <f t="shared" si="9"/>
        <v>0.10051734244927502</v>
      </c>
    </row>
    <row r="12" spans="1:26" x14ac:dyDescent="0.25">
      <c r="A12" s="17"/>
      <c r="B12" s="177">
        <v>3</v>
      </c>
      <c r="C12" s="184">
        <v>1813</v>
      </c>
      <c r="D12" s="184">
        <v>1840</v>
      </c>
      <c r="E12" s="70">
        <v>1264</v>
      </c>
      <c r="F12" s="20"/>
      <c r="G12" s="20"/>
      <c r="H12" s="20"/>
      <c r="I12" s="20"/>
      <c r="J12" s="16"/>
      <c r="L12" s="180">
        <v>8</v>
      </c>
      <c r="M12" s="180">
        <f t="shared" si="0"/>
        <v>0.79422169811320753</v>
      </c>
      <c r="N12" s="173">
        <f t="shared" si="1"/>
        <v>7</v>
      </c>
      <c r="P12" s="210">
        <v>8</v>
      </c>
      <c r="Q12" s="167">
        <f t="shared" si="10"/>
        <v>15</v>
      </c>
      <c r="R12" s="173">
        <f t="shared" si="10"/>
        <v>16</v>
      </c>
      <c r="S12" s="175">
        <f t="shared" si="2"/>
        <v>1646</v>
      </c>
      <c r="T12" s="139">
        <f t="shared" si="3"/>
        <v>1456.5</v>
      </c>
      <c r="U12" s="199">
        <f t="shared" si="4"/>
        <v>1416</v>
      </c>
      <c r="V12" s="217">
        <f t="shared" si="5"/>
        <v>1.0970042320637141</v>
      </c>
      <c r="W12" s="218">
        <f t="shared" si="6"/>
        <v>0.89993512311161916</v>
      </c>
      <c r="X12" s="219">
        <f t="shared" si="7"/>
        <v>0.9479497907949791</v>
      </c>
      <c r="Y12" s="207">
        <f t="shared" si="8"/>
        <v>0.14905444126873502</v>
      </c>
      <c r="Z12" s="204">
        <f t="shared" si="9"/>
        <v>4.8014667683359935E-2</v>
      </c>
    </row>
    <row r="13" spans="1:26" x14ac:dyDescent="0.25">
      <c r="A13" s="17"/>
      <c r="B13" s="177">
        <v>4</v>
      </c>
      <c r="C13" s="184">
        <v>1987</v>
      </c>
      <c r="D13" s="184">
        <v>1026</v>
      </c>
      <c r="E13" s="70">
        <v>1391</v>
      </c>
      <c r="F13" s="20"/>
      <c r="G13" s="20"/>
      <c r="H13" s="20"/>
      <c r="I13" s="20"/>
      <c r="J13" s="16"/>
      <c r="L13" s="180">
        <v>9</v>
      </c>
      <c r="M13" s="180">
        <f t="shared" si="0"/>
        <v>0.92956298200514142</v>
      </c>
      <c r="N13" s="173">
        <f t="shared" si="1"/>
        <v>11</v>
      </c>
      <c r="P13" s="210">
        <v>9</v>
      </c>
      <c r="Q13" s="167">
        <f t="shared" si="10"/>
        <v>17</v>
      </c>
      <c r="R13" s="173">
        <f t="shared" si="10"/>
        <v>18</v>
      </c>
      <c r="S13" s="175">
        <f t="shared" si="2"/>
        <v>1477</v>
      </c>
      <c r="T13" s="139">
        <f t="shared" si="3"/>
        <v>1084.5</v>
      </c>
      <c r="U13" s="199">
        <f t="shared" si="4"/>
        <v>1402.5</v>
      </c>
      <c r="V13" s="217">
        <f t="shared" si="5"/>
        <v>0.98437135526008857</v>
      </c>
      <c r="W13" s="218">
        <f t="shared" si="6"/>
        <v>0.67008557570514993</v>
      </c>
      <c r="X13" s="219">
        <f t="shared" si="7"/>
        <v>0.93891213389121342</v>
      </c>
      <c r="Y13" s="207">
        <f t="shared" si="8"/>
        <v>4.5459221368875147E-2</v>
      </c>
      <c r="Z13" s="204">
        <f t="shared" si="9"/>
        <v>0.26882655818606349</v>
      </c>
    </row>
    <row r="14" spans="1:26" x14ac:dyDescent="0.25">
      <c r="A14" s="17"/>
      <c r="B14" s="177">
        <v>5</v>
      </c>
      <c r="C14" s="184">
        <v>1912</v>
      </c>
      <c r="D14" s="184">
        <v>2048</v>
      </c>
      <c r="E14" s="70">
        <v>1664</v>
      </c>
      <c r="F14" s="20"/>
      <c r="G14" s="20"/>
      <c r="H14" s="20"/>
      <c r="I14" s="20"/>
      <c r="J14" s="16"/>
      <c r="L14" s="180">
        <v>10</v>
      </c>
      <c r="M14" s="180">
        <f t="shared" si="0"/>
        <v>0.52811350499211773</v>
      </c>
      <c r="N14" s="173">
        <f t="shared" si="1"/>
        <v>1</v>
      </c>
      <c r="P14" s="211">
        <v>10</v>
      </c>
      <c r="Q14" s="169">
        <f t="shared" si="10"/>
        <v>19</v>
      </c>
      <c r="R14" s="174">
        <f t="shared" si="10"/>
        <v>20</v>
      </c>
      <c r="S14" s="176">
        <f t="shared" si="2"/>
        <v>1786</v>
      </c>
      <c r="T14" s="198">
        <f t="shared" si="3"/>
        <v>968</v>
      </c>
      <c r="U14" s="200">
        <f t="shared" si="4"/>
        <v>1404</v>
      </c>
      <c r="V14" s="220">
        <f t="shared" si="5"/>
        <v>1.1903095737945282</v>
      </c>
      <c r="W14" s="221">
        <f t="shared" si="6"/>
        <v>0.59810312335876914</v>
      </c>
      <c r="X14" s="222">
        <f t="shared" si="7"/>
        <v>0.93991631799163178</v>
      </c>
      <c r="Y14" s="208">
        <f t="shared" si="8"/>
        <v>0.2503932558028964</v>
      </c>
      <c r="Z14" s="205">
        <f t="shared" si="9"/>
        <v>0.34181319463286264</v>
      </c>
    </row>
    <row r="15" spans="1:26" x14ac:dyDescent="0.25">
      <c r="A15" s="17"/>
      <c r="B15" s="177">
        <v>6</v>
      </c>
      <c r="C15" s="184">
        <v>1100</v>
      </c>
      <c r="D15" s="184">
        <v>1201</v>
      </c>
      <c r="E15" s="70">
        <v>1423</v>
      </c>
      <c r="F15" s="20"/>
      <c r="G15" s="20"/>
      <c r="H15" s="20"/>
      <c r="I15" s="20"/>
      <c r="J15" s="16"/>
      <c r="L15" s="180">
        <v>11</v>
      </c>
      <c r="M15" s="180">
        <f t="shared" si="0"/>
        <v>0.62256615077383926</v>
      </c>
      <c r="N15" s="173">
        <f t="shared" si="1"/>
        <v>3</v>
      </c>
      <c r="P15" s="182" t="s">
        <v>742</v>
      </c>
      <c r="Q15" s="201"/>
      <c r="R15" s="201"/>
      <c r="S15" s="202">
        <f>AVERAGE(C10:C29)</f>
        <v>1500.45</v>
      </c>
      <c r="T15" s="196">
        <f>AVERAGE(D10:D29)</f>
        <v>1618.45</v>
      </c>
      <c r="U15" s="196">
        <f>AVERAGE(E10:E29)</f>
        <v>1493.75</v>
      </c>
      <c r="Y15" s="227">
        <f>SUM(Y5:Y14)</f>
        <v>1.6963010845700262</v>
      </c>
      <c r="Z15" s="226">
        <f>SUM(Z5:Z14)</f>
        <v>1.6853853789287256</v>
      </c>
    </row>
    <row r="16" spans="1:26" x14ac:dyDescent="0.25">
      <c r="A16" s="17"/>
      <c r="B16" s="177">
        <v>7</v>
      </c>
      <c r="C16" s="184">
        <v>1585</v>
      </c>
      <c r="D16" s="184">
        <v>910</v>
      </c>
      <c r="E16" s="70">
        <v>1417</v>
      </c>
      <c r="F16" s="20"/>
      <c r="G16" s="20"/>
      <c r="H16" s="20"/>
      <c r="I16" s="20"/>
      <c r="J16" s="16"/>
      <c r="L16" s="180">
        <v>12</v>
      </c>
      <c r="M16" s="180">
        <f t="shared" si="0"/>
        <v>0.8644924207625172</v>
      </c>
      <c r="N16" s="173">
        <f t="shared" si="1"/>
        <v>8</v>
      </c>
    </row>
    <row r="17" spans="1:16" x14ac:dyDescent="0.25">
      <c r="A17" s="17"/>
      <c r="B17" s="177">
        <v>8</v>
      </c>
      <c r="C17" s="184">
        <v>1347</v>
      </c>
      <c r="D17" s="184">
        <v>1696</v>
      </c>
      <c r="E17" s="70">
        <v>1601</v>
      </c>
      <c r="F17" s="20"/>
      <c r="G17" s="20"/>
      <c r="H17" s="20"/>
      <c r="I17" s="20"/>
      <c r="J17" s="16"/>
      <c r="L17" s="180">
        <v>13</v>
      </c>
      <c r="M17" s="180">
        <f t="shared" si="0"/>
        <v>1.3883566691230655</v>
      </c>
      <c r="N17" s="173">
        <f t="shared" si="1"/>
        <v>18</v>
      </c>
    </row>
    <row r="18" spans="1:16" x14ac:dyDescent="0.25">
      <c r="A18" s="17"/>
      <c r="B18" s="177">
        <v>9</v>
      </c>
      <c r="C18" s="184">
        <v>1808</v>
      </c>
      <c r="D18" s="184">
        <v>1945</v>
      </c>
      <c r="E18" s="70">
        <v>1452</v>
      </c>
      <c r="F18" s="20"/>
      <c r="G18" s="20"/>
      <c r="H18" s="20"/>
      <c r="I18" s="20"/>
      <c r="J18" s="16"/>
      <c r="L18" s="180">
        <v>14</v>
      </c>
      <c r="M18" s="180">
        <f t="shared" si="0"/>
        <v>1.0595533498759304</v>
      </c>
      <c r="N18" s="173">
        <f t="shared" si="1"/>
        <v>15</v>
      </c>
    </row>
    <row r="19" spans="1:16" x14ac:dyDescent="0.25">
      <c r="A19" s="17"/>
      <c r="B19" s="177">
        <v>10</v>
      </c>
      <c r="C19" s="184">
        <v>1005</v>
      </c>
      <c r="D19" s="184">
        <v>1903</v>
      </c>
      <c r="E19" s="70">
        <v>1474</v>
      </c>
      <c r="F19" s="20"/>
      <c r="G19" s="20"/>
      <c r="H19" s="20"/>
      <c r="I19" s="20"/>
      <c r="J19" s="16"/>
      <c r="L19" s="180">
        <v>15</v>
      </c>
      <c r="M19" s="180">
        <f t="shared" si="0"/>
        <v>0.87124999999999997</v>
      </c>
      <c r="N19" s="173">
        <f t="shared" si="1"/>
        <v>9</v>
      </c>
    </row>
    <row r="20" spans="1:16" x14ac:dyDescent="0.25">
      <c r="A20" s="17"/>
      <c r="B20" s="177">
        <v>11</v>
      </c>
      <c r="C20" s="184">
        <v>1247</v>
      </c>
      <c r="D20" s="184">
        <v>2003</v>
      </c>
      <c r="E20" s="70">
        <v>1654</v>
      </c>
      <c r="F20" s="20"/>
      <c r="G20" s="20"/>
      <c r="H20" s="20"/>
      <c r="I20" s="20"/>
      <c r="J20" s="16"/>
      <c r="L20" s="180">
        <v>16</v>
      </c>
      <c r="M20" s="180">
        <f t="shared" si="0"/>
        <v>0.56098843322818082</v>
      </c>
      <c r="N20" s="173">
        <f t="shared" si="1"/>
        <v>2</v>
      </c>
    </row>
    <row r="21" spans="1:16" x14ac:dyDescent="0.25">
      <c r="A21" s="17"/>
      <c r="B21" s="177">
        <v>12</v>
      </c>
      <c r="C21" s="184">
        <v>1882</v>
      </c>
      <c r="D21" s="184">
        <v>2177</v>
      </c>
      <c r="E21" s="70">
        <v>1573</v>
      </c>
      <c r="F21" s="20"/>
      <c r="G21" s="20"/>
      <c r="H21" s="20"/>
      <c r="I21" s="20"/>
      <c r="J21" s="16"/>
      <c r="L21" s="180">
        <v>17</v>
      </c>
      <c r="M21" s="180">
        <f t="shared" si="0"/>
        <v>0.74985110184633708</v>
      </c>
      <c r="N21" s="173">
        <f t="shared" si="1"/>
        <v>6</v>
      </c>
    </row>
    <row r="22" spans="1:16" x14ac:dyDescent="0.25">
      <c r="A22" s="17"/>
      <c r="B22" s="177">
        <v>13</v>
      </c>
      <c r="C22" s="184">
        <v>1884</v>
      </c>
      <c r="D22" s="184">
        <v>1357</v>
      </c>
      <c r="E22" s="70">
        <v>1284</v>
      </c>
      <c r="F22" s="20"/>
      <c r="G22" s="20"/>
      <c r="H22" s="20"/>
      <c r="I22" s="20"/>
      <c r="J22" s="16"/>
      <c r="L22" s="180">
        <v>18</v>
      </c>
      <c r="M22" s="180">
        <f t="shared" si="0"/>
        <v>0.74719375305026847</v>
      </c>
      <c r="N22" s="173">
        <f t="shared" si="1"/>
        <v>5</v>
      </c>
    </row>
    <row r="23" spans="1:16" x14ac:dyDescent="0.25">
      <c r="A23" s="17"/>
      <c r="B23" s="177">
        <v>14</v>
      </c>
      <c r="C23" s="184">
        <v>1708</v>
      </c>
      <c r="D23" s="184">
        <v>1612</v>
      </c>
      <c r="E23" s="70">
        <v>1267</v>
      </c>
      <c r="F23" s="20"/>
      <c r="G23" s="20"/>
      <c r="H23" s="20"/>
      <c r="I23" s="20"/>
      <c r="J23" s="16"/>
      <c r="L23" s="180">
        <v>19</v>
      </c>
      <c r="M23" s="180">
        <f t="shared" si="0"/>
        <v>1.2175249807840123</v>
      </c>
      <c r="N23" s="173">
        <f t="shared" si="1"/>
        <v>16</v>
      </c>
    </row>
    <row r="24" spans="1:16" x14ac:dyDescent="0.25">
      <c r="A24" s="17"/>
      <c r="B24" s="177">
        <v>15</v>
      </c>
      <c r="C24" s="184">
        <v>1394</v>
      </c>
      <c r="D24" s="184">
        <v>1600</v>
      </c>
      <c r="E24" s="70">
        <v>1712</v>
      </c>
      <c r="F24" s="20"/>
      <c r="G24" s="20"/>
      <c r="H24" s="20"/>
      <c r="I24" s="20"/>
      <c r="J24" s="16"/>
      <c r="L24" s="181">
        <v>20</v>
      </c>
      <c r="M24" s="181">
        <f t="shared" si="0"/>
        <v>0.72122122122122123</v>
      </c>
      <c r="N24" s="174">
        <f t="shared" si="1"/>
        <v>4</v>
      </c>
    </row>
    <row r="25" spans="1:16" x14ac:dyDescent="0.25">
      <c r="A25" s="17"/>
      <c r="B25" s="177">
        <v>16</v>
      </c>
      <c r="C25" s="184">
        <v>1067</v>
      </c>
      <c r="D25" s="184">
        <v>1902</v>
      </c>
      <c r="E25" s="70">
        <v>1496</v>
      </c>
      <c r="F25" s="20"/>
      <c r="G25" s="20"/>
      <c r="H25" s="20"/>
      <c r="I25" s="20"/>
      <c r="J25" s="16"/>
    </row>
    <row r="26" spans="1:16" x14ac:dyDescent="0.25">
      <c r="A26" s="17"/>
      <c r="B26" s="177">
        <v>17</v>
      </c>
      <c r="C26" s="184">
        <v>1259</v>
      </c>
      <c r="D26" s="184">
        <v>1679</v>
      </c>
      <c r="E26" s="70">
        <v>1605</v>
      </c>
      <c r="F26" s="20"/>
      <c r="G26" s="20"/>
      <c r="H26" s="20"/>
      <c r="I26" s="20"/>
      <c r="J26" s="16"/>
      <c r="K26" t="s">
        <v>83</v>
      </c>
      <c r="L26" t="s">
        <v>746</v>
      </c>
    </row>
    <row r="27" spans="1:16" x14ac:dyDescent="0.25">
      <c r="A27" s="17"/>
      <c r="B27" s="177">
        <v>18</v>
      </c>
      <c r="C27" s="184">
        <v>1531</v>
      </c>
      <c r="D27" s="184">
        <v>2049</v>
      </c>
      <c r="E27" s="70">
        <v>1442</v>
      </c>
      <c r="F27" s="20"/>
      <c r="G27" s="20"/>
      <c r="H27" s="20"/>
      <c r="I27" s="20"/>
      <c r="J27" s="16"/>
    </row>
    <row r="28" spans="1:16" x14ac:dyDescent="0.25">
      <c r="A28" s="17"/>
      <c r="B28" s="177">
        <v>19</v>
      </c>
      <c r="C28" s="184">
        <v>1584</v>
      </c>
      <c r="D28" s="184">
        <v>1301</v>
      </c>
      <c r="E28" s="70">
        <v>1565</v>
      </c>
      <c r="F28" s="20"/>
      <c r="G28" s="20"/>
      <c r="H28" s="20"/>
      <c r="I28" s="20"/>
      <c r="J28" s="16"/>
    </row>
    <row r="29" spans="1:16" x14ac:dyDescent="0.25">
      <c r="A29" s="17"/>
      <c r="B29" s="178">
        <v>20</v>
      </c>
      <c r="C29" s="185">
        <v>1441</v>
      </c>
      <c r="D29" s="185">
        <v>1998</v>
      </c>
      <c r="E29" s="72">
        <v>1727</v>
      </c>
      <c r="F29" s="20"/>
      <c r="G29" s="20"/>
      <c r="H29" s="20"/>
      <c r="I29" s="20"/>
      <c r="J29" s="16"/>
    </row>
    <row r="30" spans="1:16" x14ac:dyDescent="0.25">
      <c r="A30" s="17"/>
      <c r="B30" s="20"/>
      <c r="C30" s="20"/>
      <c r="D30" s="20"/>
      <c r="E30" s="20"/>
      <c r="F30" s="20"/>
      <c r="G30" s="20"/>
      <c r="H30" s="20"/>
      <c r="I30" s="20"/>
      <c r="J30" s="16"/>
      <c r="M30" s="233" t="s">
        <v>757</v>
      </c>
      <c r="N30" s="234"/>
    </row>
    <row r="31" spans="1:16" x14ac:dyDescent="0.25">
      <c r="A31" s="89" t="s">
        <v>55</v>
      </c>
      <c r="B31" s="20" t="s">
        <v>736</v>
      </c>
      <c r="C31" s="20"/>
      <c r="D31" s="20"/>
      <c r="E31" s="20"/>
      <c r="F31" s="20"/>
      <c r="G31" s="20"/>
      <c r="H31" s="20"/>
      <c r="I31" s="20"/>
      <c r="J31" s="16"/>
      <c r="L31" s="209" t="s">
        <v>716</v>
      </c>
      <c r="M31" s="213" t="s">
        <v>707</v>
      </c>
      <c r="N31" s="229" t="s">
        <v>708</v>
      </c>
      <c r="O31" s="182" t="s">
        <v>725</v>
      </c>
      <c r="P31" s="109" t="s">
        <v>726</v>
      </c>
    </row>
    <row r="32" spans="1:16" x14ac:dyDescent="0.25">
      <c r="A32" s="17"/>
      <c r="B32" s="20"/>
      <c r="C32" s="20"/>
      <c r="D32" s="20"/>
      <c r="E32" s="20"/>
      <c r="F32" s="20"/>
      <c r="G32" s="20"/>
      <c r="H32" s="20"/>
      <c r="I32" s="20"/>
      <c r="J32" s="16"/>
      <c r="L32" s="210">
        <v>1</v>
      </c>
      <c r="M32" s="216">
        <f t="shared" ref="M32:M41" si="11">S5/$U5</f>
        <v>0.69764309764309762</v>
      </c>
      <c r="N32" s="228">
        <f t="shared" ref="N32:N41" si="12">T5/$U5</f>
        <v>1.2811447811447811</v>
      </c>
      <c r="O32" s="206">
        <f>ABS(1-M32)</f>
        <v>0.30235690235690238</v>
      </c>
      <c r="P32" s="203">
        <f>ABS(1-N32)</f>
        <v>0.28114478114478114</v>
      </c>
    </row>
    <row r="33" spans="1:16" x14ac:dyDescent="0.25">
      <c r="A33" s="17"/>
      <c r="B33" s="20" t="s">
        <v>744</v>
      </c>
      <c r="C33" s="20"/>
      <c r="D33" s="20"/>
      <c r="E33" s="20"/>
      <c r="F33" s="20"/>
      <c r="G33" s="20"/>
      <c r="H33" s="20"/>
      <c r="I33" s="20"/>
      <c r="J33" s="16"/>
      <c r="L33" s="210">
        <v>2</v>
      </c>
      <c r="M33" s="219">
        <f t="shared" si="11"/>
        <v>0.79503105590062106</v>
      </c>
      <c r="N33" s="115">
        <f t="shared" si="12"/>
        <v>1.1833776989056493</v>
      </c>
      <c r="O33" s="207">
        <f t="shared" ref="O33:O41" si="13">ABS(1-M33)</f>
        <v>0.20496894409937894</v>
      </c>
      <c r="P33" s="204">
        <f t="shared" ref="P33:P41" si="14">ABS(1-N33)</f>
        <v>0.18337769890564926</v>
      </c>
    </row>
    <row r="34" spans="1:16" x14ac:dyDescent="0.25">
      <c r="A34" s="17"/>
      <c r="B34" s="20" t="s">
        <v>745</v>
      </c>
      <c r="C34" s="20"/>
      <c r="D34" s="20"/>
      <c r="E34" s="20"/>
      <c r="F34" s="20"/>
      <c r="G34" s="20"/>
      <c r="H34" s="20"/>
      <c r="I34" s="20"/>
      <c r="J34" s="16"/>
      <c r="L34" s="210">
        <v>3</v>
      </c>
      <c r="M34" s="219">
        <f t="shared" si="11"/>
        <v>0.91565474236954381</v>
      </c>
      <c r="N34" s="115">
        <f t="shared" si="12"/>
        <v>1.2234985231375124</v>
      </c>
      <c r="O34" s="207">
        <f t="shared" si="13"/>
        <v>8.4345257630456194E-2</v>
      </c>
      <c r="P34" s="204">
        <f t="shared" si="14"/>
        <v>0.22349852313751239</v>
      </c>
    </row>
    <row r="35" spans="1:16" x14ac:dyDescent="0.25">
      <c r="A35" s="17"/>
      <c r="B35" s="20"/>
      <c r="C35" s="20"/>
      <c r="D35" s="20"/>
      <c r="E35" s="20"/>
      <c r="F35" s="20"/>
      <c r="G35" s="20"/>
      <c r="H35" s="20"/>
      <c r="I35" s="20"/>
      <c r="J35" s="16"/>
      <c r="L35" s="210">
        <v>4</v>
      </c>
      <c r="M35" s="219">
        <f t="shared" si="11"/>
        <v>1.0173282923755513</v>
      </c>
      <c r="N35" s="115">
        <f t="shared" si="12"/>
        <v>1.220226843100189</v>
      </c>
      <c r="O35" s="207">
        <f t="shared" si="13"/>
        <v>1.7328292375551335E-2</v>
      </c>
      <c r="P35" s="204">
        <f t="shared" si="14"/>
        <v>0.22022684310018903</v>
      </c>
    </row>
    <row r="36" spans="1:16" x14ac:dyDescent="0.25">
      <c r="A36" s="17"/>
      <c r="B36" s="20" t="s">
        <v>747</v>
      </c>
      <c r="C36" s="20"/>
      <c r="D36" s="20"/>
      <c r="E36" s="20"/>
      <c r="F36" s="20"/>
      <c r="G36" s="20"/>
      <c r="H36" s="20"/>
      <c r="I36" s="20"/>
      <c r="J36" s="16"/>
      <c r="L36" s="210">
        <v>5</v>
      </c>
      <c r="M36" s="219">
        <f t="shared" si="11"/>
        <v>0.79553429027113243</v>
      </c>
      <c r="N36" s="115">
        <f t="shared" si="12"/>
        <v>0.8934609250398724</v>
      </c>
      <c r="O36" s="207">
        <f t="shared" si="13"/>
        <v>0.20446570972886757</v>
      </c>
      <c r="P36" s="204">
        <f t="shared" si="14"/>
        <v>0.1065390749601276</v>
      </c>
    </row>
    <row r="37" spans="1:16" ht="15.75" thickBot="1" x14ac:dyDescent="0.3">
      <c r="A37" s="21"/>
      <c r="B37" s="22" t="s">
        <v>748</v>
      </c>
      <c r="C37" s="22"/>
      <c r="D37" s="22"/>
      <c r="E37" s="22"/>
      <c r="F37" s="22"/>
      <c r="G37" s="22"/>
      <c r="H37" s="22"/>
      <c r="I37" s="22"/>
      <c r="J37" s="23"/>
      <c r="L37" s="210">
        <v>6</v>
      </c>
      <c r="M37" s="219">
        <f t="shared" si="11"/>
        <v>1.1938382541720154</v>
      </c>
      <c r="N37" s="115">
        <f t="shared" si="12"/>
        <v>1.2814505776636713</v>
      </c>
      <c r="O37" s="207">
        <f t="shared" si="13"/>
        <v>0.19383825417201539</v>
      </c>
      <c r="P37" s="204">
        <f t="shared" si="14"/>
        <v>0.28145057766367132</v>
      </c>
    </row>
    <row r="38" spans="1:16" x14ac:dyDescent="0.25">
      <c r="L38" s="210">
        <v>7</v>
      </c>
      <c r="M38" s="219">
        <f t="shared" si="11"/>
        <v>1.2266973532796317</v>
      </c>
      <c r="N38" s="115">
        <f t="shared" si="12"/>
        <v>1.2082853855005753</v>
      </c>
      <c r="O38" s="207">
        <f t="shared" si="13"/>
        <v>0.2266973532796317</v>
      </c>
      <c r="P38" s="204">
        <f t="shared" si="14"/>
        <v>0.20828538550057529</v>
      </c>
    </row>
    <row r="39" spans="1:16" x14ac:dyDescent="0.25">
      <c r="L39" s="210">
        <v>8</v>
      </c>
      <c r="M39" s="219">
        <f t="shared" si="11"/>
        <v>1.1624293785310735</v>
      </c>
      <c r="N39" s="115">
        <f t="shared" si="12"/>
        <v>1.0286016949152543</v>
      </c>
      <c r="O39" s="207">
        <f t="shared" si="13"/>
        <v>0.16242937853107353</v>
      </c>
      <c r="P39" s="204">
        <f t="shared" si="14"/>
        <v>2.8601694915254328E-2</v>
      </c>
    </row>
    <row r="40" spans="1:16" x14ac:dyDescent="0.25">
      <c r="L40" s="210">
        <v>9</v>
      </c>
      <c r="M40" s="219">
        <f t="shared" si="11"/>
        <v>1.0531194295900179</v>
      </c>
      <c r="N40" s="115">
        <f t="shared" si="12"/>
        <v>0.77326203208556155</v>
      </c>
      <c r="O40" s="207">
        <f t="shared" si="13"/>
        <v>5.3119429590017919E-2</v>
      </c>
      <c r="P40" s="204">
        <f t="shared" si="14"/>
        <v>0.22673796791443845</v>
      </c>
    </row>
    <row r="41" spans="1:16" x14ac:dyDescent="0.25">
      <c r="L41" s="211">
        <v>10</v>
      </c>
      <c r="M41" s="222">
        <f t="shared" si="11"/>
        <v>1.2720797720797721</v>
      </c>
      <c r="N41" s="116">
        <f t="shared" si="12"/>
        <v>0.68945868945868949</v>
      </c>
      <c r="O41" s="208">
        <f t="shared" si="13"/>
        <v>0.27207977207977208</v>
      </c>
      <c r="P41" s="205">
        <f t="shared" si="14"/>
        <v>0.31054131054131051</v>
      </c>
    </row>
    <row r="42" spans="1:16" x14ac:dyDescent="0.25">
      <c r="L42" s="182" t="s">
        <v>742</v>
      </c>
      <c r="M42" s="172"/>
      <c r="N42" s="172"/>
      <c r="O42" s="227">
        <f>SUM(O32:O41)</f>
        <v>1.721629293843667</v>
      </c>
      <c r="P42" s="226">
        <f>SUM(P32:P41)</f>
        <v>2.0704038577835093</v>
      </c>
    </row>
    <row r="44" spans="1:16" x14ac:dyDescent="0.25">
      <c r="K44" t="s">
        <v>114</v>
      </c>
      <c r="L44" s="232" t="s">
        <v>750</v>
      </c>
    </row>
    <row r="45" spans="1:16" x14ac:dyDescent="0.25">
      <c r="L45" s="232" t="s">
        <v>749</v>
      </c>
    </row>
    <row r="47" spans="1:16" x14ac:dyDescent="0.25">
      <c r="L47" t="s">
        <v>751</v>
      </c>
    </row>
    <row r="48" spans="1:16" x14ac:dyDescent="0.25">
      <c r="L48" t="s">
        <v>752</v>
      </c>
    </row>
    <row r="50" spans="12:12" x14ac:dyDescent="0.25">
      <c r="L50" t="s">
        <v>753</v>
      </c>
    </row>
    <row r="51" spans="12:12" x14ac:dyDescent="0.25">
      <c r="L51" t="s">
        <v>754</v>
      </c>
    </row>
    <row r="53" spans="12:12" x14ac:dyDescent="0.25">
      <c r="L53" t="s">
        <v>755</v>
      </c>
    </row>
    <row r="54" spans="12:12" x14ac:dyDescent="0.25">
      <c r="L54" t="s">
        <v>756</v>
      </c>
    </row>
  </sheetData>
  <mergeCells count="1">
    <mergeCell ref="I1:J1"/>
  </mergeCells>
  <hyperlinks>
    <hyperlink ref="I1" location="TOC!A1" display="Return to TOC" xr:uid="{54D8062B-72F3-415E-ABC2-982A6650DDF0}"/>
  </hyperlink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B4D3A-24D1-4E42-800B-687766B9FCFE}">
  <dimension ref="A1:R35"/>
  <sheetViews>
    <sheetView workbookViewId="0">
      <selection activeCell="H1" sqref="H1:I1"/>
    </sheetView>
  </sheetViews>
  <sheetFormatPr defaultRowHeight="15" x14ac:dyDescent="0.25"/>
  <cols>
    <col min="1" max="1" width="14" bestFit="1" customWidth="1"/>
    <col min="10" max="10" width="3.7109375" customWidth="1"/>
    <col min="12" max="12" width="9.7109375" bestFit="1" customWidth="1"/>
    <col min="18" max="18" width="9.7109375" bestFit="1" customWidth="1"/>
  </cols>
  <sheetData>
    <row r="1" spans="1:18" x14ac:dyDescent="0.25">
      <c r="A1" s="6" t="s">
        <v>5</v>
      </c>
      <c r="B1" s="7" t="s">
        <v>679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8" x14ac:dyDescent="0.25">
      <c r="A2" s="11" t="s">
        <v>8</v>
      </c>
      <c r="B2" s="18" t="s">
        <v>482</v>
      </c>
      <c r="C2" s="18"/>
      <c r="D2" s="18"/>
      <c r="E2" s="18"/>
      <c r="F2" s="18"/>
      <c r="G2" s="18"/>
      <c r="H2" s="18"/>
      <c r="I2" s="12"/>
      <c r="J2" t="s">
        <v>35</v>
      </c>
      <c r="K2" t="s">
        <v>765</v>
      </c>
    </row>
    <row r="3" spans="1:18" x14ac:dyDescent="0.25">
      <c r="A3" s="11" t="s">
        <v>9</v>
      </c>
      <c r="B3" s="20" t="s">
        <v>704</v>
      </c>
      <c r="C3" s="18"/>
      <c r="D3" s="18"/>
      <c r="E3" s="18"/>
      <c r="F3" s="18"/>
      <c r="G3" s="18"/>
      <c r="H3" s="18"/>
      <c r="I3" s="12"/>
      <c r="K3" s="230"/>
      <c r="L3" s="242" t="s">
        <v>761</v>
      </c>
      <c r="M3" s="231"/>
      <c r="R3" s="237" t="s">
        <v>355</v>
      </c>
    </row>
    <row r="4" spans="1:18" x14ac:dyDescent="0.25">
      <c r="A4" s="13"/>
      <c r="B4" s="19"/>
      <c r="C4" s="19"/>
      <c r="D4" s="19"/>
      <c r="E4" s="19"/>
      <c r="F4" s="19"/>
      <c r="G4" s="19"/>
      <c r="H4" s="19"/>
      <c r="I4" s="14"/>
      <c r="K4" s="169" t="s">
        <v>705</v>
      </c>
      <c r="L4" s="179" t="s">
        <v>766</v>
      </c>
      <c r="M4" s="174" t="s">
        <v>740</v>
      </c>
      <c r="O4" s="209" t="s">
        <v>716</v>
      </c>
      <c r="P4" s="171" t="s">
        <v>717</v>
      </c>
      <c r="Q4" s="172" t="s">
        <v>718</v>
      </c>
      <c r="R4" s="238" t="s">
        <v>766</v>
      </c>
    </row>
    <row r="5" spans="1:18" x14ac:dyDescent="0.25">
      <c r="A5" s="15" t="s">
        <v>10</v>
      </c>
      <c r="B5" s="20" t="s">
        <v>758</v>
      </c>
      <c r="C5" s="20"/>
      <c r="D5" s="20"/>
      <c r="E5" s="20"/>
      <c r="F5" s="20"/>
      <c r="G5" s="20"/>
      <c r="H5" s="20"/>
      <c r="I5" s="16"/>
      <c r="K5" s="167">
        <v>1</v>
      </c>
      <c r="L5" s="243">
        <f>C11/E11</f>
        <v>0.56138509968520467</v>
      </c>
      <c r="M5" s="173">
        <f>_xlfn.RANK.AVG(L5,$L$5:$L$24,1)</f>
        <v>1</v>
      </c>
      <c r="O5" s="210">
        <v>1</v>
      </c>
      <c r="P5" s="167">
        <v>1</v>
      </c>
      <c r="Q5" s="173">
        <v>2</v>
      </c>
      <c r="R5" s="239">
        <f>(SUMIFS($D$11:$D$30,$M$5:$M$24,P5)+SUMIFS($D$11:$D$30,$M$5:$M$24,Q5))/(SUMIFS($E$11:$E$30,$M$5:$M$24,P5)+SUMIFS($E$11:$E$30,$M$5:$M$24,Q5))</f>
        <v>0.83240689271817681</v>
      </c>
    </row>
    <row r="6" spans="1:18" x14ac:dyDescent="0.25">
      <c r="A6" s="17"/>
      <c r="B6" s="20" t="s">
        <v>759</v>
      </c>
      <c r="C6" s="20"/>
      <c r="D6" s="20"/>
      <c r="E6" s="20"/>
      <c r="F6" s="20"/>
      <c r="G6" s="20"/>
      <c r="H6" s="20"/>
      <c r="I6" s="16"/>
      <c r="K6" s="167">
        <v>2</v>
      </c>
      <c r="L6" s="243">
        <f t="shared" ref="L6:L24" si="0">C12/E12</f>
        <v>0.83888552392489402</v>
      </c>
      <c r="M6" s="173">
        <f t="shared" ref="M6:M24" si="1">_xlfn.RANK.AVG(L6,$L$5:$L$24,1)</f>
        <v>11</v>
      </c>
      <c r="O6" s="210">
        <v>2</v>
      </c>
      <c r="P6" s="167">
        <f>P5+2</f>
        <v>3</v>
      </c>
      <c r="Q6" s="173">
        <f>Q5+2</f>
        <v>4</v>
      </c>
      <c r="R6" s="240">
        <f t="shared" ref="R6:R14" si="2">(SUMIFS($D$11:$D$30,$M$5:$M$24,P6)+SUMIFS($D$11:$D$30,$M$5:$M$24,Q6))/(SUMIFS($E$11:$E$30,$M$5:$M$24,P6)+SUMIFS($E$11:$E$30,$M$5:$M$24,Q6))</f>
        <v>0.89603960396039606</v>
      </c>
    </row>
    <row r="7" spans="1:18" x14ac:dyDescent="0.25">
      <c r="A7" s="17"/>
      <c r="B7" s="20"/>
      <c r="C7" s="20"/>
      <c r="D7" s="20"/>
      <c r="E7" s="20"/>
      <c r="F7" s="20"/>
      <c r="G7" s="20"/>
      <c r="H7" s="20"/>
      <c r="I7" s="16"/>
      <c r="K7" s="167">
        <v>3</v>
      </c>
      <c r="L7" s="243">
        <f t="shared" si="0"/>
        <v>0.97107659346545261</v>
      </c>
      <c r="M7" s="173">
        <f t="shared" si="1"/>
        <v>13</v>
      </c>
      <c r="O7" s="210">
        <v>3</v>
      </c>
      <c r="P7" s="167">
        <f t="shared" ref="P7:Q14" si="3">P6+2</f>
        <v>5</v>
      </c>
      <c r="Q7" s="173">
        <f t="shared" si="3"/>
        <v>6</v>
      </c>
      <c r="R7" s="240">
        <f t="shared" si="2"/>
        <v>0.94522111269614839</v>
      </c>
    </row>
    <row r="8" spans="1:18" x14ac:dyDescent="0.25">
      <c r="A8" s="17"/>
      <c r="B8" s="20" t="s">
        <v>710</v>
      </c>
      <c r="C8" s="20"/>
      <c r="D8" s="20"/>
      <c r="E8" s="20"/>
      <c r="F8" s="20"/>
      <c r="G8" s="20"/>
      <c r="H8" s="20"/>
      <c r="I8" s="16"/>
      <c r="K8" s="167">
        <v>4</v>
      </c>
      <c r="L8" s="243">
        <f t="shared" si="0"/>
        <v>1.2753530166880616</v>
      </c>
      <c r="M8" s="173">
        <f t="shared" si="1"/>
        <v>18</v>
      </c>
      <c r="O8" s="210">
        <v>4</v>
      </c>
      <c r="P8" s="167">
        <f t="shared" si="3"/>
        <v>7</v>
      </c>
      <c r="Q8" s="173">
        <f t="shared" si="3"/>
        <v>8</v>
      </c>
      <c r="R8" s="240">
        <f t="shared" si="2"/>
        <v>0.91866746698679469</v>
      </c>
    </row>
    <row r="9" spans="1:18" x14ac:dyDescent="0.25">
      <c r="A9" s="17"/>
      <c r="B9" s="235"/>
      <c r="C9" s="236" t="s">
        <v>706</v>
      </c>
      <c r="D9" s="29"/>
      <c r="E9" s="140" t="s">
        <v>760</v>
      </c>
      <c r="F9" s="20"/>
      <c r="G9" s="20"/>
      <c r="H9" s="20"/>
      <c r="I9" s="16"/>
      <c r="K9" s="167">
        <v>5</v>
      </c>
      <c r="L9" s="243">
        <f t="shared" si="0"/>
        <v>0.98051282051282052</v>
      </c>
      <c r="M9" s="173">
        <f t="shared" si="1"/>
        <v>14</v>
      </c>
      <c r="O9" s="210">
        <v>5</v>
      </c>
      <c r="P9" s="167">
        <f t="shared" si="3"/>
        <v>9</v>
      </c>
      <c r="Q9" s="173">
        <f t="shared" si="3"/>
        <v>10</v>
      </c>
      <c r="R9" s="240">
        <f t="shared" si="2"/>
        <v>0.87064246614808416</v>
      </c>
    </row>
    <row r="10" spans="1:18" x14ac:dyDescent="0.25">
      <c r="A10" s="17"/>
      <c r="B10" s="46" t="s">
        <v>705</v>
      </c>
      <c r="C10" s="46" t="s">
        <v>761</v>
      </c>
      <c r="D10" s="27" t="s">
        <v>355</v>
      </c>
      <c r="E10" s="46" t="s">
        <v>503</v>
      </c>
      <c r="F10" s="20"/>
      <c r="G10" s="20"/>
      <c r="H10" s="20"/>
      <c r="I10" s="16"/>
      <c r="K10" s="167">
        <v>6</v>
      </c>
      <c r="L10" s="243">
        <f t="shared" si="0"/>
        <v>0.60572687224669608</v>
      </c>
      <c r="M10" s="173">
        <f t="shared" si="1"/>
        <v>3</v>
      </c>
      <c r="O10" s="210">
        <v>6</v>
      </c>
      <c r="P10" s="167">
        <f t="shared" si="3"/>
        <v>11</v>
      </c>
      <c r="Q10" s="173">
        <f t="shared" si="3"/>
        <v>12</v>
      </c>
      <c r="R10" s="240">
        <f t="shared" si="2"/>
        <v>0.92553512209828159</v>
      </c>
    </row>
    <row r="11" spans="1:18" x14ac:dyDescent="0.25">
      <c r="A11" s="17"/>
      <c r="B11" s="177">
        <v>1</v>
      </c>
      <c r="C11" s="184">
        <v>1070</v>
      </c>
      <c r="D11" s="70">
        <v>1521</v>
      </c>
      <c r="E11" s="70">
        <v>1906</v>
      </c>
      <c r="F11" s="20"/>
      <c r="G11" s="20"/>
      <c r="H11" s="20"/>
      <c r="I11" s="16"/>
      <c r="K11" s="167">
        <v>7</v>
      </c>
      <c r="L11" s="243">
        <f t="shared" si="0"/>
        <v>0.80579562785968484</v>
      </c>
      <c r="M11" s="173">
        <f t="shared" si="1"/>
        <v>9</v>
      </c>
      <c r="O11" s="210">
        <v>7</v>
      </c>
      <c r="P11" s="167">
        <f t="shared" si="3"/>
        <v>13</v>
      </c>
      <c r="Q11" s="173">
        <f t="shared" si="3"/>
        <v>14</v>
      </c>
      <c r="R11" s="240">
        <f t="shared" si="2"/>
        <v>0.76709457689284777</v>
      </c>
    </row>
    <row r="12" spans="1:18" x14ac:dyDescent="0.25">
      <c r="A12" s="17"/>
      <c r="B12" s="177">
        <v>2</v>
      </c>
      <c r="C12" s="184">
        <v>1385</v>
      </c>
      <c r="D12" s="70">
        <v>1343</v>
      </c>
      <c r="E12" s="70">
        <v>1651</v>
      </c>
      <c r="F12" s="20"/>
      <c r="G12" s="20"/>
      <c r="H12" s="20"/>
      <c r="I12" s="16"/>
      <c r="K12" s="167">
        <v>8</v>
      </c>
      <c r="L12" s="243">
        <f t="shared" si="0"/>
        <v>0.7831395348837209</v>
      </c>
      <c r="M12" s="173">
        <f t="shared" si="1"/>
        <v>6</v>
      </c>
      <c r="O12" s="210">
        <v>8</v>
      </c>
      <c r="P12" s="167">
        <f t="shared" si="3"/>
        <v>15</v>
      </c>
      <c r="Q12" s="173">
        <f t="shared" si="3"/>
        <v>16</v>
      </c>
      <c r="R12" s="240">
        <f t="shared" si="2"/>
        <v>0.92615384615384611</v>
      </c>
    </row>
    <row r="13" spans="1:18" x14ac:dyDescent="0.25">
      <c r="A13" s="17"/>
      <c r="B13" s="177">
        <v>3</v>
      </c>
      <c r="C13" s="184">
        <v>1813</v>
      </c>
      <c r="D13" s="70">
        <v>1264</v>
      </c>
      <c r="E13" s="70">
        <v>1867</v>
      </c>
      <c r="F13" s="20"/>
      <c r="G13" s="20"/>
      <c r="H13" s="20"/>
      <c r="I13" s="16"/>
      <c r="K13" s="167">
        <v>9</v>
      </c>
      <c r="L13" s="243">
        <f t="shared" si="0"/>
        <v>1.1672046481601033</v>
      </c>
      <c r="M13" s="173">
        <f t="shared" si="1"/>
        <v>17</v>
      </c>
      <c r="O13" s="210">
        <v>9</v>
      </c>
      <c r="P13" s="167">
        <f t="shared" si="3"/>
        <v>17</v>
      </c>
      <c r="Q13" s="173">
        <f t="shared" si="3"/>
        <v>18</v>
      </c>
      <c r="R13" s="240">
        <f t="shared" si="2"/>
        <v>0.91503057611844218</v>
      </c>
    </row>
    <row r="14" spans="1:18" x14ac:dyDescent="0.25">
      <c r="A14" s="17"/>
      <c r="B14" s="177">
        <v>4</v>
      </c>
      <c r="C14" s="184">
        <v>1987</v>
      </c>
      <c r="D14" s="70">
        <v>1391</v>
      </c>
      <c r="E14" s="70">
        <v>1558</v>
      </c>
      <c r="F14" s="20"/>
      <c r="G14" s="20"/>
      <c r="H14" s="20"/>
      <c r="I14" s="16"/>
      <c r="K14" s="167">
        <v>10</v>
      </c>
      <c r="L14" s="243">
        <f t="shared" si="0"/>
        <v>0.59397163120567376</v>
      </c>
      <c r="M14" s="173">
        <f t="shared" si="1"/>
        <v>2</v>
      </c>
      <c r="O14" s="211">
        <v>10</v>
      </c>
      <c r="P14" s="169">
        <f t="shared" si="3"/>
        <v>19</v>
      </c>
      <c r="Q14" s="174">
        <f t="shared" si="3"/>
        <v>20</v>
      </c>
      <c r="R14" s="241">
        <f t="shared" si="2"/>
        <v>0.99790429619280474</v>
      </c>
    </row>
    <row r="15" spans="1:18" x14ac:dyDescent="0.25">
      <c r="A15" s="17"/>
      <c r="B15" s="177">
        <v>5</v>
      </c>
      <c r="C15" s="184">
        <v>1912</v>
      </c>
      <c r="D15" s="70">
        <v>1664</v>
      </c>
      <c r="E15" s="70">
        <v>1950</v>
      </c>
      <c r="F15" s="20"/>
      <c r="G15" s="20"/>
      <c r="H15" s="20"/>
      <c r="I15" s="16"/>
      <c r="K15" s="167">
        <v>11</v>
      </c>
      <c r="L15" s="243">
        <f t="shared" si="0"/>
        <v>0.77070457354758959</v>
      </c>
      <c r="M15" s="173">
        <f t="shared" si="1"/>
        <v>4</v>
      </c>
    </row>
    <row r="16" spans="1:18" x14ac:dyDescent="0.25">
      <c r="A16" s="17"/>
      <c r="B16" s="177">
        <v>6</v>
      </c>
      <c r="C16" s="184">
        <v>1100</v>
      </c>
      <c r="D16" s="70">
        <v>1423</v>
      </c>
      <c r="E16" s="70">
        <v>1816</v>
      </c>
      <c r="F16" s="20"/>
      <c r="G16" s="20"/>
      <c r="H16" s="20"/>
      <c r="I16" s="16"/>
      <c r="K16" s="167">
        <v>12</v>
      </c>
      <c r="L16" s="243">
        <f t="shared" si="0"/>
        <v>1.3500717360114778</v>
      </c>
      <c r="M16" s="173">
        <f t="shared" si="1"/>
        <v>20</v>
      </c>
      <c r="O16" s="197" t="s">
        <v>731</v>
      </c>
      <c r="P16" s="201"/>
      <c r="Q16" s="201"/>
      <c r="R16" s="245">
        <f>R14-R5</f>
        <v>0.16549740347462794</v>
      </c>
    </row>
    <row r="17" spans="1:13" x14ac:dyDescent="0.25">
      <c r="A17" s="17"/>
      <c r="B17" s="177">
        <v>7</v>
      </c>
      <c r="C17" s="184">
        <v>1585</v>
      </c>
      <c r="D17" s="70">
        <v>1417</v>
      </c>
      <c r="E17" s="70">
        <v>1967</v>
      </c>
      <c r="F17" s="20"/>
      <c r="G17" s="20"/>
      <c r="H17" s="20"/>
      <c r="I17" s="16"/>
      <c r="K17" s="167">
        <v>13</v>
      </c>
      <c r="L17" s="243">
        <f t="shared" si="0"/>
        <v>1.2825051055139551</v>
      </c>
      <c r="M17" s="173">
        <f t="shared" si="1"/>
        <v>19</v>
      </c>
    </row>
    <row r="18" spans="1:13" x14ac:dyDescent="0.25">
      <c r="A18" s="17"/>
      <c r="B18" s="177">
        <v>8</v>
      </c>
      <c r="C18" s="184">
        <v>1347</v>
      </c>
      <c r="D18" s="70">
        <v>1601</v>
      </c>
      <c r="E18" s="70">
        <v>1720</v>
      </c>
      <c r="F18" s="20"/>
      <c r="G18" s="20"/>
      <c r="H18" s="20"/>
      <c r="I18" s="16"/>
      <c r="K18" s="167">
        <v>14</v>
      </c>
      <c r="L18" s="243">
        <f t="shared" si="0"/>
        <v>1.161904761904762</v>
      </c>
      <c r="M18" s="173">
        <f t="shared" si="1"/>
        <v>16</v>
      </c>
    </row>
    <row r="19" spans="1:13" x14ac:dyDescent="0.25">
      <c r="A19" s="17"/>
      <c r="B19" s="177">
        <v>9</v>
      </c>
      <c r="C19" s="184">
        <v>1808</v>
      </c>
      <c r="D19" s="70">
        <v>1452</v>
      </c>
      <c r="E19" s="70">
        <v>1549</v>
      </c>
      <c r="F19" s="20"/>
      <c r="G19" s="20"/>
      <c r="H19" s="20"/>
      <c r="I19" s="16"/>
      <c r="K19" s="167">
        <v>15</v>
      </c>
      <c r="L19" s="243">
        <f t="shared" si="0"/>
        <v>0.78095238095238095</v>
      </c>
      <c r="M19" s="173">
        <f t="shared" si="1"/>
        <v>5</v>
      </c>
    </row>
    <row r="20" spans="1:13" x14ac:dyDescent="0.25">
      <c r="A20" s="17"/>
      <c r="B20" s="177">
        <v>10</v>
      </c>
      <c r="C20" s="184">
        <v>1005</v>
      </c>
      <c r="D20" s="70">
        <v>1474</v>
      </c>
      <c r="E20" s="70">
        <v>1692</v>
      </c>
      <c r="F20" s="20"/>
      <c r="G20" s="20"/>
      <c r="H20" s="20"/>
      <c r="I20" s="16"/>
      <c r="K20" s="167">
        <v>16</v>
      </c>
      <c r="L20" s="243">
        <f t="shared" si="0"/>
        <v>0.79567486950037281</v>
      </c>
      <c r="M20" s="173">
        <f t="shared" si="1"/>
        <v>8</v>
      </c>
    </row>
    <row r="21" spans="1:13" x14ac:dyDescent="0.25">
      <c r="A21" s="17"/>
      <c r="B21" s="177">
        <v>11</v>
      </c>
      <c r="C21" s="184">
        <v>1247</v>
      </c>
      <c r="D21" s="70">
        <v>1654</v>
      </c>
      <c r="E21" s="70">
        <v>1618</v>
      </c>
      <c r="F21" s="20"/>
      <c r="G21" s="20"/>
      <c r="H21" s="20"/>
      <c r="I21" s="16"/>
      <c r="K21" s="167">
        <v>17</v>
      </c>
      <c r="L21" s="243">
        <f t="shared" si="0"/>
        <v>0.83710106382978722</v>
      </c>
      <c r="M21" s="173">
        <f t="shared" si="1"/>
        <v>10</v>
      </c>
    </row>
    <row r="22" spans="1:13" x14ac:dyDescent="0.25">
      <c r="A22" s="17"/>
      <c r="B22" s="177">
        <v>12</v>
      </c>
      <c r="C22" s="184">
        <v>1882</v>
      </c>
      <c r="D22" s="70">
        <v>1573</v>
      </c>
      <c r="E22" s="70">
        <v>1394</v>
      </c>
      <c r="F22" s="20"/>
      <c r="G22" s="20"/>
      <c r="H22" s="20"/>
      <c r="I22" s="16"/>
      <c r="K22" s="167">
        <v>18</v>
      </c>
      <c r="L22" s="243">
        <f t="shared" si="0"/>
        <v>1.0522336769759451</v>
      </c>
      <c r="M22" s="173">
        <f t="shared" si="1"/>
        <v>15</v>
      </c>
    </row>
    <row r="23" spans="1:13" x14ac:dyDescent="0.25">
      <c r="A23" s="17"/>
      <c r="B23" s="177">
        <v>13</v>
      </c>
      <c r="C23" s="184">
        <v>1884</v>
      </c>
      <c r="D23" s="70">
        <v>1284</v>
      </c>
      <c r="E23" s="70">
        <v>1469</v>
      </c>
      <c r="F23" s="20"/>
      <c r="G23" s="20"/>
      <c r="H23" s="20"/>
      <c r="I23" s="16"/>
      <c r="K23" s="167">
        <v>19</v>
      </c>
      <c r="L23" s="243">
        <f t="shared" si="0"/>
        <v>0.79558011049723754</v>
      </c>
      <c r="M23" s="173">
        <f t="shared" si="1"/>
        <v>7</v>
      </c>
    </row>
    <row r="24" spans="1:13" x14ac:dyDescent="0.25">
      <c r="A24" s="17"/>
      <c r="B24" s="177">
        <v>14</v>
      </c>
      <c r="C24" s="184">
        <v>1708</v>
      </c>
      <c r="D24" s="70">
        <v>1267</v>
      </c>
      <c r="E24" s="70">
        <v>1470</v>
      </c>
      <c r="F24" s="20"/>
      <c r="G24" s="20"/>
      <c r="H24" s="20"/>
      <c r="I24" s="16"/>
      <c r="K24" s="169">
        <v>20</v>
      </c>
      <c r="L24" s="244">
        <f t="shared" si="0"/>
        <v>0.86494597839135656</v>
      </c>
      <c r="M24" s="174">
        <f t="shared" si="1"/>
        <v>12</v>
      </c>
    </row>
    <row r="25" spans="1:13" x14ac:dyDescent="0.25">
      <c r="A25" s="17"/>
      <c r="B25" s="177">
        <v>15</v>
      </c>
      <c r="C25" s="184">
        <v>1394</v>
      </c>
      <c r="D25" s="70">
        <v>1712</v>
      </c>
      <c r="E25" s="70">
        <v>1785</v>
      </c>
      <c r="F25" s="20"/>
      <c r="G25" s="20"/>
      <c r="H25" s="20"/>
      <c r="I25" s="16"/>
    </row>
    <row r="26" spans="1:13" x14ac:dyDescent="0.25">
      <c r="A26" s="17"/>
      <c r="B26" s="177">
        <v>16</v>
      </c>
      <c r="C26" s="184">
        <v>1067</v>
      </c>
      <c r="D26" s="70">
        <v>1496</v>
      </c>
      <c r="E26" s="70">
        <v>1341</v>
      </c>
      <c r="F26" s="20"/>
      <c r="G26" s="20"/>
      <c r="H26" s="20"/>
      <c r="I26" s="16"/>
      <c r="J26" t="s">
        <v>83</v>
      </c>
      <c r="K26" t="s">
        <v>767</v>
      </c>
    </row>
    <row r="27" spans="1:13" x14ac:dyDescent="0.25">
      <c r="A27" s="17"/>
      <c r="B27" s="177">
        <v>17</v>
      </c>
      <c r="C27" s="184">
        <v>1259</v>
      </c>
      <c r="D27" s="70">
        <v>1605</v>
      </c>
      <c r="E27" s="70">
        <v>1504</v>
      </c>
      <c r="F27" s="20"/>
      <c r="G27" s="20"/>
      <c r="H27" s="20"/>
      <c r="I27" s="16"/>
      <c r="K27" t="s">
        <v>768</v>
      </c>
    </row>
    <row r="28" spans="1:13" x14ac:dyDescent="0.25">
      <c r="A28" s="17"/>
      <c r="B28" s="177">
        <v>18</v>
      </c>
      <c r="C28" s="184">
        <v>1531</v>
      </c>
      <c r="D28" s="70">
        <v>1442</v>
      </c>
      <c r="E28" s="70">
        <v>1455</v>
      </c>
      <c r="F28" s="20"/>
      <c r="G28" s="20"/>
      <c r="H28" s="20"/>
      <c r="I28" s="16"/>
      <c r="K28" t="s">
        <v>769</v>
      </c>
    </row>
    <row r="29" spans="1:13" x14ac:dyDescent="0.25">
      <c r="A29" s="17"/>
      <c r="B29" s="177">
        <v>19</v>
      </c>
      <c r="C29" s="184">
        <v>1584</v>
      </c>
      <c r="D29" s="70">
        <v>1565</v>
      </c>
      <c r="E29" s="70">
        <v>1991</v>
      </c>
      <c r="F29" s="20"/>
      <c r="G29" s="20"/>
      <c r="H29" s="20"/>
      <c r="I29" s="16"/>
      <c r="K29" t="s">
        <v>770</v>
      </c>
    </row>
    <row r="30" spans="1:13" x14ac:dyDescent="0.25">
      <c r="A30" s="17"/>
      <c r="B30" s="178">
        <v>20</v>
      </c>
      <c r="C30" s="185">
        <v>1441</v>
      </c>
      <c r="D30" s="72">
        <v>1727</v>
      </c>
      <c r="E30" s="72">
        <v>1666</v>
      </c>
      <c r="F30" s="20"/>
      <c r="G30" s="20"/>
      <c r="H30" s="20"/>
      <c r="I30" s="16"/>
    </row>
    <row r="31" spans="1:13" x14ac:dyDescent="0.25">
      <c r="A31" s="17"/>
      <c r="B31" s="20"/>
      <c r="C31" s="20"/>
      <c r="D31" s="20"/>
      <c r="E31" s="20"/>
      <c r="F31" s="20"/>
      <c r="G31" s="20"/>
      <c r="H31" s="20"/>
      <c r="I31" s="16"/>
    </row>
    <row r="32" spans="1:13" x14ac:dyDescent="0.25">
      <c r="A32" s="89" t="s">
        <v>55</v>
      </c>
      <c r="B32" s="20" t="s">
        <v>762</v>
      </c>
      <c r="C32" s="20"/>
      <c r="D32" s="20"/>
      <c r="E32" s="20"/>
      <c r="F32" s="20"/>
      <c r="G32" s="20"/>
      <c r="H32" s="20"/>
      <c r="I32" s="16"/>
    </row>
    <row r="33" spans="1:9" x14ac:dyDescent="0.25">
      <c r="A33" s="17"/>
      <c r="B33" s="20"/>
      <c r="C33" s="20"/>
      <c r="D33" s="20"/>
      <c r="E33" s="20"/>
      <c r="F33" s="20"/>
      <c r="G33" s="20"/>
      <c r="H33" s="20"/>
      <c r="I33" s="16"/>
    </row>
    <row r="34" spans="1:9" x14ac:dyDescent="0.25">
      <c r="A34" s="17"/>
      <c r="B34" s="20" t="s">
        <v>763</v>
      </c>
      <c r="C34" s="20"/>
      <c r="D34" s="20"/>
      <c r="E34" s="20"/>
      <c r="F34" s="20"/>
      <c r="G34" s="20"/>
      <c r="H34" s="20"/>
      <c r="I34" s="16"/>
    </row>
    <row r="35" spans="1:9" ht="15.75" thickBot="1" x14ac:dyDescent="0.3">
      <c r="A35" s="21"/>
      <c r="B35" s="22" t="s">
        <v>764</v>
      </c>
      <c r="C35" s="22"/>
      <c r="D35" s="22"/>
      <c r="E35" s="22"/>
      <c r="F35" s="22"/>
      <c r="G35" s="22"/>
      <c r="H35" s="22"/>
      <c r="I35" s="23"/>
    </row>
  </sheetData>
  <mergeCells count="1">
    <mergeCell ref="H1:I1"/>
  </mergeCells>
  <hyperlinks>
    <hyperlink ref="H1" location="TOC!A1" display="Return to TOC" xr:uid="{E7C94DB0-12DF-443D-80E5-0B3809631F7B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F079D-159F-49A4-8036-EA536BF6C19B}">
  <sheetPr codeName="Sheet105"/>
  <dimension ref="A1:AD78"/>
  <sheetViews>
    <sheetView zoomScale="90" zoomScaleNormal="90" workbookViewId="0"/>
  </sheetViews>
  <sheetFormatPr defaultColWidth="9.140625" defaultRowHeight="15" x14ac:dyDescent="0.25"/>
  <cols>
    <col min="1" max="1" width="10.7109375" customWidth="1"/>
    <col min="2" max="2" width="4.7109375" customWidth="1"/>
    <col min="3" max="3" width="10.140625" customWidth="1"/>
    <col min="4" max="4" width="9.85546875" bestFit="1" customWidth="1"/>
    <col min="5" max="5" width="6.42578125" customWidth="1"/>
    <col min="6" max="6" width="9.85546875" bestFit="1" customWidth="1"/>
    <col min="7" max="7" width="9.28515625" customWidth="1"/>
    <col min="8" max="8" width="9.85546875" bestFit="1" customWidth="1"/>
    <col min="9" max="10" width="9.140625" customWidth="1"/>
    <col min="11" max="11" width="11.28515625" customWidth="1"/>
    <col min="12" max="12" width="2.7109375" customWidth="1"/>
    <col min="13" max="13" width="9.28515625" customWidth="1"/>
    <col min="14" max="14" width="9.85546875" bestFit="1" customWidth="1"/>
    <col min="15" max="19" width="9.28515625" customWidth="1"/>
    <col min="20" max="20" width="9.85546875" bestFit="1" customWidth="1"/>
    <col min="21" max="21" width="4" customWidth="1"/>
    <col min="23" max="23" width="9.140625" customWidth="1"/>
    <col min="26" max="26" width="10.7109375" customWidth="1"/>
  </cols>
  <sheetData>
    <row r="1" spans="1:30" x14ac:dyDescent="0.25">
      <c r="A1" s="271" t="s">
        <v>5</v>
      </c>
      <c r="B1" s="272"/>
      <c r="C1" s="272" t="s">
        <v>679</v>
      </c>
      <c r="D1" s="273"/>
      <c r="E1" s="272"/>
      <c r="F1" s="272"/>
      <c r="G1" s="272"/>
      <c r="H1" s="272"/>
      <c r="I1" s="272"/>
      <c r="J1" s="281" t="s">
        <v>6</v>
      </c>
      <c r="K1" s="282"/>
      <c r="L1" s="5"/>
      <c r="M1" s="88" t="s">
        <v>7</v>
      </c>
      <c r="AB1" s="248">
        <f t="shared" ref="AB1:AB25" si="0">S6</f>
        <v>0.02</v>
      </c>
      <c r="AC1" s="248">
        <f>AB1</f>
        <v>0.02</v>
      </c>
      <c r="AD1" t="s">
        <v>782</v>
      </c>
    </row>
    <row r="2" spans="1:30" x14ac:dyDescent="0.25">
      <c r="A2" s="89" t="s">
        <v>8</v>
      </c>
      <c r="B2" s="20"/>
      <c r="C2" s="20" t="s">
        <v>482</v>
      </c>
      <c r="D2" s="20"/>
      <c r="E2" s="20"/>
      <c r="F2" s="20"/>
      <c r="G2" s="20"/>
      <c r="H2" s="20"/>
      <c r="I2" s="20"/>
      <c r="J2" s="20"/>
      <c r="K2" s="16"/>
      <c r="L2" s="5"/>
      <c r="M2" t="s">
        <v>783</v>
      </c>
      <c r="AB2" s="248">
        <f t="shared" si="0"/>
        <v>0.04</v>
      </c>
      <c r="AC2" s="248">
        <f t="shared" ref="AC2:AC24" si="1">AB2</f>
        <v>0.04</v>
      </c>
    </row>
    <row r="3" spans="1:30" x14ac:dyDescent="0.25">
      <c r="A3" s="89" t="s">
        <v>9</v>
      </c>
      <c r="B3" s="20"/>
      <c r="C3" s="20" t="s">
        <v>784</v>
      </c>
      <c r="D3" s="20"/>
      <c r="E3" s="20"/>
      <c r="F3" s="20"/>
      <c r="G3" s="20"/>
      <c r="H3" s="20"/>
      <c r="I3" s="20"/>
      <c r="J3" s="20"/>
      <c r="K3" s="16"/>
      <c r="L3" s="5"/>
      <c r="M3" t="s">
        <v>785</v>
      </c>
      <c r="AB3" s="248">
        <f t="shared" si="0"/>
        <v>0.06</v>
      </c>
      <c r="AC3" s="248">
        <f t="shared" si="1"/>
        <v>0.06</v>
      </c>
    </row>
    <row r="4" spans="1:30" x14ac:dyDescent="0.25">
      <c r="A4" s="274"/>
      <c r="B4" s="275"/>
      <c r="C4" s="275"/>
      <c r="D4" s="275"/>
      <c r="E4" s="275"/>
      <c r="F4" s="275"/>
      <c r="G4" s="275"/>
      <c r="H4" s="275"/>
      <c r="I4" s="275"/>
      <c r="J4" s="275"/>
      <c r="K4" s="276"/>
      <c r="L4" s="139"/>
      <c r="P4" s="247"/>
      <c r="Q4" s="247"/>
      <c r="R4" s="247"/>
      <c r="S4" s="249" t="s">
        <v>786</v>
      </c>
      <c r="T4" s="250"/>
      <c r="V4" s="247"/>
      <c r="W4" s="247"/>
      <c r="X4" s="247"/>
      <c r="Y4" s="249" t="s">
        <v>786</v>
      </c>
      <c r="Z4" s="250"/>
      <c r="AA4" s="186"/>
      <c r="AB4" s="248">
        <f t="shared" si="0"/>
        <v>0.08</v>
      </c>
      <c r="AC4" s="248">
        <f t="shared" si="1"/>
        <v>0.08</v>
      </c>
    </row>
    <row r="5" spans="1:30" ht="15" customHeight="1" x14ac:dyDescent="0.25">
      <c r="A5" s="277" t="s">
        <v>10</v>
      </c>
      <c r="B5" s="20"/>
      <c r="C5" s="20" t="s">
        <v>787</v>
      </c>
      <c r="D5" s="20"/>
      <c r="E5" s="20"/>
      <c r="F5" s="20"/>
      <c r="G5" s="20"/>
      <c r="H5" s="20"/>
      <c r="I5" s="20"/>
      <c r="J5" s="20"/>
      <c r="K5" s="276"/>
      <c r="L5" s="139"/>
      <c r="M5" s="223" t="s">
        <v>788</v>
      </c>
      <c r="N5" s="225"/>
      <c r="P5" s="181" t="s">
        <v>740</v>
      </c>
      <c r="Q5" s="181" t="s">
        <v>789</v>
      </c>
      <c r="R5" s="169" t="s">
        <v>790</v>
      </c>
      <c r="S5" s="182" t="s">
        <v>791</v>
      </c>
      <c r="T5" s="182" t="b">
        <v>1</v>
      </c>
      <c r="V5" s="181" t="s">
        <v>740</v>
      </c>
      <c r="W5" s="181" t="s">
        <v>789</v>
      </c>
      <c r="X5" s="169" t="s">
        <v>790</v>
      </c>
      <c r="Y5" s="182" t="s">
        <v>791</v>
      </c>
      <c r="Z5" s="182" t="b">
        <v>1</v>
      </c>
      <c r="AA5" s="186"/>
      <c r="AB5" s="248">
        <f t="shared" si="0"/>
        <v>0.1</v>
      </c>
      <c r="AC5" s="248">
        <f t="shared" si="1"/>
        <v>0.1</v>
      </c>
    </row>
    <row r="6" spans="1:30" x14ac:dyDescent="0.25">
      <c r="A6" s="17"/>
      <c r="B6" s="20"/>
      <c r="C6" s="20" t="s">
        <v>792</v>
      </c>
      <c r="D6" s="20"/>
      <c r="E6" s="20"/>
      <c r="F6" s="20"/>
      <c r="G6" s="20"/>
      <c r="H6" s="20"/>
      <c r="I6" s="20"/>
      <c r="J6" s="20"/>
      <c r="K6" s="276"/>
      <c r="L6" s="139"/>
      <c r="M6" s="251">
        <f t="shared" ref="M6:N21" si="2">_xlfn.RANK.AVG(C9,$C$9:$D$33,1)</f>
        <v>9</v>
      </c>
      <c r="N6" s="252">
        <f t="shared" si="2"/>
        <v>39</v>
      </c>
      <c r="P6" s="180">
        <v>1</v>
      </c>
      <c r="Q6" s="253">
        <f t="shared" ref="Q6:Q30" si="3">_xlfn.IFNA(INDEX($C$9:$C$33,MATCH(P6,$M$6:$M$30,0)),INDEX($D$9:$D$33,MATCH(P6,$N$6:$N$30,0)))</f>
        <v>2.2579695125481081E-2</v>
      </c>
      <c r="R6" s="254" t="b">
        <f t="shared" ref="R6:R30" si="4">_xlfn.IFNA(INDEX($F$9:$F$33,MATCH(P6,$M$6:$M$30,0)),INDEX($G$9:$G$33,MATCH(P6,$N$6:$N$30,0)))</f>
        <v>0</v>
      </c>
      <c r="S6" s="255">
        <f>P6*2/100</f>
        <v>0.02</v>
      </c>
      <c r="T6" s="256">
        <f>COUNTIFS(R6:$R$6,TRUE)/COUNTIFS($F$9:$G$33,TRUE)</f>
        <v>0</v>
      </c>
      <c r="V6" s="180">
        <v>26</v>
      </c>
      <c r="W6" s="253">
        <f t="shared" ref="W6:W30" si="5">_xlfn.IFNA(INDEX($C$9:$C$33,MATCH(V6,$M$6:$M$30,0)),INDEX($D$9:$D$33,MATCH(V6,$N$6:$N$30,0)))</f>
        <v>0.44795596152492789</v>
      </c>
      <c r="X6" s="254" t="b">
        <f t="shared" ref="X6:X30" si="6">_xlfn.IFNA(INDEX($F$9:$F$33,MATCH(V6,$M$6:$M$30,0)),INDEX($G$9:$G$33,MATCH(V6,$N$6:$N$30,0)))</f>
        <v>0</v>
      </c>
      <c r="Y6" s="255">
        <f>V6*2/100</f>
        <v>0.52</v>
      </c>
      <c r="Z6" s="256">
        <f>(COUNTIFS($R$6:$R$30,TRUE)+COUNTIFS(X6:$X$6,TRUE))/COUNTIFS($F$9:$G$33,TRUE)</f>
        <v>0.17391304347826086</v>
      </c>
      <c r="AA6" s="186"/>
      <c r="AB6" s="248">
        <f t="shared" si="0"/>
        <v>0.12</v>
      </c>
      <c r="AC6" s="248">
        <f t="shared" si="1"/>
        <v>0.12</v>
      </c>
    </row>
    <row r="7" spans="1:30" ht="15" customHeight="1" x14ac:dyDescent="0.25">
      <c r="A7" s="17"/>
      <c r="B7" s="20"/>
      <c r="C7" s="20"/>
      <c r="D7" s="20"/>
      <c r="E7" s="20"/>
      <c r="F7" s="20"/>
      <c r="G7" s="20"/>
      <c r="H7" s="20"/>
      <c r="I7" s="20"/>
      <c r="J7" s="20"/>
      <c r="K7" s="276"/>
      <c r="L7" s="139"/>
      <c r="M7" s="167">
        <f t="shared" si="2"/>
        <v>16</v>
      </c>
      <c r="N7" s="173">
        <f t="shared" si="2"/>
        <v>3</v>
      </c>
      <c r="P7" s="180">
        <v>2</v>
      </c>
      <c r="Q7" s="253">
        <f t="shared" si="3"/>
        <v>7.2428656515987067E-2</v>
      </c>
      <c r="R7" s="254" t="b">
        <f t="shared" si="4"/>
        <v>0</v>
      </c>
      <c r="S7" s="257">
        <f t="shared" ref="S7:S30" si="7">P7*2/100</f>
        <v>0.04</v>
      </c>
      <c r="T7" s="256">
        <f>COUNTIFS(R$6:$R7,TRUE)/COUNTIFS($F$9:$G$33,TRUE)</f>
        <v>0</v>
      </c>
      <c r="V7" s="180">
        <v>27</v>
      </c>
      <c r="W7" s="253">
        <f t="shared" si="5"/>
        <v>0.48947870942662375</v>
      </c>
      <c r="X7" s="254" t="b">
        <f t="shared" si="6"/>
        <v>1</v>
      </c>
      <c r="Y7" s="257">
        <f t="shared" ref="Y7:Y30" si="8">V7*2/100</f>
        <v>0.54</v>
      </c>
      <c r="Z7" s="256">
        <f>(COUNTIFS($R$6:$R$30,TRUE)+COUNTIFS(X$6:$X7,TRUE))/COUNTIFS($F$9:$G$33,TRUE)</f>
        <v>0.21739130434782608</v>
      </c>
      <c r="AA7" s="186"/>
      <c r="AB7" s="248">
        <f t="shared" si="0"/>
        <v>0.14000000000000001</v>
      </c>
      <c r="AC7" s="248">
        <f t="shared" si="1"/>
        <v>0.14000000000000001</v>
      </c>
    </row>
    <row r="8" spans="1:30" ht="15" customHeight="1" x14ac:dyDescent="0.25">
      <c r="A8" s="277"/>
      <c r="B8" s="275"/>
      <c r="C8" s="159" t="s">
        <v>793</v>
      </c>
      <c r="D8" s="40"/>
      <c r="E8" s="20"/>
      <c r="F8" s="159" t="s">
        <v>794</v>
      </c>
      <c r="G8" s="40"/>
      <c r="H8" s="20"/>
      <c r="I8" s="20"/>
      <c r="J8" s="20"/>
      <c r="K8" s="276"/>
      <c r="L8" s="139"/>
      <c r="M8" s="167">
        <f t="shared" si="2"/>
        <v>45</v>
      </c>
      <c r="N8" s="173">
        <f t="shared" si="2"/>
        <v>42</v>
      </c>
      <c r="P8" s="180">
        <v>3</v>
      </c>
      <c r="Q8" s="253">
        <f t="shared" si="3"/>
        <v>8.0351829701715394E-2</v>
      </c>
      <c r="R8" s="254" t="b">
        <f t="shared" si="4"/>
        <v>0</v>
      </c>
      <c r="S8" s="257">
        <f t="shared" si="7"/>
        <v>0.06</v>
      </c>
      <c r="T8" s="256">
        <f>COUNTIFS(R$6:$R8,TRUE)/COUNTIFS($F$9:$G$33,TRUE)</f>
        <v>0</v>
      </c>
      <c r="V8" s="180">
        <v>28</v>
      </c>
      <c r="W8" s="253">
        <f t="shared" si="5"/>
        <v>0.496403216657749</v>
      </c>
      <c r="X8" s="254" t="b">
        <f t="shared" si="6"/>
        <v>0</v>
      </c>
      <c r="Y8" s="257">
        <f t="shared" si="8"/>
        <v>0.56000000000000005</v>
      </c>
      <c r="Z8" s="256">
        <f>(COUNTIFS($R$6:$R$30,TRUE)+COUNTIFS(X$6:$X8,TRUE))/COUNTIFS($F$9:$G$33,TRUE)</f>
        <v>0.21739130434782608</v>
      </c>
      <c r="AA8" s="186"/>
      <c r="AB8" s="248">
        <f t="shared" si="0"/>
        <v>0.16</v>
      </c>
      <c r="AC8" s="248">
        <f t="shared" si="1"/>
        <v>0.16</v>
      </c>
    </row>
    <row r="9" spans="1:30" x14ac:dyDescent="0.25">
      <c r="A9" s="277"/>
      <c r="B9" s="275"/>
      <c r="C9" s="267">
        <v>0.2187350507590321</v>
      </c>
      <c r="D9" s="268">
        <v>0.74024989178813294</v>
      </c>
      <c r="E9" s="20"/>
      <c r="F9" s="119" t="b">
        <v>0</v>
      </c>
      <c r="G9" s="121" t="b">
        <v>1</v>
      </c>
      <c r="H9" s="20"/>
      <c r="I9" s="20"/>
      <c r="J9" s="20"/>
      <c r="K9" s="276"/>
      <c r="L9" s="139"/>
      <c r="M9" s="167">
        <f t="shared" si="2"/>
        <v>24</v>
      </c>
      <c r="N9" s="173">
        <f t="shared" si="2"/>
        <v>4</v>
      </c>
      <c r="P9" s="180">
        <v>4</v>
      </c>
      <c r="Q9" s="253">
        <f t="shared" si="3"/>
        <v>8.5612449173173899E-2</v>
      </c>
      <c r="R9" s="254" t="b">
        <f t="shared" si="4"/>
        <v>0</v>
      </c>
      <c r="S9" s="257">
        <f t="shared" si="7"/>
        <v>0.08</v>
      </c>
      <c r="T9" s="256">
        <f>COUNTIFS(R$6:$R9,TRUE)/COUNTIFS($F$9:$G$33,TRUE)</f>
        <v>0</v>
      </c>
      <c r="V9" s="180">
        <v>29</v>
      </c>
      <c r="W9" s="253">
        <f t="shared" si="5"/>
        <v>0.52078324539451226</v>
      </c>
      <c r="X9" s="254" t="b">
        <f t="shared" si="6"/>
        <v>1</v>
      </c>
      <c r="Y9" s="257">
        <f t="shared" si="8"/>
        <v>0.57999999999999996</v>
      </c>
      <c r="Z9" s="256">
        <f>(COUNTIFS($R$6:$R$30,TRUE)+COUNTIFS(X$6:$X9,TRUE))/COUNTIFS($F$9:$G$33,TRUE)</f>
        <v>0.2608695652173913</v>
      </c>
      <c r="AA9" s="186"/>
      <c r="AB9" s="248">
        <f t="shared" si="0"/>
        <v>0.18</v>
      </c>
      <c r="AC9" s="248">
        <f t="shared" si="1"/>
        <v>0.18</v>
      </c>
    </row>
    <row r="10" spans="1:30" x14ac:dyDescent="0.25">
      <c r="A10" s="274"/>
      <c r="B10" s="275"/>
      <c r="C10" s="269">
        <v>0.34229241589107373</v>
      </c>
      <c r="D10" s="111">
        <v>8.0351829701715394E-2</v>
      </c>
      <c r="E10" s="20"/>
      <c r="F10" s="57" t="b">
        <v>0</v>
      </c>
      <c r="G10" s="63" t="b">
        <v>0</v>
      </c>
      <c r="H10" s="20"/>
      <c r="I10" s="20"/>
      <c r="J10" s="20"/>
      <c r="K10" s="276"/>
      <c r="L10" s="139"/>
      <c r="M10" s="167">
        <f t="shared" si="2"/>
        <v>43</v>
      </c>
      <c r="N10" s="173">
        <f t="shared" si="2"/>
        <v>1</v>
      </c>
      <c r="P10" s="180">
        <v>5</v>
      </c>
      <c r="Q10" s="253">
        <f t="shared" si="3"/>
        <v>0.11003927444905137</v>
      </c>
      <c r="R10" s="254" t="b">
        <f t="shared" si="4"/>
        <v>0</v>
      </c>
      <c r="S10" s="257">
        <f t="shared" si="7"/>
        <v>0.1</v>
      </c>
      <c r="T10" s="256">
        <f>COUNTIFS(R$6:$R10,TRUE)/COUNTIFS($F$9:$G$33,TRUE)</f>
        <v>0</v>
      </c>
      <c r="V10" s="180">
        <v>30</v>
      </c>
      <c r="W10" s="253">
        <f t="shared" si="5"/>
        <v>0.5227385831093545</v>
      </c>
      <c r="X10" s="254" t="b">
        <f t="shared" si="6"/>
        <v>0</v>
      </c>
      <c r="Y10" s="257">
        <f t="shared" si="8"/>
        <v>0.6</v>
      </c>
      <c r="Z10" s="256">
        <f>(COUNTIFS($R$6:$R$30,TRUE)+COUNTIFS(X$6:$X10,TRUE))/COUNTIFS($F$9:$G$33,TRUE)</f>
        <v>0.2608695652173913</v>
      </c>
      <c r="AA10" s="186"/>
      <c r="AB10" s="248">
        <f t="shared" si="0"/>
        <v>0.2</v>
      </c>
      <c r="AC10" s="248">
        <f t="shared" si="1"/>
        <v>0.2</v>
      </c>
    </row>
    <row r="11" spans="1:30" x14ac:dyDescent="0.25">
      <c r="A11" s="274"/>
      <c r="B11" s="275"/>
      <c r="C11" s="269">
        <v>0.85965621520820568</v>
      </c>
      <c r="D11" s="111">
        <v>0.79778626311239886</v>
      </c>
      <c r="E11" s="20"/>
      <c r="F11" s="57" t="b">
        <v>1</v>
      </c>
      <c r="G11" s="63" t="b">
        <v>1</v>
      </c>
      <c r="H11" s="20"/>
      <c r="I11" s="20"/>
      <c r="J11" s="20"/>
      <c r="K11" s="276"/>
      <c r="L11" s="139"/>
      <c r="M11" s="167">
        <f t="shared" si="2"/>
        <v>34</v>
      </c>
      <c r="N11" s="173">
        <f t="shared" si="2"/>
        <v>48</v>
      </c>
      <c r="P11" s="180">
        <v>6</v>
      </c>
      <c r="Q11" s="253">
        <f t="shared" si="3"/>
        <v>0.13882465928470977</v>
      </c>
      <c r="R11" s="254" t="b">
        <f t="shared" si="4"/>
        <v>0</v>
      </c>
      <c r="S11" s="257">
        <f t="shared" si="7"/>
        <v>0.12</v>
      </c>
      <c r="T11" s="256">
        <f>COUNTIFS(R$6:$R11,TRUE)/COUNTIFS($F$9:$G$33,TRUE)</f>
        <v>0</v>
      </c>
      <c r="V11" s="180">
        <v>31</v>
      </c>
      <c r="W11" s="253">
        <f t="shared" si="5"/>
        <v>0.52388261497852906</v>
      </c>
      <c r="X11" s="254" t="b">
        <f t="shared" si="6"/>
        <v>0</v>
      </c>
      <c r="Y11" s="257">
        <f t="shared" si="8"/>
        <v>0.62</v>
      </c>
      <c r="Z11" s="256">
        <f>(COUNTIFS($R$6:$R$30,TRUE)+COUNTIFS(X$6:$X11,TRUE))/COUNTIFS($F$9:$G$33,TRUE)</f>
        <v>0.2608695652173913</v>
      </c>
      <c r="AA11" s="186"/>
      <c r="AB11" s="248">
        <f t="shared" si="0"/>
        <v>0.22</v>
      </c>
      <c r="AC11" s="248">
        <f t="shared" si="1"/>
        <v>0.22</v>
      </c>
    </row>
    <row r="12" spans="1:30" x14ac:dyDescent="0.25">
      <c r="A12" s="274"/>
      <c r="B12" s="275"/>
      <c r="C12" s="269">
        <v>0.42853014377381016</v>
      </c>
      <c r="D12" s="111">
        <v>8.5612449173173899E-2</v>
      </c>
      <c r="E12" s="20"/>
      <c r="F12" s="57" t="b">
        <v>1</v>
      </c>
      <c r="G12" s="63" t="b">
        <v>0</v>
      </c>
      <c r="H12" s="20"/>
      <c r="I12" s="20"/>
      <c r="J12" s="20"/>
      <c r="K12" s="276"/>
      <c r="L12" s="139"/>
      <c r="M12" s="167">
        <f t="shared" si="2"/>
        <v>25</v>
      </c>
      <c r="N12" s="173">
        <f t="shared" si="2"/>
        <v>13</v>
      </c>
      <c r="P12" s="180">
        <v>7</v>
      </c>
      <c r="Q12" s="253">
        <f t="shared" si="3"/>
        <v>0.16391794520777003</v>
      </c>
      <c r="R12" s="254" t="b">
        <f t="shared" si="4"/>
        <v>0</v>
      </c>
      <c r="S12" s="257">
        <f t="shared" si="7"/>
        <v>0.14000000000000001</v>
      </c>
      <c r="T12" s="256">
        <f>COUNTIFS(R$6:$R12,TRUE)/COUNTIFS($F$9:$G$33,TRUE)</f>
        <v>0</v>
      </c>
      <c r="V12" s="180">
        <v>32</v>
      </c>
      <c r="W12" s="253">
        <f t="shared" si="5"/>
        <v>0.55294991990443554</v>
      </c>
      <c r="X12" s="254" t="b">
        <f t="shared" si="6"/>
        <v>1</v>
      </c>
      <c r="Y12" s="257">
        <f t="shared" si="8"/>
        <v>0.64</v>
      </c>
      <c r="Z12" s="256">
        <f>(COUNTIFS($R$6:$R$30,TRUE)+COUNTIFS(X$6:$X12,TRUE))/COUNTIFS($F$9:$G$33,TRUE)</f>
        <v>0.30434782608695654</v>
      </c>
      <c r="AA12" s="186"/>
      <c r="AB12" s="248">
        <f t="shared" si="0"/>
        <v>0.24</v>
      </c>
      <c r="AC12" s="248">
        <f t="shared" si="1"/>
        <v>0.24</v>
      </c>
    </row>
    <row r="13" spans="1:30" x14ac:dyDescent="0.25">
      <c r="A13" s="274"/>
      <c r="B13" s="275"/>
      <c r="C13" s="269">
        <v>0.80329196205342057</v>
      </c>
      <c r="D13" s="111">
        <v>2.2579695125481081E-2</v>
      </c>
      <c r="E13" s="20"/>
      <c r="F13" s="57" t="b">
        <v>1</v>
      </c>
      <c r="G13" s="63" t="b">
        <v>0</v>
      </c>
      <c r="H13" s="20"/>
      <c r="I13" s="20"/>
      <c r="J13" s="20"/>
      <c r="K13" s="276"/>
      <c r="L13" s="139"/>
      <c r="M13" s="167">
        <f t="shared" si="2"/>
        <v>11</v>
      </c>
      <c r="N13" s="173">
        <f t="shared" si="2"/>
        <v>50</v>
      </c>
      <c r="P13" s="180">
        <v>8</v>
      </c>
      <c r="Q13" s="253">
        <f t="shared" si="3"/>
        <v>0.19853762067243641</v>
      </c>
      <c r="R13" s="254" t="b">
        <f t="shared" si="4"/>
        <v>0</v>
      </c>
      <c r="S13" s="257">
        <f t="shared" si="7"/>
        <v>0.16</v>
      </c>
      <c r="T13" s="256">
        <f>COUNTIFS(R$6:$R13,TRUE)/COUNTIFS($F$9:$G$33,TRUE)</f>
        <v>0</v>
      </c>
      <c r="V13" s="180">
        <v>33</v>
      </c>
      <c r="W13" s="253">
        <f t="shared" si="5"/>
        <v>0.55424160946708212</v>
      </c>
      <c r="X13" s="254" t="b">
        <f t="shared" si="6"/>
        <v>1</v>
      </c>
      <c r="Y13" s="257">
        <f t="shared" si="8"/>
        <v>0.66</v>
      </c>
      <c r="Z13" s="256">
        <f>(COUNTIFS($R$6:$R$30,TRUE)+COUNTIFS(X$6:$X13,TRUE))/COUNTIFS($F$9:$G$33,TRUE)</f>
        <v>0.34782608695652173</v>
      </c>
      <c r="AA13" s="186"/>
      <c r="AB13" s="248">
        <f t="shared" si="0"/>
        <v>0.26</v>
      </c>
      <c r="AC13" s="248">
        <f t="shared" si="1"/>
        <v>0.26</v>
      </c>
    </row>
    <row r="14" spans="1:30" x14ac:dyDescent="0.25">
      <c r="A14" s="274"/>
      <c r="B14" s="275"/>
      <c r="C14" s="269">
        <v>0.63391689623235137</v>
      </c>
      <c r="D14" s="111">
        <v>0.95968743769709719</v>
      </c>
      <c r="E14" s="20"/>
      <c r="F14" s="57" t="b">
        <v>1</v>
      </c>
      <c r="G14" s="63" t="b">
        <v>1</v>
      </c>
      <c r="H14" s="20"/>
      <c r="I14" s="20"/>
      <c r="J14" s="20"/>
      <c r="K14" s="276"/>
      <c r="L14" s="139"/>
      <c r="M14" s="167">
        <f t="shared" si="2"/>
        <v>46</v>
      </c>
      <c r="N14" s="173">
        <f t="shared" si="2"/>
        <v>18</v>
      </c>
      <c r="P14" s="180">
        <v>9</v>
      </c>
      <c r="Q14" s="253">
        <f t="shared" si="3"/>
        <v>0.2187350507590321</v>
      </c>
      <c r="R14" s="254" t="b">
        <f t="shared" si="4"/>
        <v>0</v>
      </c>
      <c r="S14" s="257">
        <f t="shared" si="7"/>
        <v>0.18</v>
      </c>
      <c r="T14" s="256">
        <f>COUNTIFS(R$6:$R14,TRUE)/COUNTIFS($F$9:$G$33,TRUE)</f>
        <v>0</v>
      </c>
      <c r="V14" s="180">
        <v>34</v>
      </c>
      <c r="W14" s="253">
        <f t="shared" si="5"/>
        <v>0.63391689623235137</v>
      </c>
      <c r="X14" s="254" t="b">
        <f t="shared" si="6"/>
        <v>1</v>
      </c>
      <c r="Y14" s="257">
        <f t="shared" si="8"/>
        <v>0.68</v>
      </c>
      <c r="Z14" s="256">
        <f>(COUNTIFS($R$6:$R$30,TRUE)+COUNTIFS(X$6:$X14,TRUE))/COUNTIFS($F$9:$G$33,TRUE)</f>
        <v>0.39130434782608697</v>
      </c>
      <c r="AA14" s="186"/>
      <c r="AB14" s="248">
        <f t="shared" si="0"/>
        <v>0.28000000000000003</v>
      </c>
      <c r="AC14" s="248">
        <f t="shared" si="1"/>
        <v>0.28000000000000003</v>
      </c>
    </row>
    <row r="15" spans="1:30" x14ac:dyDescent="0.25">
      <c r="A15" s="17"/>
      <c r="B15" s="20"/>
      <c r="C15" s="269">
        <v>0.43243142476242324</v>
      </c>
      <c r="D15" s="111">
        <v>0.32472385963650607</v>
      </c>
      <c r="E15" s="20"/>
      <c r="F15" s="57" t="b">
        <v>0</v>
      </c>
      <c r="G15" s="63" t="b">
        <v>0</v>
      </c>
      <c r="H15" s="20"/>
      <c r="I15" s="20"/>
      <c r="J15" s="20"/>
      <c r="K15" s="276"/>
      <c r="L15" s="139"/>
      <c r="M15" s="167">
        <f t="shared" si="2"/>
        <v>5</v>
      </c>
      <c r="N15" s="173">
        <f t="shared" si="2"/>
        <v>47</v>
      </c>
      <c r="P15" s="180">
        <v>10</v>
      </c>
      <c r="Q15" s="253">
        <f t="shared" si="3"/>
        <v>0.26394892468832987</v>
      </c>
      <c r="R15" s="254" t="b">
        <f t="shared" si="4"/>
        <v>1</v>
      </c>
      <c r="S15" s="257">
        <f t="shared" si="7"/>
        <v>0.2</v>
      </c>
      <c r="T15" s="256">
        <f>COUNTIFS(R$6:$R15,TRUE)/COUNTIFS($F$9:$G$33,TRUE)</f>
        <v>4.3478260869565216E-2</v>
      </c>
      <c r="V15" s="180">
        <v>35</v>
      </c>
      <c r="W15" s="253">
        <f t="shared" si="5"/>
        <v>0.63965231908718989</v>
      </c>
      <c r="X15" s="254" t="b">
        <f t="shared" si="6"/>
        <v>0</v>
      </c>
      <c r="Y15" s="257">
        <f t="shared" si="8"/>
        <v>0.7</v>
      </c>
      <c r="Z15" s="256">
        <f>(COUNTIFS($R$6:$R$30,TRUE)+COUNTIFS(X$6:$X15,TRUE))/COUNTIFS($F$9:$G$33,TRUE)</f>
        <v>0.39130434782608697</v>
      </c>
      <c r="AA15" s="186"/>
      <c r="AB15" s="248">
        <f t="shared" si="0"/>
        <v>0.3</v>
      </c>
      <c r="AC15" s="248">
        <f t="shared" si="1"/>
        <v>0.3</v>
      </c>
    </row>
    <row r="16" spans="1:30" x14ac:dyDescent="0.25">
      <c r="A16" s="17"/>
      <c r="B16" s="20"/>
      <c r="C16" s="269">
        <v>0.2840920347430903</v>
      </c>
      <c r="D16" s="111">
        <v>0.99380901313041747</v>
      </c>
      <c r="E16" s="20"/>
      <c r="F16" s="57" t="b">
        <v>0</v>
      </c>
      <c r="G16" s="63" t="b">
        <v>1</v>
      </c>
      <c r="H16" s="20"/>
      <c r="I16" s="20"/>
      <c r="J16" s="20"/>
      <c r="K16" s="276"/>
      <c r="L16" s="139"/>
      <c r="M16" s="167">
        <f t="shared" si="2"/>
        <v>40</v>
      </c>
      <c r="N16" s="173">
        <f t="shared" si="2"/>
        <v>22</v>
      </c>
      <c r="P16" s="180">
        <v>11</v>
      </c>
      <c r="Q16" s="253">
        <f t="shared" si="3"/>
        <v>0.2840920347430903</v>
      </c>
      <c r="R16" s="254" t="b">
        <f t="shared" si="4"/>
        <v>0</v>
      </c>
      <c r="S16" s="257">
        <f t="shared" si="7"/>
        <v>0.22</v>
      </c>
      <c r="T16" s="256">
        <f>COUNTIFS(R$6:$R16,TRUE)/COUNTIFS($F$9:$G$33,TRUE)</f>
        <v>4.3478260869565216E-2</v>
      </c>
      <c r="V16" s="180">
        <v>36</v>
      </c>
      <c r="W16" s="253">
        <f t="shared" si="5"/>
        <v>0.65176197607240349</v>
      </c>
      <c r="X16" s="254" t="b">
        <f t="shared" si="6"/>
        <v>1</v>
      </c>
      <c r="Y16" s="257">
        <f t="shared" si="8"/>
        <v>0.72</v>
      </c>
      <c r="Z16" s="256">
        <f>(COUNTIFS($R$6:$R$30,TRUE)+COUNTIFS(X$6:$X16,TRUE))/COUNTIFS($F$9:$G$33,TRUE)</f>
        <v>0.43478260869565216</v>
      </c>
      <c r="AA16" s="186"/>
      <c r="AB16" s="248">
        <f t="shared" si="0"/>
        <v>0.32</v>
      </c>
      <c r="AC16" s="248">
        <f t="shared" si="1"/>
        <v>0.32</v>
      </c>
    </row>
    <row r="17" spans="1:29" x14ac:dyDescent="0.25">
      <c r="A17" s="17"/>
      <c r="B17" s="20"/>
      <c r="C17" s="269">
        <v>0.88753578761916063</v>
      </c>
      <c r="D17" s="111">
        <v>0.38417310977715846</v>
      </c>
      <c r="E17" s="20"/>
      <c r="F17" s="57" t="b">
        <v>1</v>
      </c>
      <c r="G17" s="63" t="b">
        <v>0</v>
      </c>
      <c r="H17" s="20"/>
      <c r="I17" s="20"/>
      <c r="J17" s="20"/>
      <c r="K17" s="276"/>
      <c r="L17" s="139"/>
      <c r="M17" s="167">
        <f t="shared" si="2"/>
        <v>38</v>
      </c>
      <c r="N17" s="173">
        <f t="shared" si="2"/>
        <v>20</v>
      </c>
      <c r="P17" s="180">
        <v>12</v>
      </c>
      <c r="Q17" s="253">
        <f t="shared" si="3"/>
        <v>0.31813475328083007</v>
      </c>
      <c r="R17" s="254" t="b">
        <f t="shared" si="4"/>
        <v>0</v>
      </c>
      <c r="S17" s="257">
        <f t="shared" si="7"/>
        <v>0.24</v>
      </c>
      <c r="T17" s="256">
        <f>COUNTIFS(R$6:$R17,TRUE)/COUNTIFS($F$9:$G$33,TRUE)</f>
        <v>4.3478260869565216E-2</v>
      </c>
      <c r="V17" s="180">
        <v>37</v>
      </c>
      <c r="W17" s="253">
        <f t="shared" si="5"/>
        <v>0.67295325822173524</v>
      </c>
      <c r="X17" s="254" t="b">
        <f t="shared" si="6"/>
        <v>0</v>
      </c>
      <c r="Y17" s="257">
        <f t="shared" si="8"/>
        <v>0.74</v>
      </c>
      <c r="Z17" s="256">
        <f>(COUNTIFS($R$6:$R$30,TRUE)+COUNTIFS(X$6:$X17,TRUE))/COUNTIFS($F$9:$G$33,TRUE)</f>
        <v>0.43478260869565216</v>
      </c>
      <c r="AA17" s="186"/>
      <c r="AB17" s="248">
        <f t="shared" si="0"/>
        <v>0.34</v>
      </c>
      <c r="AC17" s="248">
        <f t="shared" si="1"/>
        <v>0.34</v>
      </c>
    </row>
    <row r="18" spans="1:29" x14ac:dyDescent="0.25">
      <c r="A18" s="17"/>
      <c r="B18" s="20"/>
      <c r="C18" s="269">
        <v>0.11003927444905137</v>
      </c>
      <c r="D18" s="111">
        <v>0.94342401952591903</v>
      </c>
      <c r="E18" s="20"/>
      <c r="F18" s="57" t="b">
        <v>0</v>
      </c>
      <c r="G18" s="63" t="b">
        <v>1</v>
      </c>
      <c r="H18" s="20"/>
      <c r="I18" s="20"/>
      <c r="J18" s="20"/>
      <c r="K18" s="276"/>
      <c r="L18" s="139"/>
      <c r="M18" s="167">
        <f t="shared" si="2"/>
        <v>12</v>
      </c>
      <c r="N18" s="173">
        <f t="shared" si="2"/>
        <v>23</v>
      </c>
      <c r="P18" s="180">
        <v>13</v>
      </c>
      <c r="Q18" s="253">
        <f t="shared" si="3"/>
        <v>0.32472385963650607</v>
      </c>
      <c r="R18" s="254" t="b">
        <f t="shared" si="4"/>
        <v>0</v>
      </c>
      <c r="S18" s="257">
        <f t="shared" si="7"/>
        <v>0.26</v>
      </c>
      <c r="T18" s="256">
        <f>COUNTIFS(R$6:$R18,TRUE)/COUNTIFS($F$9:$G$33,TRUE)</f>
        <v>4.3478260869565216E-2</v>
      </c>
      <c r="V18" s="180">
        <v>38</v>
      </c>
      <c r="W18" s="253">
        <f t="shared" si="5"/>
        <v>0.69540075650959576</v>
      </c>
      <c r="X18" s="254" t="b">
        <f t="shared" si="6"/>
        <v>1</v>
      </c>
      <c r="Y18" s="257">
        <f t="shared" si="8"/>
        <v>0.76</v>
      </c>
      <c r="Z18" s="256">
        <f>(COUNTIFS($R$6:$R$30,TRUE)+COUNTIFS(X$6:$X18,TRUE))/COUNTIFS($F$9:$G$33,TRUE)</f>
        <v>0.47826086956521741</v>
      </c>
      <c r="AA18" s="186"/>
      <c r="AB18" s="248">
        <f t="shared" si="0"/>
        <v>0.36</v>
      </c>
      <c r="AC18" s="248">
        <f t="shared" si="1"/>
        <v>0.36</v>
      </c>
    </row>
    <row r="19" spans="1:29" ht="15" customHeight="1" x14ac:dyDescent="0.25">
      <c r="A19" s="17"/>
      <c r="B19" s="20"/>
      <c r="C19" s="269">
        <v>0.77223947881456656</v>
      </c>
      <c r="D19" s="111">
        <v>0.42140601247407194</v>
      </c>
      <c r="E19" s="20"/>
      <c r="F19" s="57" t="b">
        <v>1</v>
      </c>
      <c r="G19" s="63" t="b">
        <v>0</v>
      </c>
      <c r="H19" s="20"/>
      <c r="I19" s="20"/>
      <c r="J19" s="20"/>
      <c r="K19" s="276"/>
      <c r="L19" s="139"/>
      <c r="M19" s="167">
        <f t="shared" si="2"/>
        <v>17</v>
      </c>
      <c r="N19" s="173">
        <f t="shared" si="2"/>
        <v>21</v>
      </c>
      <c r="P19" s="180">
        <v>14</v>
      </c>
      <c r="Q19" s="253">
        <f t="shared" si="3"/>
        <v>0.32840081870161786</v>
      </c>
      <c r="R19" s="254" t="b">
        <f t="shared" si="4"/>
        <v>0</v>
      </c>
      <c r="S19" s="257">
        <f t="shared" si="7"/>
        <v>0.28000000000000003</v>
      </c>
      <c r="T19" s="256">
        <f>COUNTIFS(R$6:$R19,TRUE)/COUNTIFS($F$9:$G$33,TRUE)</f>
        <v>4.3478260869565216E-2</v>
      </c>
      <c r="V19" s="180">
        <v>39</v>
      </c>
      <c r="W19" s="253">
        <f t="shared" si="5"/>
        <v>0.74024989178813294</v>
      </c>
      <c r="X19" s="254" t="b">
        <f t="shared" si="6"/>
        <v>1</v>
      </c>
      <c r="Y19" s="257">
        <f t="shared" si="8"/>
        <v>0.78</v>
      </c>
      <c r="Z19" s="256">
        <f>(COUNTIFS($R$6:$R$30,TRUE)+COUNTIFS(X$6:$X19,TRUE))/COUNTIFS($F$9:$G$33,TRUE)</f>
        <v>0.52173913043478259</v>
      </c>
      <c r="AA19" s="186"/>
      <c r="AB19" s="248">
        <f t="shared" si="0"/>
        <v>0.38</v>
      </c>
      <c r="AC19" s="248">
        <f t="shared" si="1"/>
        <v>0.38</v>
      </c>
    </row>
    <row r="20" spans="1:29" x14ac:dyDescent="0.25">
      <c r="A20" s="17"/>
      <c r="B20" s="20"/>
      <c r="C20" s="269">
        <v>0.69540075650959576</v>
      </c>
      <c r="D20" s="111">
        <v>0.39125070923061467</v>
      </c>
      <c r="E20" s="20"/>
      <c r="F20" s="57" t="b">
        <v>1</v>
      </c>
      <c r="G20" s="63" t="b">
        <v>1</v>
      </c>
      <c r="H20" s="20"/>
      <c r="I20" s="20"/>
      <c r="J20" s="20"/>
      <c r="K20" s="276"/>
      <c r="L20" s="139"/>
      <c r="M20" s="167">
        <f t="shared" si="2"/>
        <v>29</v>
      </c>
      <c r="N20" s="173">
        <f t="shared" si="2"/>
        <v>44</v>
      </c>
      <c r="P20" s="180">
        <v>15</v>
      </c>
      <c r="Q20" s="253">
        <f t="shared" si="3"/>
        <v>0.32889408672410636</v>
      </c>
      <c r="R20" s="254" t="b">
        <f t="shared" si="4"/>
        <v>0</v>
      </c>
      <c r="S20" s="257">
        <f t="shared" si="7"/>
        <v>0.3</v>
      </c>
      <c r="T20" s="256">
        <f>COUNTIFS(R$6:$R20,TRUE)/COUNTIFS($F$9:$G$33,TRUE)</f>
        <v>4.3478260869565216E-2</v>
      </c>
      <c r="V20" s="180">
        <v>40</v>
      </c>
      <c r="W20" s="253">
        <f t="shared" si="5"/>
        <v>0.77223947881456656</v>
      </c>
      <c r="X20" s="254" t="b">
        <f t="shared" si="6"/>
        <v>1</v>
      </c>
      <c r="Y20" s="257">
        <f t="shared" si="8"/>
        <v>0.8</v>
      </c>
      <c r="Z20" s="256">
        <f>(COUNTIFS($R$6:$R$30,TRUE)+COUNTIFS(X$6:$X20,TRUE))/COUNTIFS($F$9:$G$33,TRUE)</f>
        <v>0.56521739130434778</v>
      </c>
      <c r="AA20" s="186"/>
      <c r="AB20" s="248">
        <f t="shared" si="0"/>
        <v>0.4</v>
      </c>
      <c r="AC20" s="248">
        <f t="shared" si="1"/>
        <v>0.4</v>
      </c>
    </row>
    <row r="21" spans="1:29" x14ac:dyDescent="0.25">
      <c r="A21" s="17"/>
      <c r="B21" s="20"/>
      <c r="C21" s="269">
        <v>0.31813475328083007</v>
      </c>
      <c r="D21" s="111">
        <v>0.42395243153309836</v>
      </c>
      <c r="E21" s="20"/>
      <c r="F21" s="57" t="b">
        <v>0</v>
      </c>
      <c r="G21" s="63" t="b">
        <v>0</v>
      </c>
      <c r="H21" s="20"/>
      <c r="I21" s="20"/>
      <c r="J21" s="20"/>
      <c r="K21" s="276"/>
      <c r="L21" s="139"/>
      <c r="M21" s="167">
        <f t="shared" si="2"/>
        <v>49</v>
      </c>
      <c r="N21" s="173">
        <f t="shared" si="2"/>
        <v>36</v>
      </c>
      <c r="P21" s="180">
        <v>16</v>
      </c>
      <c r="Q21" s="253">
        <f t="shared" si="3"/>
        <v>0.34229241589107373</v>
      </c>
      <c r="R21" s="254" t="b">
        <f t="shared" si="4"/>
        <v>0</v>
      </c>
      <c r="S21" s="257">
        <f t="shared" si="7"/>
        <v>0.32</v>
      </c>
      <c r="T21" s="256">
        <f>COUNTIFS(R$6:$R21,TRUE)/COUNTIFS($F$9:$G$33,TRUE)</f>
        <v>4.3478260869565216E-2</v>
      </c>
      <c r="V21" s="180">
        <v>41</v>
      </c>
      <c r="W21" s="253">
        <f t="shared" si="5"/>
        <v>0.78997756221310544</v>
      </c>
      <c r="X21" s="254" t="b">
        <f t="shared" si="6"/>
        <v>1</v>
      </c>
      <c r="Y21" s="257">
        <f t="shared" si="8"/>
        <v>0.82</v>
      </c>
      <c r="Z21" s="256">
        <f>(COUNTIFS($R$6:$R$30,TRUE)+COUNTIFS(X$6:$X21,TRUE))/COUNTIFS($F$9:$G$33,TRUE)</f>
        <v>0.60869565217391308</v>
      </c>
      <c r="AA21" s="186"/>
      <c r="AB21" s="248">
        <f t="shared" si="0"/>
        <v>0.42</v>
      </c>
      <c r="AC21" s="248">
        <f t="shared" si="1"/>
        <v>0.42</v>
      </c>
    </row>
    <row r="22" spans="1:29" x14ac:dyDescent="0.25">
      <c r="A22" s="17"/>
      <c r="B22" s="20"/>
      <c r="C22" s="269">
        <v>0.3750354308958731</v>
      </c>
      <c r="D22" s="111">
        <v>0.40491667908006057</v>
      </c>
      <c r="E22" s="20"/>
      <c r="F22" s="57" t="b">
        <v>1</v>
      </c>
      <c r="G22" s="63" t="b">
        <v>0</v>
      </c>
      <c r="H22" s="20"/>
      <c r="I22" s="20"/>
      <c r="J22" s="20"/>
      <c r="K22" s="16"/>
      <c r="L22" s="139"/>
      <c r="M22" s="167">
        <f t="shared" ref="M22:N30" si="9">_xlfn.RANK.AVG(C25,$C$9:$D$33,1)</f>
        <v>15</v>
      </c>
      <c r="N22" s="173">
        <f t="shared" si="9"/>
        <v>27</v>
      </c>
      <c r="P22" s="180">
        <v>17</v>
      </c>
      <c r="Q22" s="253">
        <f t="shared" si="3"/>
        <v>0.3750354308958731</v>
      </c>
      <c r="R22" s="254" t="b">
        <f t="shared" si="4"/>
        <v>1</v>
      </c>
      <c r="S22" s="257">
        <f t="shared" si="7"/>
        <v>0.34</v>
      </c>
      <c r="T22" s="256">
        <f>COUNTIFS(R$6:$R22,TRUE)/COUNTIFS($F$9:$G$33,TRUE)</f>
        <v>8.6956521739130432E-2</v>
      </c>
      <c r="V22" s="180">
        <v>42</v>
      </c>
      <c r="W22" s="253">
        <f t="shared" si="5"/>
        <v>0.79778626311239886</v>
      </c>
      <c r="X22" s="254" t="b">
        <f t="shared" si="6"/>
        <v>1</v>
      </c>
      <c r="Y22" s="257">
        <f t="shared" si="8"/>
        <v>0.84</v>
      </c>
      <c r="Z22" s="256">
        <f>(COUNTIFS($R$6:$R$30,TRUE)+COUNTIFS(X$6:$X22,TRUE))/COUNTIFS($F$9:$G$33,TRUE)</f>
        <v>0.65217391304347827</v>
      </c>
      <c r="AA22" s="186"/>
      <c r="AB22" s="248">
        <f t="shared" si="0"/>
        <v>0.44</v>
      </c>
      <c r="AC22" s="248">
        <f t="shared" si="1"/>
        <v>0.44</v>
      </c>
    </row>
    <row r="23" spans="1:29" ht="15" customHeight="1" x14ac:dyDescent="0.25">
      <c r="A23" s="17"/>
      <c r="B23" s="20"/>
      <c r="C23" s="269">
        <v>0.52078324539451226</v>
      </c>
      <c r="D23" s="111">
        <v>0.83003485941277189</v>
      </c>
      <c r="E23" s="20"/>
      <c r="F23" s="57" t="b">
        <v>1</v>
      </c>
      <c r="G23" s="63" t="b">
        <v>1</v>
      </c>
      <c r="H23" s="20"/>
      <c r="I23" s="20"/>
      <c r="J23" s="20"/>
      <c r="K23" s="16"/>
      <c r="L23" s="139"/>
      <c r="M23" s="167">
        <f t="shared" si="9"/>
        <v>31</v>
      </c>
      <c r="N23" s="173">
        <f t="shared" si="9"/>
        <v>10</v>
      </c>
      <c r="P23" s="180">
        <v>18</v>
      </c>
      <c r="Q23" s="253">
        <f t="shared" si="3"/>
        <v>0.38417310977715846</v>
      </c>
      <c r="R23" s="254" t="b">
        <f t="shared" si="4"/>
        <v>0</v>
      </c>
      <c r="S23" s="257">
        <f t="shared" si="7"/>
        <v>0.36</v>
      </c>
      <c r="T23" s="256">
        <f>COUNTIFS(R$6:$R23,TRUE)/COUNTIFS($F$9:$G$33,TRUE)</f>
        <v>8.6956521739130432E-2</v>
      </c>
      <c r="V23" s="180">
        <v>43</v>
      </c>
      <c r="W23" s="253">
        <f t="shared" si="5"/>
        <v>0.80329196205342057</v>
      </c>
      <c r="X23" s="254" t="b">
        <f t="shared" si="6"/>
        <v>1</v>
      </c>
      <c r="Y23" s="257">
        <f t="shared" si="8"/>
        <v>0.86</v>
      </c>
      <c r="Z23" s="256">
        <f>(COUNTIFS($R$6:$R$30,TRUE)+COUNTIFS(X$6:$X23,TRUE))/COUNTIFS($F$9:$G$33,TRUE)</f>
        <v>0.69565217391304346</v>
      </c>
      <c r="AA23" s="186"/>
      <c r="AB23" s="248">
        <f t="shared" si="0"/>
        <v>0.46</v>
      </c>
      <c r="AC23" s="248">
        <f t="shared" si="1"/>
        <v>0.46</v>
      </c>
    </row>
    <row r="24" spans="1:29" ht="15" customHeight="1" x14ac:dyDescent="0.25">
      <c r="A24" s="17"/>
      <c r="B24" s="20"/>
      <c r="C24" s="269">
        <v>0.96250041699411282</v>
      </c>
      <c r="D24" s="111">
        <v>0.65176197607240349</v>
      </c>
      <c r="E24" s="20"/>
      <c r="F24" s="57" t="b">
        <v>1</v>
      </c>
      <c r="G24" s="63" t="b">
        <v>1</v>
      </c>
      <c r="H24" s="20"/>
      <c r="I24" s="20"/>
      <c r="J24" s="20"/>
      <c r="K24" s="16"/>
      <c r="L24" s="139"/>
      <c r="M24" s="167">
        <f t="shared" si="9"/>
        <v>28</v>
      </c>
      <c r="N24" s="173">
        <f t="shared" si="9"/>
        <v>19</v>
      </c>
      <c r="P24" s="180">
        <v>19</v>
      </c>
      <c r="Q24" s="253">
        <f t="shared" si="3"/>
        <v>0.38422590805327161</v>
      </c>
      <c r="R24" s="254" t="b">
        <f t="shared" si="4"/>
        <v>0</v>
      </c>
      <c r="S24" s="257">
        <f t="shared" si="7"/>
        <v>0.38</v>
      </c>
      <c r="T24" s="256">
        <f>COUNTIFS(R$6:$R24,TRUE)/COUNTIFS($F$9:$G$33,TRUE)</f>
        <v>8.6956521739130432E-2</v>
      </c>
      <c r="V24" s="180">
        <v>44</v>
      </c>
      <c r="W24" s="253">
        <f t="shared" si="5"/>
        <v>0.83003485941277189</v>
      </c>
      <c r="X24" s="254" t="b">
        <f t="shared" si="6"/>
        <v>1</v>
      </c>
      <c r="Y24" s="257">
        <f t="shared" si="8"/>
        <v>0.88</v>
      </c>
      <c r="Z24" s="256">
        <f>(COUNTIFS($R$6:$R$30,TRUE)+COUNTIFS(X$6:$X24,TRUE))/COUNTIFS($F$9:$G$33,TRUE)</f>
        <v>0.73913043478260865</v>
      </c>
      <c r="AA24" s="186"/>
      <c r="AB24" s="248">
        <f t="shared" si="0"/>
        <v>0.48</v>
      </c>
      <c r="AC24" s="248">
        <f t="shared" si="1"/>
        <v>0.48</v>
      </c>
    </row>
    <row r="25" spans="1:29" ht="15" customHeight="1" x14ac:dyDescent="0.25">
      <c r="A25" s="17"/>
      <c r="B25" s="20"/>
      <c r="C25" s="269">
        <v>0.32889408672410636</v>
      </c>
      <c r="D25" s="111">
        <v>0.48947870942662375</v>
      </c>
      <c r="E25" s="20"/>
      <c r="F25" s="57" t="b">
        <v>0</v>
      </c>
      <c r="G25" s="63" t="b">
        <v>1</v>
      </c>
      <c r="H25" s="20"/>
      <c r="I25" s="20"/>
      <c r="J25" s="20"/>
      <c r="K25" s="16"/>
      <c r="L25" s="139"/>
      <c r="M25" s="167">
        <f t="shared" si="9"/>
        <v>2</v>
      </c>
      <c r="N25" s="173">
        <f t="shared" si="9"/>
        <v>41</v>
      </c>
      <c r="P25" s="180">
        <v>20</v>
      </c>
      <c r="Q25" s="253">
        <f t="shared" si="3"/>
        <v>0.39125070923061467</v>
      </c>
      <c r="R25" s="254" t="b">
        <f t="shared" si="4"/>
        <v>1</v>
      </c>
      <c r="S25" s="257">
        <f t="shared" si="7"/>
        <v>0.4</v>
      </c>
      <c r="T25" s="256">
        <f>COUNTIFS(R$6:$R25,TRUE)/COUNTIFS($F$9:$G$33,TRUE)</f>
        <v>0.13043478260869565</v>
      </c>
      <c r="V25" s="180">
        <v>45</v>
      </c>
      <c r="W25" s="253">
        <f t="shared" si="5"/>
        <v>0.85965621520820568</v>
      </c>
      <c r="X25" s="254" t="b">
        <f t="shared" si="6"/>
        <v>1</v>
      </c>
      <c r="Y25" s="257">
        <f t="shared" si="8"/>
        <v>0.9</v>
      </c>
      <c r="Z25" s="256">
        <f>(COUNTIFS($R$6:$R$30,TRUE)+COUNTIFS(X$6:$X25,TRUE))/COUNTIFS($F$9:$G$33,TRUE)</f>
        <v>0.78260869565217395</v>
      </c>
      <c r="AA25" s="186"/>
      <c r="AB25" s="248">
        <f t="shared" si="0"/>
        <v>0.5</v>
      </c>
      <c r="AC25" s="248">
        <f>AB25</f>
        <v>0.5</v>
      </c>
    </row>
    <row r="26" spans="1:29" ht="15" customHeight="1" x14ac:dyDescent="0.25">
      <c r="A26" s="17"/>
      <c r="B26" s="20"/>
      <c r="C26" s="269">
        <v>0.52388261497852906</v>
      </c>
      <c r="D26" s="111">
        <v>0.26394892468832987</v>
      </c>
      <c r="E26" s="20"/>
      <c r="F26" s="57" t="b">
        <v>0</v>
      </c>
      <c r="G26" s="63" t="b">
        <v>1</v>
      </c>
      <c r="H26" s="20"/>
      <c r="I26" s="20"/>
      <c r="J26" s="20"/>
      <c r="K26" s="16"/>
      <c r="L26" s="139"/>
      <c r="M26" s="167">
        <f t="shared" si="9"/>
        <v>14</v>
      </c>
      <c r="N26" s="173">
        <f t="shared" si="9"/>
        <v>30</v>
      </c>
      <c r="P26" s="180">
        <v>21</v>
      </c>
      <c r="Q26" s="253">
        <f t="shared" si="3"/>
        <v>0.40491667908006057</v>
      </c>
      <c r="R26" s="254" t="b">
        <f t="shared" si="4"/>
        <v>0</v>
      </c>
      <c r="S26" s="257">
        <f t="shared" si="7"/>
        <v>0.42</v>
      </c>
      <c r="T26" s="256">
        <f>COUNTIFS(R$6:$R26,TRUE)/COUNTIFS($F$9:$G$33,TRUE)</f>
        <v>0.13043478260869565</v>
      </c>
      <c r="V26" s="180">
        <v>46</v>
      </c>
      <c r="W26" s="253">
        <f t="shared" si="5"/>
        <v>0.88753578761916063</v>
      </c>
      <c r="X26" s="254" t="b">
        <f t="shared" si="6"/>
        <v>1</v>
      </c>
      <c r="Y26" s="257">
        <f t="shared" si="8"/>
        <v>0.92</v>
      </c>
      <c r="Z26" s="256">
        <f>(COUNTIFS($R$6:$R$30,TRUE)+COUNTIFS(X$6:$X26,TRUE))/COUNTIFS($F$9:$G$33,TRUE)</f>
        <v>0.82608695652173914</v>
      </c>
      <c r="AA26" s="186"/>
      <c r="AB26" s="248">
        <f t="shared" ref="AB26:AB49" si="10">Y6</f>
        <v>0.52</v>
      </c>
      <c r="AC26" s="248">
        <f>AB26</f>
        <v>0.52</v>
      </c>
    </row>
    <row r="27" spans="1:29" ht="15" customHeight="1" x14ac:dyDescent="0.25">
      <c r="A27" s="17"/>
      <c r="B27" s="20"/>
      <c r="C27" s="269">
        <v>0.496403216657749</v>
      </c>
      <c r="D27" s="111">
        <v>0.38422590805327161</v>
      </c>
      <c r="E27" s="20"/>
      <c r="F27" s="57" t="b">
        <v>0</v>
      </c>
      <c r="G27" s="63" t="b">
        <v>0</v>
      </c>
      <c r="H27" s="20"/>
      <c r="I27" s="20"/>
      <c r="J27" s="20"/>
      <c r="K27" s="16"/>
      <c r="L27" s="139"/>
      <c r="M27" s="167">
        <f t="shared" si="9"/>
        <v>8</v>
      </c>
      <c r="N27" s="173">
        <f t="shared" si="9"/>
        <v>26</v>
      </c>
      <c r="P27" s="180">
        <v>22</v>
      </c>
      <c r="Q27" s="253">
        <f t="shared" si="3"/>
        <v>0.42140601247407194</v>
      </c>
      <c r="R27" s="254" t="b">
        <f t="shared" si="4"/>
        <v>0</v>
      </c>
      <c r="S27" s="257">
        <f t="shared" si="7"/>
        <v>0.44</v>
      </c>
      <c r="T27" s="256">
        <f>COUNTIFS(R$6:$R27,TRUE)/COUNTIFS($F$9:$G$33,TRUE)</f>
        <v>0.13043478260869565</v>
      </c>
      <c r="V27" s="180">
        <v>47</v>
      </c>
      <c r="W27" s="253">
        <f t="shared" si="5"/>
        <v>0.94342401952591903</v>
      </c>
      <c r="X27" s="254" t="b">
        <f t="shared" si="6"/>
        <v>1</v>
      </c>
      <c r="Y27" s="257">
        <f t="shared" si="8"/>
        <v>0.94</v>
      </c>
      <c r="Z27" s="256">
        <f>(COUNTIFS($R$6:$R$30,TRUE)+COUNTIFS(X$6:$X27,TRUE))/COUNTIFS($F$9:$G$33,TRUE)</f>
        <v>0.86956521739130432</v>
      </c>
      <c r="AA27" s="186"/>
      <c r="AB27" s="248">
        <f t="shared" si="10"/>
        <v>0.54</v>
      </c>
      <c r="AC27" s="248">
        <f t="shared" ref="AC27:AC49" si="11">AB27</f>
        <v>0.54</v>
      </c>
    </row>
    <row r="28" spans="1:29" ht="15" customHeight="1" x14ac:dyDescent="0.25">
      <c r="A28" s="17"/>
      <c r="B28" s="20"/>
      <c r="C28" s="269">
        <v>7.2428656515987067E-2</v>
      </c>
      <c r="D28" s="111">
        <v>0.78997756221310544</v>
      </c>
      <c r="E28" s="20"/>
      <c r="F28" s="57" t="b">
        <v>0</v>
      </c>
      <c r="G28" s="63" t="b">
        <v>1</v>
      </c>
      <c r="H28" s="20"/>
      <c r="I28" s="20"/>
      <c r="J28" s="20"/>
      <c r="K28" s="16"/>
      <c r="L28" s="139"/>
      <c r="M28" s="167">
        <f t="shared" si="9"/>
        <v>35</v>
      </c>
      <c r="N28" s="173">
        <f t="shared" si="9"/>
        <v>37</v>
      </c>
      <c r="P28" s="180">
        <v>23</v>
      </c>
      <c r="Q28" s="253">
        <f t="shared" si="3"/>
        <v>0.42395243153309836</v>
      </c>
      <c r="R28" s="254" t="b">
        <f t="shared" si="4"/>
        <v>0</v>
      </c>
      <c r="S28" s="257">
        <f t="shared" si="7"/>
        <v>0.46</v>
      </c>
      <c r="T28" s="256">
        <f>COUNTIFS(R$6:$R28,TRUE)/COUNTIFS($F$9:$G$33,TRUE)</f>
        <v>0.13043478260869565</v>
      </c>
      <c r="V28" s="180">
        <v>48</v>
      </c>
      <c r="W28" s="253">
        <f t="shared" si="5"/>
        <v>0.95968743769709719</v>
      </c>
      <c r="X28" s="254" t="b">
        <f t="shared" si="6"/>
        <v>1</v>
      </c>
      <c r="Y28" s="257">
        <f t="shared" si="8"/>
        <v>0.96</v>
      </c>
      <c r="Z28" s="256">
        <f>(COUNTIFS($R$6:$R$30,TRUE)+COUNTIFS(X$6:$X28,TRUE))/COUNTIFS($F$9:$G$33,TRUE)</f>
        <v>0.91304347826086951</v>
      </c>
      <c r="AA28" s="186"/>
      <c r="AB28" s="248">
        <f t="shared" si="10"/>
        <v>0.56000000000000005</v>
      </c>
      <c r="AC28" s="248">
        <f t="shared" si="11"/>
        <v>0.56000000000000005</v>
      </c>
    </row>
    <row r="29" spans="1:29" x14ac:dyDescent="0.25">
      <c r="A29" s="17"/>
      <c r="B29" s="20"/>
      <c r="C29" s="269">
        <v>0.32840081870161786</v>
      </c>
      <c r="D29" s="111">
        <v>0.5227385831093545</v>
      </c>
      <c r="E29" s="20"/>
      <c r="F29" s="57" t="b">
        <v>0</v>
      </c>
      <c r="G29" s="63" t="b">
        <v>0</v>
      </c>
      <c r="H29" s="20"/>
      <c r="I29" s="20"/>
      <c r="J29" s="20"/>
      <c r="K29" s="16"/>
      <c r="L29" s="139"/>
      <c r="M29" s="167">
        <f t="shared" si="9"/>
        <v>32</v>
      </c>
      <c r="N29" s="173">
        <f t="shared" si="9"/>
        <v>33</v>
      </c>
      <c r="P29" s="180">
        <v>24</v>
      </c>
      <c r="Q29" s="253">
        <f t="shared" si="3"/>
        <v>0.42853014377381016</v>
      </c>
      <c r="R29" s="254" t="b">
        <f t="shared" si="4"/>
        <v>1</v>
      </c>
      <c r="S29" s="257">
        <f t="shared" si="7"/>
        <v>0.48</v>
      </c>
      <c r="T29" s="256">
        <f>COUNTIFS(R$6:$R29,TRUE)/COUNTIFS($F$9:$G$33,TRUE)</f>
        <v>0.17391304347826086</v>
      </c>
      <c r="V29" s="180">
        <v>49</v>
      </c>
      <c r="W29" s="253">
        <f t="shared" si="5"/>
        <v>0.96250041699411282</v>
      </c>
      <c r="X29" s="254" t="b">
        <f t="shared" si="6"/>
        <v>1</v>
      </c>
      <c r="Y29" s="257">
        <f t="shared" si="8"/>
        <v>0.98</v>
      </c>
      <c r="Z29" s="256">
        <f>(COUNTIFS($R$6:$R$30,TRUE)+COUNTIFS(X$6:$X29,TRUE))/COUNTIFS($F$9:$G$33,TRUE)</f>
        <v>0.95652173913043481</v>
      </c>
      <c r="AA29" s="186"/>
      <c r="AB29" s="248">
        <f t="shared" si="10"/>
        <v>0.57999999999999996</v>
      </c>
      <c r="AC29" s="248">
        <f t="shared" si="11"/>
        <v>0.57999999999999996</v>
      </c>
    </row>
    <row r="30" spans="1:29" x14ac:dyDescent="0.25">
      <c r="A30" s="17"/>
      <c r="B30" s="20"/>
      <c r="C30" s="269">
        <v>0.19853762067243641</v>
      </c>
      <c r="D30" s="111">
        <v>0.44795596152492789</v>
      </c>
      <c r="E30" s="20"/>
      <c r="F30" s="57" t="b">
        <v>0</v>
      </c>
      <c r="G30" s="63" t="b">
        <v>0</v>
      </c>
      <c r="H30" s="20"/>
      <c r="I30" s="20"/>
      <c r="J30" s="20"/>
      <c r="K30" s="16"/>
      <c r="L30" s="139"/>
      <c r="M30" s="169">
        <f t="shared" si="9"/>
        <v>6</v>
      </c>
      <c r="N30" s="174">
        <f t="shared" si="9"/>
        <v>7</v>
      </c>
      <c r="P30" s="181">
        <v>25</v>
      </c>
      <c r="Q30" s="258">
        <f t="shared" si="3"/>
        <v>0.43243142476242324</v>
      </c>
      <c r="R30" s="259" t="b">
        <f t="shared" si="4"/>
        <v>0</v>
      </c>
      <c r="S30" s="260">
        <f t="shared" si="7"/>
        <v>0.5</v>
      </c>
      <c r="T30" s="261">
        <f>COUNTIFS(R$6:$R30,TRUE)/COUNTIFS($F$9:$G$33,TRUE)</f>
        <v>0.17391304347826086</v>
      </c>
      <c r="V30" s="181">
        <v>50</v>
      </c>
      <c r="W30" s="258">
        <f t="shared" si="5"/>
        <v>0.99380901313041747</v>
      </c>
      <c r="X30" s="259" t="b">
        <f t="shared" si="6"/>
        <v>1</v>
      </c>
      <c r="Y30" s="260">
        <f t="shared" si="8"/>
        <v>1</v>
      </c>
      <c r="Z30" s="261">
        <f>(COUNTIFS($R$6:$R$30,TRUE)+COUNTIFS(X$6:$X30,TRUE))/COUNTIFS($F$9:$G$33,TRUE)</f>
        <v>1</v>
      </c>
      <c r="AA30" s="186"/>
      <c r="AB30" s="248">
        <f t="shared" si="10"/>
        <v>0.6</v>
      </c>
      <c r="AC30" s="248">
        <f t="shared" si="11"/>
        <v>0.6</v>
      </c>
    </row>
    <row r="31" spans="1:29" x14ac:dyDescent="0.25">
      <c r="A31" s="17"/>
      <c r="B31" s="20"/>
      <c r="C31" s="269">
        <v>0.63965231908718989</v>
      </c>
      <c r="D31" s="111">
        <v>0.67295325822173524</v>
      </c>
      <c r="E31" s="20"/>
      <c r="F31" s="57" t="b">
        <v>0</v>
      </c>
      <c r="G31" s="63" t="b">
        <v>0</v>
      </c>
      <c r="H31" s="20"/>
      <c r="I31" s="20"/>
      <c r="J31" s="20"/>
      <c r="K31" s="16"/>
      <c r="L31" s="139"/>
      <c r="S31" s="262">
        <f>Y6</f>
        <v>0.52</v>
      </c>
      <c r="T31" s="263">
        <f>Z6</f>
        <v>0.17391304347826086</v>
      </c>
      <c r="U31" s="186"/>
      <c r="V31" s="186"/>
      <c r="W31" s="264"/>
      <c r="X31" s="264"/>
      <c r="Y31" s="186"/>
      <c r="Z31" s="265"/>
      <c r="AA31" s="186"/>
      <c r="AB31" s="248">
        <f t="shared" si="10"/>
        <v>0.62</v>
      </c>
      <c r="AC31" s="248">
        <f t="shared" si="11"/>
        <v>0.62</v>
      </c>
    </row>
    <row r="32" spans="1:29" x14ac:dyDescent="0.25">
      <c r="A32" s="17"/>
      <c r="B32" s="20"/>
      <c r="C32" s="269">
        <v>0.55294991990443554</v>
      </c>
      <c r="D32" s="111">
        <v>0.55424160946708212</v>
      </c>
      <c r="E32" s="20"/>
      <c r="F32" s="57" t="b">
        <v>1</v>
      </c>
      <c r="G32" s="63" t="b">
        <v>1</v>
      </c>
      <c r="H32" s="20"/>
      <c r="I32" s="20"/>
      <c r="J32" s="20"/>
      <c r="K32" s="276"/>
      <c r="L32" s="139"/>
      <c r="T32" s="186"/>
      <c r="U32" s="266" t="s">
        <v>795</v>
      </c>
      <c r="V32" s="266"/>
      <c r="W32" s="264"/>
      <c r="X32" s="264"/>
      <c r="Y32" s="186"/>
      <c r="Z32" s="265"/>
      <c r="AA32" s="186"/>
      <c r="AB32" s="248">
        <f t="shared" si="10"/>
        <v>0.64</v>
      </c>
      <c r="AC32" s="248">
        <f t="shared" si="11"/>
        <v>0.64</v>
      </c>
    </row>
    <row r="33" spans="1:29" x14ac:dyDescent="0.25">
      <c r="A33" s="17"/>
      <c r="B33" s="20"/>
      <c r="C33" s="270">
        <v>0.13882465928470977</v>
      </c>
      <c r="D33" s="114">
        <v>0.16391794520777003</v>
      </c>
      <c r="E33" s="20"/>
      <c r="F33" s="58" t="b">
        <v>0</v>
      </c>
      <c r="G33" s="64" t="b">
        <v>0</v>
      </c>
      <c r="H33" s="20"/>
      <c r="I33" s="20"/>
      <c r="J33" s="20"/>
      <c r="K33" s="276"/>
      <c r="L33" s="139"/>
      <c r="T33" s="186"/>
      <c r="U33" s="266" t="s">
        <v>796</v>
      </c>
      <c r="V33" s="266"/>
      <c r="W33" s="264"/>
      <c r="X33" s="264"/>
      <c r="Y33" s="186"/>
      <c r="Z33" s="265"/>
      <c r="AA33" s="186"/>
      <c r="AB33" s="248">
        <f t="shared" si="10"/>
        <v>0.66</v>
      </c>
      <c r="AC33" s="248">
        <f t="shared" si="11"/>
        <v>0.66</v>
      </c>
    </row>
    <row r="34" spans="1:29" x14ac:dyDescent="0.25">
      <c r="A34" s="17"/>
      <c r="B34" s="20"/>
      <c r="C34" s="20"/>
      <c r="D34" s="20"/>
      <c r="E34" s="20"/>
      <c r="F34" s="20"/>
      <c r="G34" s="20"/>
      <c r="H34" s="20"/>
      <c r="I34" s="20"/>
      <c r="J34" s="20"/>
      <c r="K34" s="276"/>
      <c r="L34" s="139"/>
      <c r="T34" s="186"/>
      <c r="U34" s="266" t="s">
        <v>797</v>
      </c>
      <c r="V34" s="266"/>
      <c r="W34" s="264"/>
      <c r="X34" s="264"/>
      <c r="Y34" s="186"/>
      <c r="Z34" s="265"/>
      <c r="AA34" s="186"/>
      <c r="AB34" s="248">
        <f t="shared" si="10"/>
        <v>0.68</v>
      </c>
      <c r="AC34" s="248">
        <f t="shared" si="11"/>
        <v>0.68</v>
      </c>
    </row>
    <row r="35" spans="1:29" x14ac:dyDescent="0.25">
      <c r="A35" s="17"/>
      <c r="B35" s="20"/>
      <c r="C35" s="20" t="s">
        <v>798</v>
      </c>
      <c r="D35" s="20"/>
      <c r="E35" s="20"/>
      <c r="F35" s="20"/>
      <c r="G35" s="20"/>
      <c r="H35" s="20"/>
      <c r="I35" s="20"/>
      <c r="J35" s="20"/>
      <c r="K35" s="276"/>
      <c r="L35" s="139"/>
      <c r="T35" s="186"/>
      <c r="U35" s="266" t="s">
        <v>799</v>
      </c>
      <c r="V35" s="266"/>
      <c r="W35" s="264"/>
      <c r="X35" s="264"/>
      <c r="Y35" s="186"/>
      <c r="Z35" s="265"/>
      <c r="AA35" s="186"/>
      <c r="AB35" s="248">
        <f t="shared" si="10"/>
        <v>0.7</v>
      </c>
      <c r="AC35" s="248">
        <f t="shared" si="11"/>
        <v>0.7</v>
      </c>
    </row>
    <row r="36" spans="1:29" x14ac:dyDescent="0.25">
      <c r="A36" s="17"/>
      <c r="B36" s="20"/>
      <c r="C36" s="20"/>
      <c r="D36" s="20"/>
      <c r="E36" s="20"/>
      <c r="F36" s="20"/>
      <c r="G36" s="20"/>
      <c r="H36" s="20"/>
      <c r="I36" s="20"/>
      <c r="J36" s="20"/>
      <c r="K36" s="276"/>
      <c r="L36" s="139"/>
      <c r="T36" s="186"/>
      <c r="U36" s="266"/>
      <c r="V36" s="266"/>
      <c r="W36" s="264"/>
      <c r="X36" s="264"/>
      <c r="Y36" s="186"/>
      <c r="Z36" s="265"/>
      <c r="AA36" s="186"/>
      <c r="AB36" s="248">
        <f t="shared" si="10"/>
        <v>0.72</v>
      </c>
      <c r="AC36" s="248">
        <f t="shared" si="11"/>
        <v>0.72</v>
      </c>
    </row>
    <row r="37" spans="1:29" ht="15.75" thickBot="1" x14ac:dyDescent="0.3">
      <c r="A37" s="83" t="s">
        <v>55</v>
      </c>
      <c r="B37" s="22"/>
      <c r="C37" s="22" t="s">
        <v>784</v>
      </c>
      <c r="D37" s="22"/>
      <c r="E37" s="22"/>
      <c r="F37" s="22"/>
      <c r="G37" s="22"/>
      <c r="H37" s="22"/>
      <c r="I37" s="22"/>
      <c r="J37" s="22"/>
      <c r="K37" s="278"/>
      <c r="L37" s="139"/>
      <c r="T37" s="186"/>
      <c r="U37" s="266" t="s">
        <v>800</v>
      </c>
      <c r="V37" s="266"/>
      <c r="W37" s="264"/>
      <c r="X37" s="264"/>
      <c r="Y37" s="186"/>
      <c r="Z37" s="265"/>
      <c r="AA37" s="186"/>
      <c r="AB37" s="248">
        <f t="shared" si="10"/>
        <v>0.74</v>
      </c>
      <c r="AC37" s="248">
        <f t="shared" si="11"/>
        <v>0.74</v>
      </c>
    </row>
    <row r="38" spans="1:29" x14ac:dyDescent="0.25">
      <c r="K38" s="186"/>
      <c r="L38" s="139"/>
      <c r="T38" s="186"/>
      <c r="U38" s="266" t="s">
        <v>801</v>
      </c>
      <c r="V38" s="266"/>
      <c r="W38" s="264"/>
      <c r="X38" s="264"/>
      <c r="Y38" s="186"/>
      <c r="Z38" s="265"/>
      <c r="AA38" s="186"/>
      <c r="AB38" s="248">
        <f t="shared" si="10"/>
        <v>0.76</v>
      </c>
      <c r="AC38" s="248">
        <f t="shared" si="11"/>
        <v>0.76</v>
      </c>
    </row>
    <row r="39" spans="1:29" x14ac:dyDescent="0.25">
      <c r="A39" s="186"/>
      <c r="B39" s="186"/>
      <c r="K39" s="186"/>
      <c r="L39" s="139"/>
      <c r="T39" s="186"/>
      <c r="U39" s="266" t="s">
        <v>802</v>
      </c>
      <c r="V39" s="266"/>
      <c r="W39" s="264"/>
      <c r="X39" s="264"/>
      <c r="Y39" s="186"/>
      <c r="Z39" s="265"/>
      <c r="AA39" s="186"/>
      <c r="AB39" s="248">
        <f t="shared" si="10"/>
        <v>0.78</v>
      </c>
      <c r="AC39" s="248">
        <f t="shared" si="11"/>
        <v>0.78</v>
      </c>
    </row>
    <row r="40" spans="1:29" x14ac:dyDescent="0.25">
      <c r="L40" s="139"/>
      <c r="T40" s="186"/>
      <c r="U40" s="266" t="s">
        <v>803</v>
      </c>
      <c r="V40" s="266"/>
      <c r="W40" s="264"/>
      <c r="X40" s="264"/>
      <c r="Y40" s="186"/>
      <c r="Z40" s="265"/>
      <c r="AA40" s="186"/>
      <c r="AB40" s="248">
        <f t="shared" si="10"/>
        <v>0.8</v>
      </c>
      <c r="AC40" s="248">
        <f t="shared" si="11"/>
        <v>0.8</v>
      </c>
    </row>
    <row r="41" spans="1:29" x14ac:dyDescent="0.25">
      <c r="L41" s="139"/>
      <c r="T41" s="186"/>
      <c r="U41" s="266" t="s">
        <v>804</v>
      </c>
      <c r="V41" s="266"/>
      <c r="W41" s="264"/>
      <c r="X41" s="264"/>
      <c r="Y41" s="186"/>
      <c r="Z41" s="265"/>
      <c r="AA41" s="186"/>
      <c r="AB41" s="248">
        <f t="shared" si="10"/>
        <v>0.82</v>
      </c>
      <c r="AC41" s="248">
        <f t="shared" si="11"/>
        <v>0.82</v>
      </c>
    </row>
    <row r="42" spans="1:29" x14ac:dyDescent="0.25">
      <c r="L42" s="139"/>
      <c r="T42" s="186"/>
      <c r="U42" s="266" t="s">
        <v>805</v>
      </c>
      <c r="V42" s="266"/>
      <c r="W42" s="264"/>
      <c r="X42" s="264"/>
      <c r="Y42" s="186"/>
      <c r="Z42" s="265"/>
      <c r="AA42" s="186"/>
      <c r="AB42" s="248">
        <f t="shared" si="10"/>
        <v>0.84</v>
      </c>
      <c r="AC42" s="248">
        <f t="shared" si="11"/>
        <v>0.84</v>
      </c>
    </row>
    <row r="43" spans="1:29" x14ac:dyDescent="0.25">
      <c r="L43" s="139"/>
      <c r="T43" s="186"/>
      <c r="U43" s="186"/>
      <c r="V43" s="186"/>
      <c r="W43" s="264"/>
      <c r="X43" s="264"/>
      <c r="Y43" s="186"/>
      <c r="Z43" s="265"/>
      <c r="AA43" s="186"/>
      <c r="AB43" s="248">
        <f t="shared" si="10"/>
        <v>0.86</v>
      </c>
      <c r="AC43" s="248">
        <f t="shared" si="11"/>
        <v>0.86</v>
      </c>
    </row>
    <row r="44" spans="1:29" x14ac:dyDescent="0.25">
      <c r="L44" s="139"/>
      <c r="T44" s="186"/>
      <c r="U44" s="186"/>
      <c r="V44" s="186"/>
      <c r="W44" s="264"/>
      <c r="X44" s="264"/>
      <c r="Y44" s="186"/>
      <c r="Z44" s="265"/>
      <c r="AA44" s="186"/>
      <c r="AB44" s="248">
        <f t="shared" si="10"/>
        <v>0.88</v>
      </c>
      <c r="AC44" s="248">
        <f t="shared" si="11"/>
        <v>0.88</v>
      </c>
    </row>
    <row r="45" spans="1:29" x14ac:dyDescent="0.25">
      <c r="L45" s="139"/>
      <c r="T45" s="186"/>
      <c r="U45" s="186"/>
      <c r="V45" s="186"/>
      <c r="W45" s="264"/>
      <c r="X45" s="264"/>
      <c r="Y45" s="186"/>
      <c r="Z45" s="265"/>
      <c r="AA45" s="186"/>
      <c r="AB45" s="248">
        <f t="shared" si="10"/>
        <v>0.9</v>
      </c>
      <c r="AC45" s="248">
        <f t="shared" si="11"/>
        <v>0.9</v>
      </c>
    </row>
    <row r="46" spans="1:29" x14ac:dyDescent="0.25">
      <c r="L46" s="139"/>
      <c r="T46" s="186"/>
      <c r="U46" s="186"/>
      <c r="V46" s="186"/>
      <c r="W46" s="264"/>
      <c r="X46" s="264"/>
      <c r="Y46" s="186"/>
      <c r="Z46" s="265"/>
      <c r="AA46" s="186"/>
      <c r="AB46" s="248">
        <f t="shared" si="10"/>
        <v>0.92</v>
      </c>
      <c r="AC46" s="248">
        <f t="shared" si="11"/>
        <v>0.92</v>
      </c>
    </row>
    <row r="47" spans="1:29" x14ac:dyDescent="0.25">
      <c r="L47" s="139"/>
      <c r="T47" s="186"/>
      <c r="U47" s="186"/>
      <c r="V47" s="186"/>
      <c r="W47" s="264"/>
      <c r="X47" s="264"/>
      <c r="Y47" s="186"/>
      <c r="Z47" s="265"/>
      <c r="AA47" s="186"/>
      <c r="AB47" s="248">
        <f t="shared" si="10"/>
        <v>0.94</v>
      </c>
      <c r="AC47" s="248">
        <f t="shared" si="11"/>
        <v>0.94</v>
      </c>
    </row>
    <row r="48" spans="1:29" x14ac:dyDescent="0.25">
      <c r="L48" s="139"/>
      <c r="T48" s="186"/>
      <c r="U48" s="186"/>
      <c r="V48" s="186"/>
      <c r="W48" s="264"/>
      <c r="X48" s="264"/>
      <c r="Y48" s="186"/>
      <c r="Z48" s="265"/>
      <c r="AA48" s="186"/>
      <c r="AB48" s="248">
        <f t="shared" si="10"/>
        <v>0.96</v>
      </c>
      <c r="AC48" s="248">
        <f t="shared" si="11"/>
        <v>0.96</v>
      </c>
    </row>
    <row r="49" spans="12:29" x14ac:dyDescent="0.25">
      <c r="L49" s="139"/>
      <c r="T49" s="186"/>
      <c r="U49" s="186"/>
      <c r="V49" s="186"/>
      <c r="W49" s="264"/>
      <c r="X49" s="264"/>
      <c r="Y49" s="186"/>
      <c r="Z49" s="265"/>
      <c r="AA49" s="186"/>
      <c r="AB49" s="248">
        <f t="shared" si="10"/>
        <v>0.98</v>
      </c>
      <c r="AC49" s="248">
        <f t="shared" si="11"/>
        <v>0.98</v>
      </c>
    </row>
    <row r="55" spans="12:29" ht="15" customHeight="1" x14ac:dyDescent="0.25"/>
    <row r="57" spans="12:29" ht="15" customHeight="1" x14ac:dyDescent="0.25"/>
    <row r="58" spans="12:29" ht="15" customHeight="1" x14ac:dyDescent="0.25"/>
    <row r="69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</sheetData>
  <mergeCells count="1">
    <mergeCell ref="J1:K1"/>
  </mergeCells>
  <hyperlinks>
    <hyperlink ref="J1" location="TOC!A1" display="Return to TOC" xr:uid="{239D4F96-4167-438F-BBD0-2E66F4AC1B63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EBD68-B54C-4FE0-8398-FE168C584F24}">
  <dimension ref="A1:L35"/>
  <sheetViews>
    <sheetView workbookViewId="0"/>
  </sheetViews>
  <sheetFormatPr defaultRowHeight="15" x14ac:dyDescent="0.25"/>
  <cols>
    <col min="1" max="1" width="14" bestFit="1" customWidth="1"/>
    <col min="6" max="6" width="10.28515625" bestFit="1" customWidth="1"/>
    <col min="9" max="9" width="3.7109375" customWidth="1"/>
  </cols>
  <sheetData>
    <row r="1" spans="1:12" x14ac:dyDescent="0.25">
      <c r="A1" s="6" t="s">
        <v>5</v>
      </c>
      <c r="B1" s="7" t="s">
        <v>54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2" x14ac:dyDescent="0.25">
      <c r="A2" s="11" t="s">
        <v>8</v>
      </c>
      <c r="B2" s="18" t="s">
        <v>56</v>
      </c>
      <c r="C2" s="18"/>
      <c r="D2" s="18"/>
      <c r="E2" s="18"/>
      <c r="F2" s="18"/>
      <c r="G2" s="18"/>
      <c r="H2" s="12"/>
      <c r="I2" t="s">
        <v>35</v>
      </c>
    </row>
    <row r="3" spans="1:12" x14ac:dyDescent="0.25">
      <c r="A3" s="11" t="s">
        <v>9</v>
      </c>
      <c r="B3" s="18" t="s">
        <v>57</v>
      </c>
      <c r="C3" s="18"/>
      <c r="D3" s="18"/>
      <c r="E3" s="18"/>
      <c r="F3" s="18"/>
      <c r="G3" s="18"/>
      <c r="H3" s="12"/>
    </row>
    <row r="4" spans="1:12" x14ac:dyDescent="0.25">
      <c r="A4" s="13"/>
      <c r="B4" s="19"/>
      <c r="C4" s="19"/>
      <c r="D4" s="19"/>
      <c r="E4" s="19"/>
      <c r="F4" s="19"/>
      <c r="G4" s="19"/>
      <c r="H4" s="14"/>
      <c r="J4" t="s">
        <v>80</v>
      </c>
      <c r="L4">
        <f>F24+F16+F21</f>
        <v>0.95189999999999997</v>
      </c>
    </row>
    <row r="5" spans="1:12" x14ac:dyDescent="0.25">
      <c r="A5" s="15" t="s">
        <v>10</v>
      </c>
      <c r="B5" s="18" t="s">
        <v>58</v>
      </c>
      <c r="C5" s="20"/>
      <c r="D5" s="20"/>
      <c r="E5" s="20"/>
      <c r="F5" s="20"/>
      <c r="G5" s="20"/>
      <c r="H5" s="16"/>
    </row>
    <row r="6" spans="1:12" x14ac:dyDescent="0.25">
      <c r="A6" s="17"/>
      <c r="B6" s="18" t="s">
        <v>59</v>
      </c>
      <c r="C6" s="20"/>
      <c r="D6" s="20"/>
      <c r="E6" s="20"/>
      <c r="F6" s="20"/>
      <c r="G6" s="20"/>
      <c r="H6" s="16"/>
      <c r="J6" t="s">
        <v>81</v>
      </c>
    </row>
    <row r="7" spans="1:12" x14ac:dyDescent="0.25">
      <c r="A7" s="17"/>
      <c r="B7" s="18" t="s">
        <v>60</v>
      </c>
      <c r="C7" s="20"/>
      <c r="D7" s="20"/>
      <c r="E7" s="20"/>
      <c r="F7" s="20"/>
      <c r="G7" s="20"/>
      <c r="H7" s="16"/>
      <c r="J7" t="s">
        <v>82</v>
      </c>
      <c r="L7" s="50">
        <f>EXP(L4)/(1+EXP(L4))</f>
        <v>0.72149712279405886</v>
      </c>
    </row>
    <row r="8" spans="1:12" x14ac:dyDescent="0.25">
      <c r="A8" s="17"/>
      <c r="B8" s="18" t="s">
        <v>61</v>
      </c>
      <c r="C8" s="20"/>
      <c r="D8" s="20"/>
      <c r="E8" s="20"/>
      <c r="F8" s="20"/>
      <c r="G8" s="20"/>
      <c r="H8" s="16"/>
    </row>
    <row r="9" spans="1:12" x14ac:dyDescent="0.25">
      <c r="A9" s="17"/>
      <c r="B9" s="18" t="s">
        <v>62</v>
      </c>
      <c r="C9" s="20"/>
      <c r="D9" s="20"/>
      <c r="E9" s="20"/>
      <c r="F9" s="20"/>
      <c r="G9" s="20"/>
      <c r="H9" s="16"/>
      <c r="I9" t="s">
        <v>83</v>
      </c>
      <c r="J9" s="52" t="s">
        <v>84</v>
      </c>
    </row>
    <row r="10" spans="1:12" x14ac:dyDescent="0.25">
      <c r="A10" s="17"/>
      <c r="B10" s="20"/>
      <c r="C10" s="20"/>
      <c r="D10" s="20"/>
      <c r="E10" s="20"/>
      <c r="F10" s="20"/>
      <c r="G10" s="20"/>
      <c r="H10" s="16"/>
      <c r="J10" s="51" t="s">
        <v>85</v>
      </c>
    </row>
    <row r="11" spans="1:12" x14ac:dyDescent="0.25">
      <c r="A11" s="17"/>
      <c r="B11" s="18" t="s">
        <v>63</v>
      </c>
      <c r="C11" s="20"/>
      <c r="D11" s="20"/>
      <c r="E11" s="20"/>
      <c r="F11" s="20"/>
      <c r="G11" s="20"/>
      <c r="H11" s="16"/>
      <c r="J11" t="s">
        <v>86</v>
      </c>
    </row>
    <row r="12" spans="1:12" x14ac:dyDescent="0.25">
      <c r="A12" s="17"/>
      <c r="B12" s="20"/>
      <c r="C12" s="20"/>
      <c r="D12" s="20"/>
      <c r="E12" s="20"/>
      <c r="F12" s="20"/>
      <c r="G12" s="20"/>
      <c r="H12" s="16"/>
      <c r="J12" t="s">
        <v>87</v>
      </c>
    </row>
    <row r="13" spans="1:12" x14ac:dyDescent="0.25">
      <c r="A13" s="17"/>
      <c r="B13" s="35" t="s">
        <v>64</v>
      </c>
      <c r="C13" s="36"/>
      <c r="D13" s="36"/>
      <c r="E13" s="37"/>
      <c r="F13" s="38" t="s">
        <v>68</v>
      </c>
      <c r="G13" s="20"/>
      <c r="H13" s="16"/>
      <c r="J13" t="s">
        <v>88</v>
      </c>
    </row>
    <row r="14" spans="1:12" x14ac:dyDescent="0.25">
      <c r="A14" s="17"/>
      <c r="B14" s="39" t="s">
        <v>65</v>
      </c>
      <c r="C14" s="40"/>
      <c r="D14" s="40"/>
      <c r="E14" s="41"/>
      <c r="F14" s="42">
        <v>0.33229999999999998</v>
      </c>
      <c r="G14" s="20"/>
      <c r="H14" s="16"/>
      <c r="J14" t="s">
        <v>89</v>
      </c>
    </row>
    <row r="15" spans="1:12" x14ac:dyDescent="0.25">
      <c r="A15" s="17"/>
      <c r="B15" s="34" t="s">
        <v>66</v>
      </c>
      <c r="C15" s="40"/>
      <c r="D15" s="40"/>
      <c r="E15" s="41"/>
      <c r="F15" s="42">
        <v>0</v>
      </c>
      <c r="G15" s="20"/>
      <c r="H15" s="16"/>
      <c r="J15" t="s">
        <v>90</v>
      </c>
    </row>
    <row r="16" spans="1:12" x14ac:dyDescent="0.25">
      <c r="A16" s="17"/>
      <c r="B16" s="43" t="s">
        <v>67</v>
      </c>
      <c r="C16" s="44"/>
      <c r="D16" s="44"/>
      <c r="E16" s="45"/>
      <c r="F16" s="46">
        <v>-0.41720000000000002</v>
      </c>
      <c r="G16" s="20"/>
      <c r="H16" s="16"/>
    </row>
    <row r="17" spans="1:10" x14ac:dyDescent="0.25">
      <c r="A17" s="17"/>
      <c r="B17" s="20"/>
      <c r="C17" s="20"/>
      <c r="D17" s="20"/>
      <c r="E17" s="20"/>
      <c r="F17" s="24"/>
      <c r="G17" s="20"/>
      <c r="H17" s="16"/>
      <c r="J17" s="51" t="s">
        <v>91</v>
      </c>
    </row>
    <row r="18" spans="1:10" x14ac:dyDescent="0.25">
      <c r="A18" s="17"/>
      <c r="B18" s="47" t="s">
        <v>69</v>
      </c>
      <c r="C18" s="36"/>
      <c r="D18" s="36"/>
      <c r="E18" s="37"/>
      <c r="F18" s="38" t="s">
        <v>68</v>
      </c>
      <c r="G18" s="20"/>
      <c r="H18" s="16"/>
      <c r="J18" t="s">
        <v>92</v>
      </c>
    </row>
    <row r="19" spans="1:10" x14ac:dyDescent="0.25">
      <c r="A19" s="17"/>
      <c r="B19" s="39">
        <v>0</v>
      </c>
      <c r="C19" s="40"/>
      <c r="D19" s="40"/>
      <c r="E19" s="41"/>
      <c r="F19" s="42">
        <v>0</v>
      </c>
      <c r="G19" s="20"/>
      <c r="H19" s="16"/>
      <c r="J19" t="s">
        <v>93</v>
      </c>
    </row>
    <row r="20" spans="1:10" x14ac:dyDescent="0.25">
      <c r="A20" s="17"/>
      <c r="B20" s="39">
        <v>1</v>
      </c>
      <c r="C20" s="40"/>
      <c r="D20" s="40"/>
      <c r="E20" s="41"/>
      <c r="F20" s="42">
        <v>-0.21279999999999999</v>
      </c>
      <c r="G20" s="20"/>
      <c r="H20" s="16"/>
      <c r="J20" t="s">
        <v>94</v>
      </c>
    </row>
    <row r="21" spans="1:10" x14ac:dyDescent="0.25">
      <c r="A21" s="17"/>
      <c r="B21" s="43" t="s">
        <v>70</v>
      </c>
      <c r="C21" s="44"/>
      <c r="D21" s="44"/>
      <c r="E21" s="45"/>
      <c r="F21" s="46">
        <v>-0.4239</v>
      </c>
      <c r="G21" s="20"/>
      <c r="H21" s="16"/>
      <c r="J21" t="s">
        <v>95</v>
      </c>
    </row>
    <row r="22" spans="1:10" x14ac:dyDescent="0.25">
      <c r="A22" s="17"/>
      <c r="B22" s="20"/>
      <c r="C22" s="20"/>
      <c r="D22" s="20"/>
      <c r="E22" s="20"/>
      <c r="F22" s="24"/>
      <c r="G22" s="20"/>
      <c r="H22" s="16"/>
    </row>
    <row r="23" spans="1:10" x14ac:dyDescent="0.25">
      <c r="A23" s="17"/>
      <c r="B23" s="20"/>
      <c r="C23" s="20"/>
      <c r="D23" s="20"/>
      <c r="E23" s="20"/>
      <c r="F23" s="38" t="s">
        <v>68</v>
      </c>
      <c r="G23" s="20"/>
      <c r="H23" s="16"/>
    </row>
    <row r="24" spans="1:10" x14ac:dyDescent="0.25">
      <c r="A24" s="17"/>
      <c r="B24" s="48" t="s">
        <v>71</v>
      </c>
      <c r="C24" s="49"/>
      <c r="D24" s="49"/>
      <c r="E24" s="49"/>
      <c r="F24" s="46">
        <v>1.7929999999999999</v>
      </c>
      <c r="G24" s="20"/>
      <c r="H24" s="16"/>
    </row>
    <row r="25" spans="1:10" x14ac:dyDescent="0.25">
      <c r="A25" s="17"/>
      <c r="B25" s="20"/>
      <c r="C25" s="20"/>
      <c r="D25" s="20"/>
      <c r="E25" s="20"/>
      <c r="F25" s="20"/>
      <c r="G25" s="20"/>
      <c r="H25" s="16"/>
    </row>
    <row r="26" spans="1:10" x14ac:dyDescent="0.25">
      <c r="A26" s="15" t="s">
        <v>55</v>
      </c>
      <c r="B26" s="20" t="s">
        <v>72</v>
      </c>
      <c r="C26" s="20"/>
      <c r="D26" s="20"/>
      <c r="E26" s="20"/>
      <c r="F26" s="20"/>
      <c r="G26" s="20"/>
      <c r="H26" s="16"/>
    </row>
    <row r="27" spans="1:10" x14ac:dyDescent="0.25">
      <c r="A27" s="17"/>
      <c r="B27" s="20" t="s">
        <v>73</v>
      </c>
      <c r="C27" s="20"/>
      <c r="D27" s="20"/>
      <c r="E27" s="20"/>
      <c r="F27" s="20"/>
      <c r="G27" s="20"/>
      <c r="H27" s="16"/>
    </row>
    <row r="28" spans="1:10" x14ac:dyDescent="0.25">
      <c r="A28" s="17"/>
      <c r="B28" s="20"/>
      <c r="C28" s="20"/>
      <c r="D28" s="20"/>
      <c r="E28" s="20"/>
      <c r="F28" s="20"/>
      <c r="G28" s="20"/>
      <c r="H28" s="16"/>
    </row>
    <row r="29" spans="1:10" x14ac:dyDescent="0.25">
      <c r="A29" s="17"/>
      <c r="B29" s="20" t="s">
        <v>74</v>
      </c>
      <c r="C29" s="20"/>
      <c r="D29" s="20"/>
      <c r="E29" s="20"/>
      <c r="F29" s="20"/>
      <c r="G29" s="20"/>
      <c r="H29" s="16"/>
    </row>
    <row r="30" spans="1:10" x14ac:dyDescent="0.25">
      <c r="A30" s="17"/>
      <c r="B30" s="20" t="s">
        <v>75</v>
      </c>
      <c r="C30" s="20"/>
      <c r="D30" s="20"/>
      <c r="E30" s="20"/>
      <c r="F30" s="20"/>
      <c r="G30" s="20"/>
      <c r="H30" s="16"/>
    </row>
    <row r="31" spans="1:10" x14ac:dyDescent="0.25">
      <c r="A31" s="17"/>
      <c r="B31" s="20" t="s">
        <v>76</v>
      </c>
      <c r="C31" s="20"/>
      <c r="D31" s="20"/>
      <c r="E31" s="20"/>
      <c r="F31" s="20"/>
      <c r="G31" s="20"/>
      <c r="H31" s="16"/>
    </row>
    <row r="32" spans="1:10" x14ac:dyDescent="0.25">
      <c r="A32" s="17"/>
      <c r="B32" s="20" t="s">
        <v>77</v>
      </c>
      <c r="C32" s="20"/>
      <c r="D32" s="20"/>
      <c r="E32" s="20"/>
      <c r="F32" s="20"/>
      <c r="G32" s="20"/>
      <c r="H32" s="16"/>
    </row>
    <row r="33" spans="1:8" x14ac:dyDescent="0.25">
      <c r="A33" s="17"/>
      <c r="B33" s="20"/>
      <c r="C33" s="20"/>
      <c r="D33" s="20"/>
      <c r="E33" s="20"/>
      <c r="F33" s="20"/>
      <c r="G33" s="20"/>
      <c r="H33" s="16"/>
    </row>
    <row r="34" spans="1:8" x14ac:dyDescent="0.25">
      <c r="A34" s="17"/>
      <c r="B34" s="20" t="s">
        <v>78</v>
      </c>
      <c r="C34" s="20"/>
      <c r="D34" s="20"/>
      <c r="E34" s="20"/>
      <c r="F34" s="20"/>
      <c r="G34" s="20"/>
      <c r="H34" s="16"/>
    </row>
    <row r="35" spans="1:8" ht="15.75" thickBot="1" x14ac:dyDescent="0.3">
      <c r="A35" s="21"/>
      <c r="B35" s="22" t="s">
        <v>79</v>
      </c>
      <c r="C35" s="22"/>
      <c r="D35" s="22"/>
      <c r="E35" s="22"/>
      <c r="F35" s="22"/>
      <c r="G35" s="22"/>
      <c r="H35" s="23"/>
    </row>
  </sheetData>
  <mergeCells count="1">
    <mergeCell ref="G1:H1"/>
  </mergeCells>
  <hyperlinks>
    <hyperlink ref="G1" location="TOC!A1" display="Return to TOC" xr:uid="{8271113E-A6CB-4EBD-930C-E1F72B51141E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229DE-0C5E-4549-A1EB-ABCB0774D5FD}">
  <dimension ref="A1:O40"/>
  <sheetViews>
    <sheetView workbookViewId="0"/>
  </sheetViews>
  <sheetFormatPr defaultRowHeight="15" x14ac:dyDescent="0.25"/>
  <cols>
    <col min="1" max="1" width="14" bestFit="1" customWidth="1"/>
    <col min="3" max="3" width="10.42578125" bestFit="1" customWidth="1"/>
    <col min="4" max="4" width="10.28515625" bestFit="1" customWidth="1"/>
    <col min="5" max="5" width="2.7109375" customWidth="1"/>
    <col min="7" max="7" width="10.42578125" bestFit="1" customWidth="1"/>
    <col min="8" max="8" width="10.28515625" bestFit="1" customWidth="1"/>
    <col min="9" max="9" width="4.140625" customWidth="1"/>
    <col min="10" max="10" width="3.7109375" customWidth="1"/>
  </cols>
  <sheetData>
    <row r="1" spans="1:15" x14ac:dyDescent="0.25">
      <c r="A1" s="6" t="s">
        <v>5</v>
      </c>
      <c r="B1" s="7" t="s">
        <v>54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15" x14ac:dyDescent="0.25">
      <c r="A2" s="11" t="s">
        <v>8</v>
      </c>
      <c r="B2" s="18" t="s">
        <v>142</v>
      </c>
      <c r="C2" s="18"/>
      <c r="D2" s="18"/>
      <c r="E2" s="18"/>
      <c r="F2" s="18"/>
      <c r="G2" s="18"/>
      <c r="H2" s="18"/>
      <c r="I2" s="12"/>
      <c r="J2" t="s">
        <v>35</v>
      </c>
      <c r="K2" s="73" t="s">
        <v>164</v>
      </c>
      <c r="L2" s="33">
        <v>1</v>
      </c>
      <c r="M2" s="33">
        <v>1</v>
      </c>
      <c r="N2" s="33">
        <v>1</v>
      </c>
      <c r="O2" s="74" t="s">
        <v>166</v>
      </c>
    </row>
    <row r="3" spans="1:15" x14ac:dyDescent="0.25">
      <c r="A3" s="11" t="s">
        <v>9</v>
      </c>
      <c r="B3" s="18" t="s">
        <v>158</v>
      </c>
      <c r="C3" s="18"/>
      <c r="D3" s="18"/>
      <c r="E3" s="18"/>
      <c r="F3" s="18"/>
      <c r="G3" s="18"/>
      <c r="H3" s="18"/>
      <c r="I3" s="12"/>
      <c r="K3" s="53"/>
      <c r="L3" s="33">
        <v>1</v>
      </c>
      <c r="M3" s="33">
        <v>0</v>
      </c>
      <c r="N3" s="33">
        <v>1</v>
      </c>
      <c r="O3" s="74" t="s">
        <v>167</v>
      </c>
    </row>
    <row r="4" spans="1:15" x14ac:dyDescent="0.25">
      <c r="A4" s="13"/>
      <c r="B4" s="19"/>
      <c r="C4" s="19"/>
      <c r="D4" s="19"/>
      <c r="E4" s="19"/>
      <c r="F4" s="19"/>
      <c r="G4" s="19"/>
      <c r="H4" s="19"/>
      <c r="I4" s="14"/>
      <c r="L4" s="33">
        <v>0</v>
      </c>
      <c r="M4" s="33">
        <v>1</v>
      </c>
      <c r="N4" s="33">
        <v>1</v>
      </c>
      <c r="O4" s="74" t="s">
        <v>168</v>
      </c>
    </row>
    <row r="5" spans="1:15" x14ac:dyDescent="0.25">
      <c r="A5" s="15" t="s">
        <v>10</v>
      </c>
      <c r="B5" s="18" t="s">
        <v>159</v>
      </c>
      <c r="C5" s="20"/>
      <c r="D5" s="20"/>
      <c r="E5" s="20"/>
      <c r="F5" s="20"/>
      <c r="G5" s="20"/>
      <c r="H5" s="20"/>
      <c r="I5" s="16"/>
      <c r="L5" s="33">
        <v>0</v>
      </c>
      <c r="M5" s="33">
        <v>0</v>
      </c>
      <c r="N5" s="33">
        <v>1</v>
      </c>
      <c r="O5" s="74" t="s">
        <v>169</v>
      </c>
    </row>
    <row r="6" spans="1:15" x14ac:dyDescent="0.25">
      <c r="A6" s="17"/>
      <c r="B6" s="18" t="s">
        <v>160</v>
      </c>
      <c r="C6" s="20"/>
      <c r="D6" s="20"/>
      <c r="E6" s="20"/>
      <c r="F6" s="20"/>
      <c r="G6" s="20"/>
      <c r="H6" s="20"/>
      <c r="I6" s="16"/>
    </row>
    <row r="7" spans="1:15" x14ac:dyDescent="0.25">
      <c r="A7" s="17"/>
      <c r="B7" s="18" t="s">
        <v>161</v>
      </c>
      <c r="C7" s="20"/>
      <c r="D7" s="20"/>
      <c r="E7" s="20"/>
      <c r="F7" s="20"/>
      <c r="G7" s="20"/>
      <c r="H7" s="20"/>
      <c r="I7" s="16"/>
      <c r="J7" t="s">
        <v>83</v>
      </c>
      <c r="K7" s="5" t="s">
        <v>165</v>
      </c>
      <c r="L7">
        <f>C11/G11</f>
        <v>0.5</v>
      </c>
    </row>
    <row r="8" spans="1:15" x14ac:dyDescent="0.25">
      <c r="A8" s="17"/>
      <c r="B8" s="20"/>
      <c r="C8" s="20"/>
      <c r="D8" s="20"/>
      <c r="E8" s="20"/>
      <c r="F8" s="20"/>
      <c r="G8" s="20"/>
      <c r="H8" s="20"/>
      <c r="I8" s="16"/>
      <c r="L8">
        <f>D11/H11</f>
        <v>0.6</v>
      </c>
    </row>
    <row r="9" spans="1:15" x14ac:dyDescent="0.25">
      <c r="A9" s="17"/>
      <c r="B9" s="65" t="s">
        <v>143</v>
      </c>
      <c r="C9" s="40"/>
      <c r="D9" s="40"/>
      <c r="E9" s="20"/>
      <c r="F9" s="65" t="s">
        <v>149</v>
      </c>
      <c r="G9" s="40"/>
      <c r="H9" s="40"/>
      <c r="I9" s="16"/>
      <c r="L9">
        <f>C12/G12</f>
        <v>0.4</v>
      </c>
    </row>
    <row r="10" spans="1:15" x14ac:dyDescent="0.25">
      <c r="A10" s="17"/>
      <c r="B10" s="66" t="s">
        <v>144</v>
      </c>
      <c r="C10" s="67" t="s">
        <v>145</v>
      </c>
      <c r="D10" s="68" t="s">
        <v>146</v>
      </c>
      <c r="E10" s="20"/>
      <c r="F10" s="66" t="s">
        <v>144</v>
      </c>
      <c r="G10" s="67" t="s">
        <v>145</v>
      </c>
      <c r="H10" s="68" t="s">
        <v>146</v>
      </c>
      <c r="I10" s="16"/>
      <c r="L10">
        <f>D12/H12</f>
        <v>0.35</v>
      </c>
    </row>
    <row r="11" spans="1:15" x14ac:dyDescent="0.25">
      <c r="A11" s="17"/>
      <c r="B11" s="31" t="s">
        <v>147</v>
      </c>
      <c r="C11" s="69">
        <v>700</v>
      </c>
      <c r="D11" s="70">
        <v>600</v>
      </c>
      <c r="E11" s="20"/>
      <c r="F11" s="31" t="s">
        <v>147</v>
      </c>
      <c r="G11" s="69">
        <v>1400</v>
      </c>
      <c r="H11" s="70">
        <v>1000</v>
      </c>
      <c r="I11" s="16"/>
    </row>
    <row r="12" spans="1:15" x14ac:dyDescent="0.25">
      <c r="A12" s="17"/>
      <c r="B12" s="32" t="s">
        <v>148</v>
      </c>
      <c r="C12" s="71">
        <v>400</v>
      </c>
      <c r="D12" s="72">
        <v>420</v>
      </c>
      <c r="E12" s="20"/>
      <c r="F12" s="32" t="s">
        <v>148</v>
      </c>
      <c r="G12" s="71">
        <v>1000</v>
      </c>
      <c r="H12" s="72">
        <v>1200</v>
      </c>
      <c r="I12" s="16"/>
      <c r="J12" t="s">
        <v>114</v>
      </c>
      <c r="K12" s="51" t="s">
        <v>170</v>
      </c>
    </row>
    <row r="13" spans="1:15" ht="18" x14ac:dyDescent="0.35">
      <c r="A13" s="17"/>
      <c r="B13" s="20"/>
      <c r="C13" s="20"/>
      <c r="D13" s="20"/>
      <c r="E13" s="20"/>
      <c r="F13" s="20"/>
      <c r="G13" s="20"/>
      <c r="H13" s="20"/>
      <c r="I13" s="16"/>
      <c r="K13" t="s">
        <v>173</v>
      </c>
      <c r="O13" t="s">
        <v>175</v>
      </c>
    </row>
    <row r="14" spans="1:15" ht="18" x14ac:dyDescent="0.35">
      <c r="A14" s="17"/>
      <c r="B14" s="18" t="s">
        <v>151</v>
      </c>
      <c r="C14" s="20"/>
      <c r="D14" s="20"/>
      <c r="E14" s="20"/>
      <c r="F14" s="20"/>
      <c r="G14" s="20"/>
      <c r="H14" s="20"/>
      <c r="I14" s="16"/>
      <c r="K14" t="s">
        <v>172</v>
      </c>
    </row>
    <row r="15" spans="1:15" ht="18" x14ac:dyDescent="0.35">
      <c r="A15" s="17"/>
      <c r="B15" s="20" t="s">
        <v>150</v>
      </c>
      <c r="C15" s="20"/>
      <c r="D15" s="20"/>
      <c r="E15" s="20"/>
      <c r="F15" s="20"/>
      <c r="G15" s="20"/>
      <c r="H15" s="20"/>
      <c r="I15" s="16"/>
      <c r="K15" t="s">
        <v>171</v>
      </c>
    </row>
    <row r="16" spans="1:15" ht="18" x14ac:dyDescent="0.35">
      <c r="A16" s="17"/>
      <c r="B16" s="20" t="s">
        <v>152</v>
      </c>
      <c r="C16" s="20"/>
      <c r="D16" s="20"/>
      <c r="E16" s="20"/>
      <c r="F16" s="20"/>
      <c r="G16" s="20"/>
      <c r="H16" s="20"/>
      <c r="I16" s="16"/>
      <c r="K16" t="s">
        <v>174</v>
      </c>
    </row>
    <row r="17" spans="1:13" x14ac:dyDescent="0.25">
      <c r="A17" s="17"/>
      <c r="B17" s="20"/>
      <c r="C17" s="20"/>
      <c r="D17" s="20"/>
      <c r="E17" s="20"/>
      <c r="F17" s="20"/>
      <c r="G17" s="20"/>
      <c r="H17" s="20"/>
      <c r="I17" s="16"/>
    </row>
    <row r="18" spans="1:13" ht="18" x14ac:dyDescent="0.35">
      <c r="A18" s="15" t="s">
        <v>55</v>
      </c>
      <c r="B18" s="20" t="s">
        <v>153</v>
      </c>
      <c r="C18" s="20"/>
      <c r="D18" s="20"/>
      <c r="E18" s="20"/>
      <c r="F18" s="20"/>
      <c r="G18" s="20"/>
      <c r="H18" s="20"/>
      <c r="I18" s="16"/>
      <c r="K18" t="s">
        <v>176</v>
      </c>
    </row>
    <row r="19" spans="1:13" x14ac:dyDescent="0.25">
      <c r="A19" s="17"/>
      <c r="B19" s="20"/>
      <c r="C19" s="20"/>
      <c r="D19" s="20"/>
      <c r="E19" s="20"/>
      <c r="F19" s="20"/>
      <c r="G19" s="20"/>
      <c r="H19" s="20"/>
      <c r="I19" s="16"/>
      <c r="K19" t="s">
        <v>177</v>
      </c>
    </row>
    <row r="20" spans="1:13" ht="18" x14ac:dyDescent="0.35">
      <c r="A20" s="17"/>
      <c r="B20" s="20" t="s">
        <v>154</v>
      </c>
      <c r="C20" s="20"/>
      <c r="D20" s="20"/>
      <c r="E20" s="20"/>
      <c r="F20" s="20"/>
      <c r="G20" s="20"/>
      <c r="H20" s="20"/>
      <c r="I20" s="16"/>
      <c r="K20" s="53" t="s">
        <v>181</v>
      </c>
    </row>
    <row r="21" spans="1:13" ht="18" x14ac:dyDescent="0.35">
      <c r="A21" s="17"/>
      <c r="B21" s="20"/>
      <c r="C21" s="20"/>
      <c r="D21" s="20"/>
      <c r="E21" s="20"/>
      <c r="F21" s="20"/>
      <c r="G21" s="20"/>
      <c r="H21" s="20"/>
      <c r="I21" s="16"/>
      <c r="K21" s="53" t="s">
        <v>178</v>
      </c>
    </row>
    <row r="22" spans="1:13" ht="18" x14ac:dyDescent="0.35">
      <c r="A22" s="17"/>
      <c r="B22" s="20" t="s">
        <v>162</v>
      </c>
      <c r="C22" s="20"/>
      <c r="D22" s="20"/>
      <c r="E22" s="20"/>
      <c r="F22" s="20"/>
      <c r="G22" s="20"/>
      <c r="H22" s="20"/>
      <c r="I22" s="16"/>
      <c r="K22" s="53" t="s">
        <v>179</v>
      </c>
    </row>
    <row r="23" spans="1:13" ht="18" x14ac:dyDescent="0.35">
      <c r="A23" s="17"/>
      <c r="B23" s="20" t="s">
        <v>163</v>
      </c>
      <c r="C23" s="20"/>
      <c r="D23" s="20"/>
      <c r="E23" s="20"/>
      <c r="F23" s="20"/>
      <c r="G23" s="20"/>
      <c r="H23" s="20"/>
      <c r="I23" s="16"/>
    </row>
    <row r="24" spans="1:13" x14ac:dyDescent="0.25">
      <c r="A24" s="17"/>
      <c r="B24" s="20"/>
      <c r="C24" s="20"/>
      <c r="D24" s="20"/>
      <c r="E24" s="20"/>
      <c r="F24" s="20"/>
      <c r="G24" s="20"/>
      <c r="H24" s="20"/>
      <c r="I24" s="16"/>
      <c r="K24" t="s">
        <v>180</v>
      </c>
    </row>
    <row r="25" spans="1:13" ht="18.75" x14ac:dyDescent="0.35">
      <c r="A25" s="17"/>
      <c r="B25" s="20" t="s">
        <v>155</v>
      </c>
      <c r="C25" s="20"/>
      <c r="D25" s="20"/>
      <c r="E25" s="20"/>
      <c r="F25" s="20"/>
      <c r="G25" s="20"/>
      <c r="H25" s="20"/>
      <c r="I25" s="16"/>
      <c r="K25" t="s">
        <v>182</v>
      </c>
    </row>
    <row r="26" spans="1:13" x14ac:dyDescent="0.25">
      <c r="A26" s="17"/>
      <c r="B26" s="20" t="s">
        <v>156</v>
      </c>
      <c r="C26" s="20"/>
      <c r="D26" s="20"/>
      <c r="E26" s="20"/>
      <c r="F26" s="20"/>
      <c r="G26" s="20"/>
      <c r="H26" s="20"/>
      <c r="I26" s="16"/>
    </row>
    <row r="27" spans="1:13" ht="15.75" thickBot="1" x14ac:dyDescent="0.3">
      <c r="A27" s="21"/>
      <c r="B27" s="22" t="s">
        <v>157</v>
      </c>
      <c r="C27" s="22"/>
      <c r="D27" s="22"/>
      <c r="E27" s="22"/>
      <c r="F27" s="22"/>
      <c r="G27" s="22"/>
      <c r="H27" s="22"/>
      <c r="I27" s="23"/>
      <c r="K27" t="s">
        <v>183</v>
      </c>
    </row>
    <row r="29" spans="1:13" ht="18" x14ac:dyDescent="0.35">
      <c r="K29" t="s">
        <v>184</v>
      </c>
      <c r="M29" t="s">
        <v>185</v>
      </c>
    </row>
    <row r="30" spans="1:13" ht="18" x14ac:dyDescent="0.35">
      <c r="L30" s="75" t="s">
        <v>186</v>
      </c>
      <c r="M30" s="53" t="s">
        <v>187</v>
      </c>
    </row>
    <row r="32" spans="1:13" ht="18" x14ac:dyDescent="0.35">
      <c r="K32" t="s">
        <v>188</v>
      </c>
      <c r="M32" t="s">
        <v>189</v>
      </c>
    </row>
    <row r="33" spans="10:13" ht="18" x14ac:dyDescent="0.35">
      <c r="M33" s="53" t="s">
        <v>190</v>
      </c>
    </row>
    <row r="35" spans="10:13" x14ac:dyDescent="0.25">
      <c r="K35" t="s">
        <v>191</v>
      </c>
    </row>
    <row r="36" spans="10:13" ht="18" x14ac:dyDescent="0.35">
      <c r="K36" s="76" t="s">
        <v>192</v>
      </c>
    </row>
    <row r="38" spans="10:13" x14ac:dyDescent="0.25">
      <c r="J38" t="s">
        <v>193</v>
      </c>
      <c r="K38" t="s">
        <v>194</v>
      </c>
    </row>
    <row r="39" spans="10:13" x14ac:dyDescent="0.25">
      <c r="K39" t="s">
        <v>195</v>
      </c>
    </row>
    <row r="40" spans="10:13" x14ac:dyDescent="0.25">
      <c r="K40" t="s">
        <v>196</v>
      </c>
    </row>
  </sheetData>
  <mergeCells count="1">
    <mergeCell ref="H1:I1"/>
  </mergeCells>
  <hyperlinks>
    <hyperlink ref="H1" location="TOC!A1" display="Return to TOC" xr:uid="{2F2A4145-E9DE-4E2C-BAC9-0064C0DBA828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5BA80-FB0B-42D0-8D37-7498D5DA4532}">
  <dimension ref="A1:J23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0" x14ac:dyDescent="0.25">
      <c r="A1" s="6" t="s">
        <v>5</v>
      </c>
      <c r="B1" s="7" t="s">
        <v>54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0" x14ac:dyDescent="0.25">
      <c r="A2" s="11" t="s">
        <v>8</v>
      </c>
      <c r="B2" s="18" t="s">
        <v>96</v>
      </c>
      <c r="C2" s="18"/>
      <c r="D2" s="18"/>
      <c r="E2" s="18"/>
      <c r="F2" s="18"/>
      <c r="G2" s="18"/>
      <c r="H2" s="12"/>
      <c r="I2" t="s">
        <v>35</v>
      </c>
      <c r="J2" s="53" t="s">
        <v>110</v>
      </c>
    </row>
    <row r="3" spans="1:10" ht="18.75" x14ac:dyDescent="0.35">
      <c r="A3" s="11" t="s">
        <v>9</v>
      </c>
      <c r="B3" s="18" t="s">
        <v>117</v>
      </c>
      <c r="C3" s="18"/>
      <c r="D3" s="18"/>
      <c r="E3" s="18"/>
      <c r="F3" s="18"/>
      <c r="G3" s="18"/>
      <c r="H3" s="12"/>
      <c r="J3" s="53" t="s">
        <v>111</v>
      </c>
    </row>
    <row r="4" spans="1:10" x14ac:dyDescent="0.25">
      <c r="A4" s="13"/>
      <c r="B4" s="19"/>
      <c r="C4" s="19"/>
      <c r="D4" s="19"/>
      <c r="E4" s="19"/>
      <c r="F4" s="19"/>
      <c r="G4" s="19"/>
      <c r="H4" s="14"/>
    </row>
    <row r="5" spans="1:10" x14ac:dyDescent="0.25">
      <c r="A5" s="15" t="s">
        <v>10</v>
      </c>
      <c r="B5" s="18" t="s">
        <v>97</v>
      </c>
      <c r="C5" s="20"/>
      <c r="D5" s="20"/>
      <c r="E5" s="20"/>
      <c r="F5" s="20"/>
      <c r="G5" s="20"/>
      <c r="H5" s="16"/>
      <c r="I5" t="s">
        <v>83</v>
      </c>
      <c r="J5" t="s">
        <v>112</v>
      </c>
    </row>
    <row r="6" spans="1:10" x14ac:dyDescent="0.25">
      <c r="A6" s="17"/>
      <c r="B6" s="18" t="s">
        <v>98</v>
      </c>
      <c r="C6" s="20"/>
      <c r="D6" s="20"/>
      <c r="E6" s="20"/>
      <c r="F6" s="20"/>
      <c r="G6" s="20"/>
      <c r="H6" s="16"/>
      <c r="J6" t="s">
        <v>113</v>
      </c>
    </row>
    <row r="7" spans="1:10" x14ac:dyDescent="0.25">
      <c r="A7" s="17"/>
      <c r="B7" s="20"/>
      <c r="C7" s="20"/>
      <c r="D7" s="20"/>
      <c r="E7" s="20"/>
      <c r="F7" s="20"/>
      <c r="G7" s="20"/>
      <c r="H7" s="16"/>
    </row>
    <row r="8" spans="1:10" x14ac:dyDescent="0.25">
      <c r="A8" s="17"/>
      <c r="B8" s="20" t="s">
        <v>99</v>
      </c>
      <c r="C8" s="20"/>
      <c r="D8" s="20"/>
      <c r="E8" s="20"/>
      <c r="F8" s="20"/>
      <c r="G8" s="20"/>
      <c r="H8" s="16"/>
      <c r="I8" t="s">
        <v>114</v>
      </c>
      <c r="J8" t="s">
        <v>115</v>
      </c>
    </row>
    <row r="9" spans="1:10" x14ac:dyDescent="0.25">
      <c r="A9" s="17"/>
      <c r="B9" s="20" t="s">
        <v>100</v>
      </c>
      <c r="C9" s="20"/>
      <c r="D9" s="20"/>
      <c r="E9" s="20"/>
      <c r="F9" s="20"/>
      <c r="G9" s="20"/>
      <c r="H9" s="16"/>
      <c r="J9" t="s">
        <v>116</v>
      </c>
    </row>
    <row r="10" spans="1:10" x14ac:dyDescent="0.25">
      <c r="A10" s="17"/>
      <c r="B10" s="20"/>
      <c r="C10" s="20"/>
      <c r="D10" s="20"/>
      <c r="E10" s="20"/>
      <c r="F10" s="20"/>
      <c r="G10" s="20"/>
      <c r="H10" s="16"/>
    </row>
    <row r="11" spans="1:10" x14ac:dyDescent="0.25">
      <c r="A11" s="17"/>
      <c r="B11" s="20"/>
      <c r="C11" s="20"/>
      <c r="D11" s="20"/>
      <c r="E11" s="20"/>
      <c r="F11" s="20"/>
      <c r="G11" s="20"/>
      <c r="H11" s="16"/>
    </row>
    <row r="12" spans="1:10" x14ac:dyDescent="0.25">
      <c r="A12" s="17"/>
      <c r="B12" s="20"/>
      <c r="C12" s="20"/>
      <c r="D12" s="20"/>
      <c r="E12" s="20"/>
      <c r="F12" s="20"/>
      <c r="G12" s="20"/>
      <c r="H12" s="16"/>
    </row>
    <row r="13" spans="1:10" ht="18" x14ac:dyDescent="0.35">
      <c r="A13" s="15" t="s">
        <v>55</v>
      </c>
      <c r="B13" s="20" t="s">
        <v>101</v>
      </c>
      <c r="C13" s="20"/>
      <c r="D13" s="20"/>
      <c r="E13" s="20"/>
      <c r="F13" s="20"/>
      <c r="G13" s="20"/>
      <c r="H13" s="16"/>
    </row>
    <row r="14" spans="1:10" x14ac:dyDescent="0.25">
      <c r="A14" s="17"/>
      <c r="B14" s="20"/>
      <c r="C14" s="20"/>
      <c r="D14" s="20"/>
      <c r="E14" s="20"/>
      <c r="F14" s="20"/>
      <c r="G14" s="20"/>
      <c r="H14" s="16"/>
    </row>
    <row r="15" spans="1:10" x14ac:dyDescent="0.25">
      <c r="A15" s="17"/>
      <c r="B15" s="20" t="s">
        <v>102</v>
      </c>
      <c r="C15" s="20"/>
      <c r="D15" s="20"/>
      <c r="E15" s="20"/>
      <c r="F15" s="20"/>
      <c r="G15" s="20"/>
      <c r="H15" s="16"/>
    </row>
    <row r="16" spans="1:10" x14ac:dyDescent="0.25">
      <c r="A16" s="17"/>
      <c r="B16" s="20" t="s">
        <v>103</v>
      </c>
      <c r="C16" s="20"/>
      <c r="D16" s="20"/>
      <c r="E16" s="20"/>
      <c r="F16" s="20"/>
      <c r="G16" s="20"/>
      <c r="H16" s="16"/>
    </row>
    <row r="17" spans="1:8" x14ac:dyDescent="0.25">
      <c r="A17" s="17"/>
      <c r="B17" s="20" t="s">
        <v>104</v>
      </c>
      <c r="C17" s="20"/>
      <c r="D17" s="20"/>
      <c r="E17" s="20"/>
      <c r="F17" s="20"/>
      <c r="G17" s="20"/>
      <c r="H17" s="16"/>
    </row>
    <row r="18" spans="1:8" x14ac:dyDescent="0.25">
      <c r="A18" s="17"/>
      <c r="B18" s="55" t="s">
        <v>105</v>
      </c>
      <c r="C18" s="20"/>
      <c r="D18" s="20"/>
      <c r="E18" s="20"/>
      <c r="F18" s="20"/>
      <c r="G18" s="20"/>
      <c r="H18" s="16"/>
    </row>
    <row r="19" spans="1:8" x14ac:dyDescent="0.25">
      <c r="A19" s="17"/>
      <c r="B19" s="55" t="s">
        <v>106</v>
      </c>
      <c r="C19" s="20"/>
      <c r="D19" s="20"/>
      <c r="E19" s="20"/>
      <c r="F19" s="20"/>
      <c r="G19" s="20"/>
      <c r="H19" s="16"/>
    </row>
    <row r="20" spans="1:8" x14ac:dyDescent="0.25">
      <c r="A20" s="17"/>
      <c r="B20" s="20"/>
      <c r="C20" s="20"/>
      <c r="D20" s="20"/>
      <c r="E20" s="20"/>
      <c r="F20" s="20"/>
      <c r="G20" s="20"/>
      <c r="H20" s="16"/>
    </row>
    <row r="21" spans="1:8" x14ac:dyDescent="0.25">
      <c r="A21" s="17"/>
      <c r="B21" s="20" t="s">
        <v>107</v>
      </c>
      <c r="C21" s="20"/>
      <c r="D21" s="20"/>
      <c r="E21" s="20"/>
      <c r="F21" s="20"/>
      <c r="G21" s="20"/>
      <c r="H21" s="16"/>
    </row>
    <row r="22" spans="1:8" ht="18" x14ac:dyDescent="0.35">
      <c r="A22" s="17"/>
      <c r="B22" s="20" t="s">
        <v>109</v>
      </c>
      <c r="C22" s="20"/>
      <c r="D22" s="20"/>
      <c r="E22" s="20"/>
      <c r="F22" s="20"/>
      <c r="G22" s="20"/>
      <c r="H22" s="16"/>
    </row>
    <row r="23" spans="1:8" ht="15.75" thickBot="1" x14ac:dyDescent="0.3">
      <c r="A23" s="21"/>
      <c r="B23" s="22" t="s">
        <v>108</v>
      </c>
      <c r="C23" s="22"/>
      <c r="D23" s="22"/>
      <c r="E23" s="22"/>
      <c r="F23" s="22"/>
      <c r="G23" s="22"/>
      <c r="H23" s="23"/>
    </row>
  </sheetData>
  <mergeCells count="1">
    <mergeCell ref="G1:H1"/>
  </mergeCells>
  <hyperlinks>
    <hyperlink ref="G1" location="TOC!A1" display="Return to TOC" xr:uid="{7B66811D-5CDF-4FC7-8A76-E45D3B04807D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2BB8E-1821-493B-BC9B-CC8B454AC0D5}">
  <dimension ref="A1:K26"/>
  <sheetViews>
    <sheetView workbookViewId="0"/>
  </sheetViews>
  <sheetFormatPr defaultRowHeight="15" x14ac:dyDescent="0.25"/>
  <cols>
    <col min="1" max="1" width="14" bestFit="1" customWidth="1"/>
    <col min="5" max="5" width="10.85546875" bestFit="1" customWidth="1"/>
    <col min="9" max="9" width="3.7109375" customWidth="1"/>
  </cols>
  <sheetData>
    <row r="1" spans="1:11" x14ac:dyDescent="0.25">
      <c r="A1" s="6" t="s">
        <v>5</v>
      </c>
      <c r="B1" s="7" t="s">
        <v>54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1" x14ac:dyDescent="0.25">
      <c r="A2" s="11" t="s">
        <v>8</v>
      </c>
      <c r="B2" s="18" t="s">
        <v>118</v>
      </c>
      <c r="C2" s="18"/>
      <c r="D2" s="18"/>
      <c r="E2" s="18"/>
      <c r="F2" s="18"/>
      <c r="G2" s="18"/>
      <c r="H2" s="12"/>
      <c r="I2" t="s">
        <v>35</v>
      </c>
      <c r="J2" s="53" t="s">
        <v>133</v>
      </c>
      <c r="K2">
        <f>E15+0+E16</f>
        <v>-2.5309999999999997</v>
      </c>
    </row>
    <row r="3" spans="1:11" x14ac:dyDescent="0.25">
      <c r="A3" s="11" t="s">
        <v>9</v>
      </c>
      <c r="B3" s="18" t="s">
        <v>126</v>
      </c>
      <c r="C3" s="18"/>
      <c r="D3" s="18"/>
      <c r="E3" s="18"/>
      <c r="F3" s="18"/>
      <c r="G3" s="18"/>
      <c r="H3" s="12"/>
      <c r="J3" s="53" t="s">
        <v>134</v>
      </c>
      <c r="K3" s="56">
        <f>EXP(K2)</f>
        <v>7.9579401081849105E-2</v>
      </c>
    </row>
    <row r="4" spans="1:11" x14ac:dyDescent="0.25">
      <c r="A4" s="13"/>
      <c r="B4" s="19"/>
      <c r="C4" s="19"/>
      <c r="D4" s="19"/>
      <c r="E4" s="19"/>
      <c r="F4" s="19"/>
      <c r="G4" s="19"/>
      <c r="H4" s="14"/>
    </row>
    <row r="5" spans="1:11" x14ac:dyDescent="0.25">
      <c r="A5" s="15" t="s">
        <v>10</v>
      </c>
      <c r="B5" s="18" t="s">
        <v>119</v>
      </c>
      <c r="C5" s="20"/>
      <c r="D5" s="20"/>
      <c r="E5" s="20"/>
      <c r="F5" s="20"/>
      <c r="G5" s="20"/>
      <c r="H5" s="16"/>
      <c r="I5" t="s">
        <v>83</v>
      </c>
      <c r="J5" t="s">
        <v>137</v>
      </c>
    </row>
    <row r="6" spans="1:11" x14ac:dyDescent="0.25">
      <c r="A6" s="17"/>
      <c r="B6" s="18" t="s">
        <v>120</v>
      </c>
      <c r="C6" s="20"/>
      <c r="D6" s="20"/>
      <c r="E6" s="20"/>
      <c r="F6" s="20"/>
      <c r="G6" s="20"/>
      <c r="H6" s="16"/>
      <c r="J6" s="56">
        <f>E18*K3</f>
        <v>5.5705580757294381E-3</v>
      </c>
    </row>
    <row r="7" spans="1:11" x14ac:dyDescent="0.25">
      <c r="A7" s="17"/>
      <c r="B7" s="20"/>
      <c r="C7" s="20"/>
      <c r="D7" s="20"/>
      <c r="E7" s="20"/>
      <c r="F7" s="20"/>
      <c r="G7" s="20"/>
      <c r="H7" s="16"/>
    </row>
    <row r="8" spans="1:11" x14ac:dyDescent="0.25">
      <c r="A8" s="17"/>
      <c r="B8" s="18" t="s">
        <v>121</v>
      </c>
      <c r="C8" s="20"/>
      <c r="D8" s="20"/>
      <c r="E8" s="20"/>
      <c r="F8" s="20"/>
      <c r="G8" s="20"/>
      <c r="H8" s="16"/>
      <c r="I8" t="s">
        <v>114</v>
      </c>
      <c r="J8" t="s">
        <v>141</v>
      </c>
    </row>
    <row r="9" spans="1:11" x14ac:dyDescent="0.25">
      <c r="A9" s="17"/>
      <c r="B9" s="18" t="s">
        <v>122</v>
      </c>
      <c r="C9" s="20"/>
      <c r="D9" s="20"/>
      <c r="E9" s="20"/>
      <c r="F9" s="20"/>
      <c r="G9" s="20"/>
      <c r="H9" s="16"/>
      <c r="J9" t="s">
        <v>139</v>
      </c>
      <c r="K9">
        <f>K3</f>
        <v>7.9579401081849105E-2</v>
      </c>
    </row>
    <row r="10" spans="1:11" x14ac:dyDescent="0.25">
      <c r="A10" s="17"/>
      <c r="B10" s="54" t="s">
        <v>123</v>
      </c>
      <c r="C10" s="20"/>
      <c r="D10" s="20"/>
      <c r="E10" s="20"/>
      <c r="F10" s="20"/>
      <c r="G10" s="20"/>
      <c r="H10" s="16"/>
      <c r="J10" t="s">
        <v>140</v>
      </c>
      <c r="K10">
        <f>SQRT(J6)</f>
        <v>7.463617136301566E-2</v>
      </c>
    </row>
    <row r="11" spans="1:11" x14ac:dyDescent="0.25">
      <c r="A11" s="17"/>
      <c r="B11" s="54" t="s">
        <v>124</v>
      </c>
      <c r="C11" s="20"/>
      <c r="D11" s="20"/>
      <c r="E11" s="20"/>
      <c r="F11" s="20"/>
      <c r="G11" s="20"/>
      <c r="H11" s="16"/>
    </row>
    <row r="12" spans="1:11" x14ac:dyDescent="0.25">
      <c r="A12" s="17"/>
      <c r="B12" s="20" t="s">
        <v>127</v>
      </c>
      <c r="C12" s="20"/>
      <c r="D12" s="20"/>
      <c r="E12" s="20"/>
      <c r="F12" s="20"/>
      <c r="G12" s="20"/>
      <c r="H12" s="16"/>
    </row>
    <row r="13" spans="1:11" x14ac:dyDescent="0.25">
      <c r="A13" s="17"/>
      <c r="B13" s="20"/>
      <c r="C13" s="20"/>
      <c r="D13" s="20"/>
      <c r="E13" s="20"/>
      <c r="F13" s="20"/>
      <c r="G13" s="20"/>
      <c r="H13" s="16"/>
    </row>
    <row r="14" spans="1:11" x14ac:dyDescent="0.25">
      <c r="A14" s="17"/>
      <c r="B14" s="60" t="s">
        <v>68</v>
      </c>
      <c r="C14" s="61"/>
      <c r="D14" s="62"/>
      <c r="E14" s="62" t="s">
        <v>125</v>
      </c>
      <c r="F14" s="20"/>
      <c r="G14" s="20"/>
      <c r="H14" s="16"/>
    </row>
    <row r="15" spans="1:11" x14ac:dyDescent="0.25">
      <c r="A15" s="17"/>
      <c r="B15" s="57" t="s">
        <v>71</v>
      </c>
      <c r="C15" s="20"/>
      <c r="D15" s="63"/>
      <c r="E15" s="25">
        <v>-2.6629999999999998</v>
      </c>
      <c r="F15" s="20"/>
      <c r="G15" s="20"/>
      <c r="H15" s="16"/>
    </row>
    <row r="16" spans="1:11" x14ac:dyDescent="0.25">
      <c r="A16" s="17"/>
      <c r="B16" s="57" t="s">
        <v>128</v>
      </c>
      <c r="C16" s="20"/>
      <c r="D16" s="63"/>
      <c r="E16" s="25">
        <v>0.13200000000000001</v>
      </c>
      <c r="F16" s="20"/>
      <c r="G16" s="20"/>
      <c r="H16" s="16"/>
    </row>
    <row r="17" spans="1:8" x14ac:dyDescent="0.25">
      <c r="A17" s="17"/>
      <c r="B17" s="57" t="s">
        <v>129</v>
      </c>
      <c r="C17" s="20"/>
      <c r="D17" s="63"/>
      <c r="E17" s="25">
        <v>-3.1E-2</v>
      </c>
      <c r="F17" s="20"/>
      <c r="G17" s="20"/>
      <c r="H17" s="16"/>
    </row>
    <row r="18" spans="1:8" x14ac:dyDescent="0.25">
      <c r="A18" s="17"/>
      <c r="B18" s="58" t="s">
        <v>130</v>
      </c>
      <c r="C18" s="59"/>
      <c r="D18" s="64"/>
      <c r="E18" s="27">
        <v>7.0000000000000007E-2</v>
      </c>
      <c r="F18" s="20"/>
      <c r="G18" s="20"/>
      <c r="H18" s="16"/>
    </row>
    <row r="19" spans="1:8" x14ac:dyDescent="0.25">
      <c r="A19" s="17"/>
      <c r="B19" s="20"/>
      <c r="C19" s="20"/>
      <c r="D19" s="20"/>
      <c r="E19" s="20"/>
      <c r="F19" s="20"/>
      <c r="G19" s="20"/>
      <c r="H19" s="16"/>
    </row>
    <row r="20" spans="1:8" x14ac:dyDescent="0.25">
      <c r="A20" s="15" t="s">
        <v>55</v>
      </c>
      <c r="B20" s="20" t="s">
        <v>131</v>
      </c>
      <c r="C20" s="20"/>
      <c r="D20" s="20"/>
      <c r="E20" s="20"/>
      <c r="F20" s="20"/>
      <c r="G20" s="20"/>
      <c r="H20" s="16"/>
    </row>
    <row r="21" spans="1:8" x14ac:dyDescent="0.25">
      <c r="A21" s="17"/>
      <c r="B21" s="20" t="s">
        <v>132</v>
      </c>
      <c r="C21" s="20"/>
      <c r="D21" s="20"/>
      <c r="E21" s="20"/>
      <c r="F21" s="20"/>
      <c r="G21" s="20"/>
      <c r="H21" s="16"/>
    </row>
    <row r="22" spans="1:8" x14ac:dyDescent="0.25">
      <c r="A22" s="17"/>
      <c r="B22" s="20"/>
      <c r="C22" s="20"/>
      <c r="D22" s="20"/>
      <c r="E22" s="20"/>
      <c r="F22" s="20"/>
      <c r="G22" s="20"/>
      <c r="H22" s="16"/>
    </row>
    <row r="23" spans="1:8" x14ac:dyDescent="0.25">
      <c r="A23" s="17"/>
      <c r="B23" s="20" t="s">
        <v>135</v>
      </c>
      <c r="C23" s="20"/>
      <c r="D23" s="20"/>
      <c r="E23" s="20"/>
      <c r="F23" s="20"/>
      <c r="G23" s="20"/>
      <c r="H23" s="16"/>
    </row>
    <row r="24" spans="1:8" x14ac:dyDescent="0.25">
      <c r="A24" s="17"/>
      <c r="B24" s="20" t="s">
        <v>136</v>
      </c>
      <c r="C24" s="20"/>
      <c r="D24" s="20"/>
      <c r="E24" s="20"/>
      <c r="F24" s="20"/>
      <c r="G24" s="20"/>
      <c r="H24" s="16"/>
    </row>
    <row r="25" spans="1:8" x14ac:dyDescent="0.25">
      <c r="A25" s="17"/>
      <c r="B25" s="20"/>
      <c r="C25" s="20"/>
      <c r="D25" s="20"/>
      <c r="E25" s="20"/>
      <c r="F25" s="20"/>
      <c r="G25" s="20"/>
      <c r="H25" s="16"/>
    </row>
    <row r="26" spans="1:8" ht="15.75" thickBot="1" x14ac:dyDescent="0.3">
      <c r="A26" s="21"/>
      <c r="B26" s="22" t="s">
        <v>138</v>
      </c>
      <c r="C26" s="22"/>
      <c r="D26" s="22"/>
      <c r="E26" s="22"/>
      <c r="F26" s="22"/>
      <c r="G26" s="22"/>
      <c r="H26" s="23"/>
    </row>
  </sheetData>
  <mergeCells count="1">
    <mergeCell ref="G1:H1"/>
  </mergeCells>
  <hyperlinks>
    <hyperlink ref="G1" location="TOC!A1" display="Return to TOC" xr:uid="{3FA0CDD5-5202-4359-AD0F-D09BF35CBB3F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8A9DE-4041-4B80-AE24-9C2158BFD832}">
  <dimension ref="A1:U46"/>
  <sheetViews>
    <sheetView workbookViewId="0"/>
  </sheetViews>
  <sheetFormatPr defaultRowHeight="15" x14ac:dyDescent="0.25"/>
  <cols>
    <col min="1" max="1" width="14" bestFit="1" customWidth="1"/>
    <col min="2" max="3" width="12.140625" customWidth="1"/>
    <col min="4" max="6" width="13.85546875" customWidth="1"/>
    <col min="9" max="9" width="7.7109375" customWidth="1"/>
    <col min="10" max="10" width="3.7109375" customWidth="1"/>
    <col min="11" max="12" width="9.85546875" bestFit="1" customWidth="1"/>
  </cols>
  <sheetData>
    <row r="1" spans="1:21" x14ac:dyDescent="0.25">
      <c r="A1" s="6" t="s">
        <v>5</v>
      </c>
      <c r="B1" s="7" t="s">
        <v>54</v>
      </c>
      <c r="C1" s="7"/>
      <c r="D1" s="8"/>
      <c r="E1" s="8"/>
      <c r="F1" s="8"/>
      <c r="G1" s="8"/>
      <c r="H1" s="281" t="s">
        <v>6</v>
      </c>
      <c r="I1" s="282"/>
      <c r="J1" s="9"/>
      <c r="K1" s="10" t="s">
        <v>7</v>
      </c>
    </row>
    <row r="2" spans="1:21" x14ac:dyDescent="0.25">
      <c r="A2" s="11" t="s">
        <v>8</v>
      </c>
      <c r="B2" s="18" t="s">
        <v>656</v>
      </c>
      <c r="C2" s="18"/>
      <c r="D2" s="18"/>
      <c r="E2" s="18"/>
      <c r="F2" s="18"/>
      <c r="G2" s="18"/>
      <c r="H2" s="18"/>
      <c r="I2" s="12"/>
      <c r="J2" t="s">
        <v>35</v>
      </c>
      <c r="K2" s="150" t="s">
        <v>621</v>
      </c>
      <c r="L2" s="85" t="s">
        <v>622</v>
      </c>
      <c r="M2" s="85"/>
      <c r="N2" s="85"/>
      <c r="O2" s="85"/>
      <c r="P2" s="85"/>
      <c r="Q2" s="85"/>
      <c r="R2" s="85"/>
      <c r="S2" s="85"/>
      <c r="T2" s="85"/>
      <c r="U2" s="85"/>
    </row>
    <row r="3" spans="1:21" x14ac:dyDescent="0.25">
      <c r="A3" s="11" t="s">
        <v>9</v>
      </c>
      <c r="B3" s="18" t="s">
        <v>669</v>
      </c>
      <c r="C3" s="18"/>
      <c r="D3" s="18"/>
      <c r="E3" s="18"/>
      <c r="F3" s="18"/>
      <c r="G3" s="18"/>
      <c r="H3" s="18"/>
      <c r="I3" s="12"/>
      <c r="K3" s="85"/>
      <c r="L3" s="85" t="s">
        <v>623</v>
      </c>
      <c r="M3" s="85"/>
      <c r="N3" s="85"/>
      <c r="O3" s="85"/>
      <c r="P3" s="85"/>
      <c r="Q3" s="85"/>
      <c r="R3" s="85"/>
      <c r="S3" s="85"/>
      <c r="T3" s="85"/>
      <c r="U3" s="85"/>
    </row>
    <row r="4" spans="1:21" x14ac:dyDescent="0.25">
      <c r="A4" s="13"/>
      <c r="B4" s="19"/>
      <c r="C4" s="19"/>
      <c r="D4" s="19"/>
      <c r="E4" s="19"/>
      <c r="F4" s="19"/>
      <c r="G4" s="19"/>
      <c r="H4" s="19"/>
      <c r="I4" s="14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</row>
    <row r="5" spans="1:21" x14ac:dyDescent="0.25">
      <c r="A5" s="15" t="s">
        <v>10</v>
      </c>
      <c r="B5" s="20" t="s">
        <v>595</v>
      </c>
      <c r="C5" s="20"/>
      <c r="D5" s="20"/>
      <c r="E5" s="20"/>
      <c r="F5" s="20"/>
      <c r="G5" s="20"/>
      <c r="H5" s="20"/>
      <c r="I5" s="16"/>
      <c r="K5" s="150" t="s">
        <v>624</v>
      </c>
      <c r="L5" s="85"/>
      <c r="M5" s="85" t="s">
        <v>625</v>
      </c>
      <c r="N5" s="85"/>
      <c r="O5" s="85"/>
      <c r="P5" s="85"/>
      <c r="Q5" s="85"/>
      <c r="R5" s="85"/>
      <c r="S5" s="85"/>
      <c r="T5" s="85"/>
      <c r="U5" s="85"/>
    </row>
    <row r="6" spans="1:21" x14ac:dyDescent="0.25">
      <c r="A6" s="17"/>
      <c r="B6" s="20" t="s">
        <v>615</v>
      </c>
      <c r="C6" s="20"/>
      <c r="D6" s="20"/>
      <c r="E6" s="20"/>
      <c r="F6" s="20"/>
      <c r="G6" s="20"/>
      <c r="H6" s="20"/>
      <c r="I6" s="16"/>
      <c r="K6" s="85"/>
      <c r="L6" s="85"/>
      <c r="M6" s="85" t="s">
        <v>626</v>
      </c>
      <c r="N6" s="85"/>
      <c r="O6" s="85"/>
      <c r="P6" s="85"/>
      <c r="Q6" s="85"/>
      <c r="R6" s="85"/>
      <c r="S6" s="85"/>
      <c r="T6" s="85"/>
      <c r="U6" s="85"/>
    </row>
    <row r="7" spans="1:21" x14ac:dyDescent="0.25">
      <c r="A7" s="17"/>
      <c r="B7" s="20" t="s">
        <v>616</v>
      </c>
      <c r="C7" s="20"/>
      <c r="D7" s="20"/>
      <c r="E7" s="20"/>
      <c r="F7" s="20"/>
      <c r="G7" s="20"/>
      <c r="H7" s="20"/>
      <c r="I7" s="16"/>
      <c r="K7" s="85"/>
      <c r="L7" s="85"/>
      <c r="M7" s="85" t="s">
        <v>627</v>
      </c>
      <c r="N7" s="85"/>
      <c r="O7" s="85"/>
      <c r="P7" s="85"/>
      <c r="Q7" s="85"/>
      <c r="R7" s="85"/>
      <c r="S7" s="85"/>
      <c r="T7" s="85"/>
      <c r="U7" s="85"/>
    </row>
    <row r="8" spans="1:21" x14ac:dyDescent="0.25">
      <c r="A8" s="17"/>
      <c r="B8" s="20"/>
      <c r="C8" s="20"/>
      <c r="D8" s="20"/>
      <c r="E8" s="20"/>
      <c r="F8" s="20"/>
      <c r="G8" s="20"/>
      <c r="H8" s="20"/>
      <c r="I8" s="16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</row>
    <row r="9" spans="1:21" x14ac:dyDescent="0.25">
      <c r="A9" s="17"/>
      <c r="B9" s="20" t="s">
        <v>596</v>
      </c>
      <c r="C9" s="20"/>
      <c r="D9" s="20"/>
      <c r="E9" s="20"/>
      <c r="F9" s="20"/>
      <c r="G9" s="20"/>
      <c r="H9" s="20"/>
      <c r="I9" s="16"/>
      <c r="K9" s="150" t="s">
        <v>628</v>
      </c>
      <c r="L9" s="85"/>
      <c r="M9" s="85"/>
      <c r="N9" s="85"/>
      <c r="O9" s="85"/>
      <c r="P9" s="85"/>
      <c r="Q9" s="85"/>
      <c r="R9" s="85"/>
      <c r="S9" s="85"/>
      <c r="T9" s="85"/>
      <c r="U9" s="85"/>
    </row>
    <row r="10" spans="1:21" x14ac:dyDescent="0.25">
      <c r="A10" s="17"/>
      <c r="B10" s="143" t="s">
        <v>246</v>
      </c>
      <c r="C10" s="144"/>
      <c r="D10" s="143" t="s">
        <v>597</v>
      </c>
      <c r="E10" s="144"/>
      <c r="F10" s="148"/>
      <c r="G10" s="147" t="s">
        <v>522</v>
      </c>
      <c r="H10" s="20"/>
      <c r="I10" s="16"/>
      <c r="K10" s="85" t="s">
        <v>629</v>
      </c>
      <c r="L10" s="85"/>
      <c r="M10" s="85"/>
      <c r="N10" s="85"/>
      <c r="O10" s="85"/>
      <c r="P10" s="85"/>
      <c r="Q10" s="85"/>
      <c r="R10" s="85"/>
      <c r="S10" s="85"/>
      <c r="T10" s="85"/>
      <c r="U10" s="85"/>
    </row>
    <row r="11" spans="1:21" x14ac:dyDescent="0.25">
      <c r="A11" s="17"/>
      <c r="B11" s="48" t="s">
        <v>598</v>
      </c>
      <c r="C11" s="49"/>
      <c r="D11" s="48" t="s">
        <v>599</v>
      </c>
      <c r="E11" s="49"/>
      <c r="F11" s="100"/>
      <c r="G11" s="149">
        <v>2E-3</v>
      </c>
      <c r="H11" s="20"/>
      <c r="I11" s="16"/>
      <c r="K11" s="85" t="s">
        <v>630</v>
      </c>
      <c r="L11" s="85"/>
      <c r="M11" s="85"/>
      <c r="N11" s="85"/>
      <c r="O11" s="85"/>
      <c r="P11" s="85"/>
      <c r="Q11" s="85"/>
      <c r="R11" s="85"/>
      <c r="S11" s="85"/>
      <c r="T11" s="85"/>
      <c r="U11" s="85"/>
    </row>
    <row r="12" spans="1:21" x14ac:dyDescent="0.25">
      <c r="A12" s="17"/>
      <c r="B12" s="48" t="s">
        <v>600</v>
      </c>
      <c r="C12" s="49"/>
      <c r="D12" s="48" t="s">
        <v>601</v>
      </c>
      <c r="E12" s="49"/>
      <c r="F12" s="100"/>
      <c r="G12" s="149">
        <v>8.0000000000000002E-3</v>
      </c>
      <c r="H12" s="20"/>
      <c r="I12" s="16"/>
      <c r="K12" s="85" t="s">
        <v>631</v>
      </c>
      <c r="L12" s="85"/>
      <c r="M12" s="85"/>
      <c r="N12" s="85"/>
      <c r="O12" s="85"/>
      <c r="P12" s="85"/>
      <c r="Q12" s="85"/>
      <c r="R12" s="85"/>
      <c r="S12" s="85"/>
      <c r="T12" s="85"/>
      <c r="U12" s="85"/>
    </row>
    <row r="13" spans="1:21" x14ac:dyDescent="0.25">
      <c r="A13" s="17"/>
      <c r="B13" s="48" t="s">
        <v>602</v>
      </c>
      <c r="C13" s="49"/>
      <c r="D13" s="48" t="s">
        <v>603</v>
      </c>
      <c r="E13" s="49"/>
      <c r="F13" s="100"/>
      <c r="G13" s="149">
        <v>3.0000000000000001E-3</v>
      </c>
      <c r="H13" s="20"/>
      <c r="I13" s="16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</row>
    <row r="14" spans="1:21" x14ac:dyDescent="0.25">
      <c r="A14" s="17"/>
      <c r="B14" s="48" t="s">
        <v>604</v>
      </c>
      <c r="C14" s="49"/>
      <c r="D14" s="48" t="s">
        <v>605</v>
      </c>
      <c r="E14" s="49"/>
      <c r="F14" s="100"/>
      <c r="G14" s="149">
        <v>5.0000000000000001E-3</v>
      </c>
      <c r="H14" s="20"/>
      <c r="I14" s="16"/>
      <c r="J14" t="s">
        <v>83</v>
      </c>
      <c r="K14" s="150" t="s">
        <v>632</v>
      </c>
      <c r="L14" s="85"/>
      <c r="M14" s="85" t="s">
        <v>633</v>
      </c>
      <c r="N14" s="85"/>
      <c r="O14" s="85"/>
      <c r="P14" s="85"/>
      <c r="Q14" s="85"/>
      <c r="R14" s="85"/>
      <c r="S14" s="85"/>
      <c r="T14" s="85"/>
      <c r="U14" s="85"/>
    </row>
    <row r="15" spans="1:21" x14ac:dyDescent="0.25">
      <c r="A15" s="17"/>
      <c r="B15" s="48" t="s">
        <v>606</v>
      </c>
      <c r="C15" s="49"/>
      <c r="D15" s="48" t="s">
        <v>607</v>
      </c>
      <c r="E15" s="49"/>
      <c r="F15" s="100"/>
      <c r="G15" s="149">
        <v>0.08</v>
      </c>
      <c r="H15" s="20"/>
      <c r="I15" s="16"/>
      <c r="K15" s="85"/>
      <c r="L15" s="85"/>
      <c r="M15" s="85" t="s">
        <v>634</v>
      </c>
      <c r="N15" s="85"/>
      <c r="O15" s="85"/>
      <c r="P15" s="85"/>
      <c r="Q15" s="85"/>
      <c r="R15" s="85"/>
      <c r="S15" s="85"/>
      <c r="T15" s="85"/>
      <c r="U15" s="85"/>
    </row>
    <row r="16" spans="1:21" x14ac:dyDescent="0.25">
      <c r="A16" s="17"/>
      <c r="B16" s="48" t="s">
        <v>608</v>
      </c>
      <c r="C16" s="49"/>
      <c r="D16" s="48" t="s">
        <v>609</v>
      </c>
      <c r="E16" s="49"/>
      <c r="F16" s="100"/>
      <c r="G16" s="149">
        <v>0.15</v>
      </c>
      <c r="H16" s="20"/>
      <c r="I16" s="16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</row>
    <row r="17" spans="1:21" x14ac:dyDescent="0.25">
      <c r="A17" s="17"/>
      <c r="B17" s="48" t="s">
        <v>610</v>
      </c>
      <c r="C17" s="49"/>
      <c r="D17" s="48" t="s">
        <v>611</v>
      </c>
      <c r="E17" s="49"/>
      <c r="F17" s="100"/>
      <c r="G17" s="149">
        <v>0.01</v>
      </c>
      <c r="H17" s="20"/>
      <c r="I17" s="16"/>
      <c r="K17" s="150" t="s">
        <v>635</v>
      </c>
      <c r="L17" s="85" t="s">
        <v>636</v>
      </c>
      <c r="M17" s="85"/>
      <c r="N17" s="85"/>
      <c r="O17" s="85"/>
      <c r="P17" s="85"/>
      <c r="Q17" s="85"/>
      <c r="R17" s="85"/>
      <c r="S17" s="85"/>
      <c r="T17" s="85"/>
      <c r="U17" s="85"/>
    </row>
    <row r="18" spans="1:21" x14ac:dyDescent="0.25">
      <c r="A18" s="17"/>
      <c r="B18" s="20"/>
      <c r="C18" s="20"/>
      <c r="D18" s="20"/>
      <c r="E18" s="20"/>
      <c r="F18" s="20"/>
      <c r="G18" s="20"/>
      <c r="H18" s="20"/>
      <c r="I18" s="16"/>
      <c r="K18" s="85"/>
      <c r="L18" s="85" t="s">
        <v>637</v>
      </c>
      <c r="M18" s="85"/>
      <c r="N18" s="85"/>
      <c r="O18" s="85"/>
      <c r="P18" s="85"/>
      <c r="Q18" s="85"/>
      <c r="R18" s="85"/>
      <c r="S18" s="85"/>
      <c r="T18" s="85"/>
      <c r="U18" s="85"/>
    </row>
    <row r="19" spans="1:21" x14ac:dyDescent="0.25">
      <c r="A19" s="17"/>
      <c r="B19" s="20" t="s">
        <v>618</v>
      </c>
      <c r="C19" s="20"/>
      <c r="D19" s="20"/>
      <c r="E19" s="20"/>
      <c r="F19" s="20"/>
      <c r="G19" s="20"/>
      <c r="H19" s="20"/>
      <c r="I19" s="16"/>
      <c r="K19" s="85"/>
      <c r="L19" s="85" t="s">
        <v>638</v>
      </c>
      <c r="M19" s="85"/>
      <c r="N19" s="85"/>
      <c r="O19" s="85"/>
      <c r="P19" s="85"/>
      <c r="Q19" s="85"/>
      <c r="R19" s="85"/>
      <c r="S19" s="85"/>
      <c r="T19" s="85"/>
      <c r="U19" s="85"/>
    </row>
    <row r="20" spans="1:21" x14ac:dyDescent="0.25">
      <c r="A20" s="17"/>
      <c r="B20" s="20" t="s">
        <v>617</v>
      </c>
      <c r="C20" s="20"/>
      <c r="D20" s="20"/>
      <c r="E20" s="20"/>
      <c r="F20" s="20"/>
      <c r="G20" s="20"/>
      <c r="H20" s="20"/>
      <c r="I20" s="16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</row>
    <row r="21" spans="1:21" x14ac:dyDescent="0.25">
      <c r="A21" s="17"/>
      <c r="B21" s="20"/>
      <c r="C21" s="20"/>
      <c r="D21" s="20"/>
      <c r="E21" s="20"/>
      <c r="F21" s="20"/>
      <c r="G21" s="20"/>
      <c r="H21" s="20"/>
      <c r="I21" s="16"/>
      <c r="K21" s="150" t="s">
        <v>639</v>
      </c>
      <c r="L21" s="85"/>
      <c r="M21" s="85" t="s">
        <v>640</v>
      </c>
      <c r="N21" s="85"/>
      <c r="O21" s="85"/>
      <c r="P21" s="85"/>
      <c r="Q21" s="85"/>
      <c r="R21" s="85"/>
      <c r="S21" s="85"/>
      <c r="T21" s="85"/>
      <c r="U21" s="85"/>
    </row>
    <row r="22" spans="1:21" x14ac:dyDescent="0.25">
      <c r="A22" s="89" t="s">
        <v>55</v>
      </c>
      <c r="B22" s="20" t="s">
        <v>660</v>
      </c>
      <c r="C22" s="20"/>
      <c r="D22" s="20"/>
      <c r="E22" s="20"/>
      <c r="F22" s="20"/>
      <c r="G22" s="20"/>
      <c r="H22" s="20"/>
      <c r="I22" s="16"/>
      <c r="K22" s="85"/>
      <c r="L22" s="85"/>
      <c r="M22" s="85" t="s">
        <v>641</v>
      </c>
      <c r="N22" s="85"/>
      <c r="O22" s="85"/>
      <c r="P22" s="85"/>
      <c r="Q22" s="85"/>
      <c r="R22" s="85"/>
      <c r="S22" s="85"/>
      <c r="T22" s="85"/>
      <c r="U22" s="85"/>
    </row>
    <row r="23" spans="1:21" x14ac:dyDescent="0.25">
      <c r="A23" s="17"/>
      <c r="B23" s="20" t="s">
        <v>661</v>
      </c>
      <c r="C23" s="20"/>
      <c r="D23" s="20"/>
      <c r="E23" s="20"/>
      <c r="F23" s="20"/>
      <c r="G23" s="20"/>
      <c r="H23" s="20"/>
      <c r="I23" s="16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</row>
    <row r="24" spans="1:21" x14ac:dyDescent="0.25">
      <c r="A24" s="17"/>
      <c r="B24" s="20"/>
      <c r="C24" s="20"/>
      <c r="D24" s="20"/>
      <c r="E24" s="20"/>
      <c r="F24" s="20"/>
      <c r="G24" s="20"/>
      <c r="H24" s="20"/>
      <c r="I24" s="16"/>
      <c r="K24" s="150" t="s">
        <v>642</v>
      </c>
      <c r="L24" s="85"/>
      <c r="M24" s="85"/>
      <c r="N24" s="85"/>
      <c r="O24" s="85"/>
      <c r="P24" s="85"/>
      <c r="Q24" s="85"/>
      <c r="R24" s="85"/>
      <c r="S24" s="85"/>
      <c r="T24" s="85"/>
      <c r="U24" s="85"/>
    </row>
    <row r="25" spans="1:21" x14ac:dyDescent="0.25">
      <c r="A25" s="17"/>
      <c r="B25" s="80" t="s">
        <v>657</v>
      </c>
      <c r="C25" s="20"/>
      <c r="D25" s="20"/>
      <c r="E25" s="20"/>
      <c r="F25" s="20"/>
      <c r="G25" s="20"/>
      <c r="H25" s="20"/>
      <c r="I25" s="16"/>
      <c r="K25" s="85" t="s">
        <v>643</v>
      </c>
      <c r="L25" s="85"/>
      <c r="M25" s="85"/>
      <c r="N25" s="85"/>
      <c r="O25" s="85"/>
      <c r="P25" s="85"/>
      <c r="Q25" s="85"/>
      <c r="R25" s="85"/>
      <c r="S25" s="85"/>
      <c r="T25" s="85"/>
      <c r="U25" s="85"/>
    </row>
    <row r="26" spans="1:21" x14ac:dyDescent="0.25">
      <c r="A26" s="17"/>
      <c r="B26" s="20" t="s">
        <v>658</v>
      </c>
      <c r="C26" s="20"/>
      <c r="D26" s="20"/>
      <c r="E26" s="20"/>
      <c r="F26" s="20"/>
      <c r="G26" s="20"/>
      <c r="H26" s="20"/>
      <c r="I26" s="16"/>
      <c r="K26" s="85" t="s">
        <v>644</v>
      </c>
      <c r="L26" s="85"/>
      <c r="M26" s="85"/>
      <c r="N26" s="85"/>
      <c r="O26" s="85"/>
      <c r="P26" s="85"/>
      <c r="Q26" s="85"/>
      <c r="R26" s="85"/>
      <c r="S26" s="85"/>
      <c r="T26" s="85"/>
      <c r="U26" s="85"/>
    </row>
    <row r="27" spans="1:21" x14ac:dyDescent="0.25">
      <c r="A27" s="17"/>
      <c r="B27" s="20"/>
      <c r="C27" s="20"/>
      <c r="D27" s="20"/>
      <c r="E27" s="20"/>
      <c r="F27" s="20"/>
      <c r="G27" s="20"/>
      <c r="H27" s="20"/>
      <c r="I27" s="16"/>
      <c r="K27" s="85" t="s">
        <v>645</v>
      </c>
      <c r="L27" s="85"/>
      <c r="M27" s="85"/>
      <c r="N27" s="85"/>
      <c r="O27" s="85"/>
      <c r="P27" s="85"/>
      <c r="Q27" s="85"/>
      <c r="R27" s="85"/>
      <c r="S27" s="85"/>
      <c r="T27" s="85"/>
      <c r="U27" s="85"/>
    </row>
    <row r="28" spans="1:21" x14ac:dyDescent="0.25">
      <c r="A28" s="17"/>
      <c r="B28" s="20" t="s">
        <v>619</v>
      </c>
      <c r="C28" s="20"/>
      <c r="D28" s="20"/>
      <c r="E28" s="20"/>
      <c r="F28" s="20"/>
      <c r="G28" s="20"/>
      <c r="H28" s="20"/>
      <c r="I28" s="16"/>
      <c r="K28" s="85" t="s">
        <v>646</v>
      </c>
      <c r="L28" s="85"/>
      <c r="M28" s="85"/>
      <c r="N28" s="85"/>
      <c r="O28" s="85"/>
      <c r="P28" s="85"/>
      <c r="Q28" s="85"/>
      <c r="R28" s="85"/>
      <c r="S28" s="85"/>
      <c r="T28" s="85"/>
      <c r="U28" s="85"/>
    </row>
    <row r="29" spans="1:21" x14ac:dyDescent="0.25">
      <c r="A29" s="17"/>
      <c r="B29" s="20" t="s">
        <v>620</v>
      </c>
      <c r="C29" s="20"/>
      <c r="D29" s="20"/>
      <c r="E29" s="20"/>
      <c r="F29" s="20"/>
      <c r="G29" s="20"/>
      <c r="H29" s="20"/>
      <c r="I29" s="16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</row>
    <row r="30" spans="1:21" x14ac:dyDescent="0.25">
      <c r="A30" s="17"/>
      <c r="B30" s="20"/>
      <c r="C30" s="20"/>
      <c r="D30" s="20"/>
      <c r="E30" s="20"/>
      <c r="F30" s="20"/>
      <c r="G30" s="20"/>
      <c r="H30" s="20"/>
      <c r="I30" s="16"/>
      <c r="J30" t="s">
        <v>114</v>
      </c>
      <c r="K30" s="85" t="s">
        <v>647</v>
      </c>
      <c r="L30" s="85"/>
      <c r="M30" s="85"/>
      <c r="N30" s="85"/>
      <c r="O30" s="85"/>
      <c r="P30" s="85"/>
      <c r="Q30" s="151" t="s">
        <v>648</v>
      </c>
      <c r="R30" s="85"/>
      <c r="S30" s="85"/>
      <c r="T30" s="85"/>
      <c r="U30" s="85"/>
    </row>
    <row r="31" spans="1:21" x14ac:dyDescent="0.25">
      <c r="A31" s="17"/>
      <c r="B31" s="20" t="s">
        <v>659</v>
      </c>
      <c r="C31" s="20"/>
      <c r="D31" s="20"/>
      <c r="E31" s="20"/>
      <c r="F31" s="20"/>
      <c r="G31" s="20"/>
      <c r="H31" s="20"/>
      <c r="I31" s="16"/>
      <c r="K31" s="85" t="s">
        <v>649</v>
      </c>
      <c r="L31" s="85"/>
      <c r="M31" s="85"/>
      <c r="N31" s="85"/>
      <c r="O31" s="85"/>
      <c r="P31" s="85"/>
      <c r="Q31" s="152" t="s">
        <v>650</v>
      </c>
      <c r="R31" s="85"/>
      <c r="S31" s="85"/>
      <c r="T31" s="85"/>
      <c r="U31" s="85"/>
    </row>
    <row r="32" spans="1:21" x14ac:dyDescent="0.25">
      <c r="A32" s="17"/>
      <c r="B32" s="20"/>
      <c r="C32" s="20"/>
      <c r="D32" s="20"/>
      <c r="E32" s="20"/>
      <c r="F32" s="20"/>
      <c r="G32" s="20"/>
      <c r="H32" s="20"/>
      <c r="I32" s="16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</row>
    <row r="33" spans="1:21" x14ac:dyDescent="0.25">
      <c r="A33" s="17"/>
      <c r="B33" s="20"/>
      <c r="C33" s="142" t="s">
        <v>68</v>
      </c>
      <c r="D33" s="146"/>
      <c r="E33" s="90" t="s">
        <v>125</v>
      </c>
      <c r="F33" s="20"/>
      <c r="G33" s="20"/>
      <c r="H33" s="20"/>
      <c r="I33" s="16"/>
      <c r="K33" s="85" t="s">
        <v>651</v>
      </c>
      <c r="L33" s="85"/>
      <c r="M33" s="85"/>
      <c r="N33" s="85"/>
      <c r="O33" s="85"/>
      <c r="P33" s="85"/>
      <c r="Q33" s="85"/>
      <c r="R33" s="85"/>
      <c r="S33" s="85"/>
      <c r="T33" s="85"/>
      <c r="U33" s="85"/>
    </row>
    <row r="34" spans="1:21" x14ac:dyDescent="0.25">
      <c r="A34" s="17"/>
      <c r="B34" s="20"/>
      <c r="C34" s="39" t="s">
        <v>71</v>
      </c>
      <c r="D34" s="40"/>
      <c r="E34" s="155">
        <v>-0.63100000000000001</v>
      </c>
      <c r="F34" s="20"/>
      <c r="G34" s="20"/>
      <c r="H34" s="20"/>
      <c r="I34" s="16"/>
      <c r="K34" s="85" t="s">
        <v>652</v>
      </c>
      <c r="L34" s="85"/>
      <c r="M34" s="85"/>
      <c r="N34" s="85"/>
      <c r="O34" s="85"/>
      <c r="P34" s="85"/>
      <c r="Q34" s="85"/>
      <c r="R34" s="85"/>
      <c r="S34" s="85"/>
      <c r="T34" s="85"/>
      <c r="U34" s="85"/>
    </row>
    <row r="35" spans="1:21" x14ac:dyDescent="0.25">
      <c r="A35" s="17"/>
      <c r="B35" s="20"/>
      <c r="C35" s="39" t="s">
        <v>604</v>
      </c>
      <c r="D35" s="40"/>
      <c r="E35" s="155">
        <v>-0.04</v>
      </c>
      <c r="F35" s="20"/>
      <c r="G35" s="20"/>
      <c r="H35" s="20"/>
      <c r="I35" s="16"/>
      <c r="K35" s="85" t="s">
        <v>134</v>
      </c>
      <c r="L35" s="85">
        <f>EXP(E34+E35*5+E36*0+E38*1)</f>
        <v>0.25132710025405403</v>
      </c>
      <c r="M35" s="85"/>
      <c r="N35" s="85"/>
      <c r="O35" s="85"/>
      <c r="P35" s="85"/>
      <c r="Q35" s="85"/>
      <c r="R35" s="85"/>
      <c r="S35" s="85"/>
      <c r="T35" s="85"/>
      <c r="U35" s="85"/>
    </row>
    <row r="36" spans="1:21" x14ac:dyDescent="0.25">
      <c r="A36" s="17"/>
      <c r="B36" s="20"/>
      <c r="C36" s="39" t="s">
        <v>612</v>
      </c>
      <c r="D36" s="40"/>
      <c r="E36" s="155">
        <v>-0.2</v>
      </c>
      <c r="F36" s="20"/>
      <c r="G36" s="20"/>
      <c r="H36" s="20"/>
      <c r="I36" s="16"/>
      <c r="K36" s="85" t="str">
        <f>"i.e. "&amp;TEXT(L35,"$0.00")&amp;" per $100 of payroll"</f>
        <v>i.e. $0.25 per $100 of payroll</v>
      </c>
      <c r="L36" s="85"/>
      <c r="M36" s="85"/>
      <c r="N36" s="85"/>
      <c r="O36" s="85"/>
      <c r="P36" s="85"/>
      <c r="Q36" s="85"/>
      <c r="R36" s="85"/>
      <c r="S36" s="85"/>
      <c r="T36" s="85"/>
      <c r="U36" s="85"/>
    </row>
    <row r="37" spans="1:21" x14ac:dyDescent="0.25">
      <c r="A37" s="17"/>
      <c r="B37" s="20"/>
      <c r="C37" s="39" t="s">
        <v>613</v>
      </c>
      <c r="D37" s="40"/>
      <c r="E37" s="155">
        <v>0.35</v>
      </c>
      <c r="F37" s="20"/>
      <c r="G37" s="20"/>
      <c r="H37" s="20"/>
      <c r="I37" s="16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</row>
    <row r="38" spans="1:21" x14ac:dyDescent="0.25">
      <c r="A38" s="17"/>
      <c r="B38" s="20"/>
      <c r="C38" s="43" t="s">
        <v>614</v>
      </c>
      <c r="D38" s="44"/>
      <c r="E38" s="156">
        <v>-0.55000000000000004</v>
      </c>
      <c r="F38" s="154"/>
      <c r="G38" s="20"/>
      <c r="H38" s="20"/>
      <c r="I38" s="16"/>
      <c r="K38" s="85" t="s">
        <v>653</v>
      </c>
      <c r="L38" s="85"/>
      <c r="M38" s="85"/>
      <c r="N38" s="85"/>
      <c r="O38" s="85"/>
      <c r="P38" s="85"/>
      <c r="Q38" s="85"/>
      <c r="R38" s="85"/>
      <c r="S38" s="85"/>
      <c r="T38" s="85"/>
      <c r="U38" s="85"/>
    </row>
    <row r="39" spans="1:21" x14ac:dyDescent="0.25">
      <c r="A39" s="17"/>
      <c r="B39" s="20"/>
      <c r="C39" s="20"/>
      <c r="D39" s="20"/>
      <c r="E39" s="20"/>
      <c r="F39" s="20"/>
      <c r="G39" s="20"/>
      <c r="H39" s="20"/>
      <c r="I39" s="16"/>
      <c r="K39" s="153">
        <f>L35*F41/100</f>
        <v>2513.2710025405404</v>
      </c>
      <c r="L39" s="85"/>
      <c r="M39" s="85"/>
      <c r="N39" s="85"/>
      <c r="O39" s="85"/>
      <c r="P39" s="85"/>
      <c r="Q39" s="85"/>
      <c r="R39" s="85"/>
      <c r="S39" s="85"/>
      <c r="T39" s="85"/>
      <c r="U39" s="85"/>
    </row>
    <row r="40" spans="1:21" x14ac:dyDescent="0.25">
      <c r="A40" s="17"/>
      <c r="B40" s="20"/>
      <c r="C40" s="142" t="s">
        <v>662</v>
      </c>
      <c r="D40" s="146"/>
      <c r="E40" s="146"/>
      <c r="F40" s="90" t="s">
        <v>663</v>
      </c>
      <c r="G40" s="20"/>
      <c r="H40" s="20"/>
      <c r="I40" s="16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</row>
    <row r="41" spans="1:21" x14ac:dyDescent="0.25">
      <c r="A41" s="17"/>
      <c r="B41" s="20"/>
      <c r="C41" s="48" t="s">
        <v>664</v>
      </c>
      <c r="D41" s="49"/>
      <c r="E41" s="49"/>
      <c r="F41" s="157">
        <v>1000000</v>
      </c>
      <c r="G41" s="20"/>
      <c r="H41" s="20"/>
      <c r="I41" s="16"/>
      <c r="K41" s="85" t="s">
        <v>655</v>
      </c>
      <c r="L41" s="85"/>
      <c r="M41" s="85"/>
      <c r="N41" s="85"/>
      <c r="O41" s="85"/>
      <c r="P41" s="85"/>
      <c r="Q41" s="85"/>
      <c r="R41" s="85"/>
      <c r="S41" s="85"/>
      <c r="T41" s="85"/>
      <c r="U41" s="85"/>
    </row>
    <row r="42" spans="1:21" x14ac:dyDescent="0.25">
      <c r="A42" s="17"/>
      <c r="B42" s="20"/>
      <c r="C42" s="48" t="s">
        <v>604</v>
      </c>
      <c r="D42" s="49"/>
      <c r="E42" s="49"/>
      <c r="F42" s="38" t="s">
        <v>665</v>
      </c>
      <c r="G42" s="20"/>
      <c r="H42" s="20"/>
      <c r="I42" s="16"/>
      <c r="K42" s="85" t="s">
        <v>668</v>
      </c>
      <c r="L42" s="85"/>
      <c r="M42" s="85"/>
      <c r="N42" s="85"/>
      <c r="O42" s="85"/>
      <c r="P42" s="85"/>
      <c r="Q42" s="85"/>
      <c r="R42" s="85"/>
      <c r="S42" s="85"/>
      <c r="T42" s="85"/>
      <c r="U42" s="85"/>
    </row>
    <row r="43" spans="1:21" x14ac:dyDescent="0.25">
      <c r="A43" s="17"/>
      <c r="B43" s="20"/>
      <c r="C43" s="48" t="s">
        <v>600</v>
      </c>
      <c r="D43" s="49"/>
      <c r="E43" s="49"/>
      <c r="F43" s="38" t="s">
        <v>21</v>
      </c>
      <c r="G43" s="20"/>
      <c r="H43" s="20"/>
      <c r="I43" s="16"/>
      <c r="K43" s="85" t="s">
        <v>654</v>
      </c>
      <c r="L43" s="158">
        <f>(K39+F44)/(1-F45)</f>
        <v>5016.5887531756753</v>
      </c>
      <c r="M43" s="85"/>
      <c r="O43" s="85"/>
      <c r="P43" s="85"/>
      <c r="Q43" s="85"/>
      <c r="R43" s="85"/>
      <c r="S43" s="85"/>
      <c r="T43" s="85"/>
      <c r="U43" s="85"/>
    </row>
    <row r="44" spans="1:21" x14ac:dyDescent="0.25">
      <c r="A44" s="17"/>
      <c r="B44" s="20"/>
      <c r="C44" s="48" t="s">
        <v>666</v>
      </c>
      <c r="D44" s="49"/>
      <c r="E44" s="49"/>
      <c r="F44" s="157">
        <v>1500</v>
      </c>
      <c r="G44" s="20"/>
      <c r="H44" s="20"/>
      <c r="I44" s="16"/>
    </row>
    <row r="45" spans="1:21" x14ac:dyDescent="0.25">
      <c r="A45" s="17"/>
      <c r="B45" s="20"/>
      <c r="C45" s="48" t="s">
        <v>667</v>
      </c>
      <c r="D45" s="49"/>
      <c r="E45" s="49"/>
      <c r="F45" s="96">
        <v>0.2</v>
      </c>
      <c r="G45" s="20"/>
      <c r="H45" s="20"/>
      <c r="I45" s="16"/>
    </row>
    <row r="46" spans="1:21" ht="15.75" thickBot="1" x14ac:dyDescent="0.3">
      <c r="A46" s="21"/>
      <c r="B46" s="22"/>
      <c r="C46" s="22"/>
      <c r="D46" s="22"/>
      <c r="E46" s="22"/>
      <c r="F46" s="22"/>
      <c r="G46" s="22"/>
      <c r="H46" s="22"/>
      <c r="I46" s="23"/>
    </row>
  </sheetData>
  <mergeCells count="1">
    <mergeCell ref="H1:I1"/>
  </mergeCells>
  <hyperlinks>
    <hyperlink ref="H1" location="TOC!A1" display="Return to TOC" xr:uid="{E72715D0-B8EE-4F61-B7C1-6F90C00725F3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BC017-31BF-4615-ADAD-36D068AD15BD}">
  <dimension ref="A1:R38"/>
  <sheetViews>
    <sheetView workbookViewId="0"/>
  </sheetViews>
  <sheetFormatPr defaultRowHeight="15" x14ac:dyDescent="0.25"/>
  <cols>
    <col min="1" max="1" width="14" bestFit="1" customWidth="1"/>
    <col min="2" max="2" width="15.140625" customWidth="1"/>
    <col min="3" max="3" width="23.140625" bestFit="1" customWidth="1"/>
    <col min="4" max="4" width="9.5703125" bestFit="1" customWidth="1"/>
    <col min="8" max="8" width="10.28515625" customWidth="1"/>
    <col min="9" max="9" width="3.7109375" customWidth="1"/>
  </cols>
  <sheetData>
    <row r="1" spans="1:18" x14ac:dyDescent="0.25">
      <c r="A1" s="6" t="s">
        <v>5</v>
      </c>
      <c r="B1" s="7" t="s">
        <v>54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8" x14ac:dyDescent="0.25">
      <c r="A2" s="11" t="s">
        <v>8</v>
      </c>
      <c r="B2" s="18" t="s">
        <v>425</v>
      </c>
      <c r="C2" s="18"/>
      <c r="D2" s="18"/>
      <c r="E2" s="18"/>
      <c r="F2" s="18"/>
      <c r="G2" s="18"/>
      <c r="H2" s="12"/>
      <c r="I2" t="s">
        <v>35</v>
      </c>
      <c r="J2" s="85" t="s">
        <v>451</v>
      </c>
      <c r="K2" s="85" t="s">
        <v>452</v>
      </c>
      <c r="L2" s="85"/>
      <c r="N2" s="107">
        <f>LN(C19/(1-C19))</f>
        <v>-4.3297206819719447</v>
      </c>
      <c r="O2" s="85"/>
      <c r="P2" s="85"/>
      <c r="Q2" s="85"/>
      <c r="R2" s="85"/>
    </row>
    <row r="3" spans="1:18" x14ac:dyDescent="0.25">
      <c r="A3" s="11" t="s">
        <v>9</v>
      </c>
      <c r="B3" s="18" t="s">
        <v>471</v>
      </c>
      <c r="C3" s="18"/>
      <c r="D3" s="18"/>
      <c r="E3" s="18"/>
      <c r="F3" s="18"/>
      <c r="G3" s="18"/>
      <c r="H3" s="12"/>
      <c r="J3" s="85" t="s">
        <v>453</v>
      </c>
      <c r="K3" s="85" t="s">
        <v>454</v>
      </c>
      <c r="L3" s="85"/>
      <c r="N3" s="107">
        <f>LN(C20/(1-C20))</f>
        <v>-1.3676486997484274</v>
      </c>
      <c r="O3" s="85"/>
      <c r="P3" s="85"/>
      <c r="Q3" s="85"/>
      <c r="R3" s="85"/>
    </row>
    <row r="4" spans="1:18" x14ac:dyDescent="0.25">
      <c r="A4" s="13"/>
      <c r="B4" s="19"/>
      <c r="C4" s="19"/>
      <c r="D4" s="19"/>
      <c r="E4" s="19"/>
      <c r="F4" s="19"/>
      <c r="G4" s="19"/>
      <c r="H4" s="14"/>
      <c r="J4" s="85" t="s">
        <v>455</v>
      </c>
      <c r="K4" s="85" t="s">
        <v>456</v>
      </c>
      <c r="L4" s="85"/>
      <c r="N4" s="107">
        <f>LN(C21/(1-C21))</f>
        <v>-3.6635616461296463</v>
      </c>
      <c r="O4" s="85"/>
      <c r="P4" s="85"/>
      <c r="Q4" s="85"/>
      <c r="R4" s="85"/>
    </row>
    <row r="5" spans="1:18" x14ac:dyDescent="0.25">
      <c r="A5" s="15" t="s">
        <v>10</v>
      </c>
      <c r="B5" s="20" t="s">
        <v>426</v>
      </c>
      <c r="C5" s="20"/>
      <c r="D5" s="20"/>
      <c r="E5" s="20"/>
      <c r="F5" s="20"/>
      <c r="G5" s="20"/>
      <c r="H5" s="16"/>
      <c r="J5" s="85"/>
      <c r="K5" s="85"/>
      <c r="L5" s="85"/>
      <c r="M5" s="85"/>
      <c r="N5" s="85"/>
      <c r="O5" s="85"/>
      <c r="P5" s="85"/>
      <c r="Q5" s="85"/>
      <c r="R5" s="85"/>
    </row>
    <row r="6" spans="1:18" x14ac:dyDescent="0.25">
      <c r="A6" s="17"/>
      <c r="B6" s="20" t="s">
        <v>442</v>
      </c>
      <c r="C6" s="20"/>
      <c r="D6" s="20"/>
      <c r="E6" s="20"/>
      <c r="F6" s="20"/>
      <c r="G6" s="20"/>
      <c r="H6" s="16"/>
      <c r="I6" t="s">
        <v>83</v>
      </c>
      <c r="J6" s="85"/>
      <c r="K6" s="85"/>
      <c r="L6" s="85"/>
      <c r="M6" s="85"/>
      <c r="N6" s="85"/>
      <c r="O6" s="85"/>
      <c r="P6" s="85"/>
      <c r="Q6" s="85"/>
      <c r="R6" s="85"/>
    </row>
    <row r="7" spans="1:18" x14ac:dyDescent="0.25">
      <c r="A7" s="17"/>
      <c r="B7" s="20" t="s">
        <v>443</v>
      </c>
      <c r="C7" s="20"/>
      <c r="D7" s="20"/>
      <c r="E7" s="20"/>
      <c r="F7" s="20"/>
      <c r="G7" s="20"/>
      <c r="H7" s="16"/>
      <c r="J7" s="85"/>
      <c r="K7" s="85"/>
      <c r="L7" s="85"/>
      <c r="M7" s="85"/>
      <c r="N7" s="85"/>
      <c r="O7" s="85"/>
      <c r="P7" s="85"/>
      <c r="Q7" s="85"/>
      <c r="R7" s="85"/>
    </row>
    <row r="8" spans="1:18" x14ac:dyDescent="0.25">
      <c r="A8" s="17"/>
      <c r="B8" s="20"/>
      <c r="C8" s="20"/>
      <c r="D8" s="20"/>
      <c r="E8" s="20"/>
      <c r="F8" s="20"/>
      <c r="G8" s="20"/>
      <c r="H8" s="16"/>
      <c r="J8" s="85" t="s">
        <v>451</v>
      </c>
      <c r="K8" s="85" t="s">
        <v>457</v>
      </c>
      <c r="L8" s="85"/>
      <c r="M8" s="85"/>
      <c r="N8" s="85"/>
      <c r="O8" s="86">
        <f>C25*D19+C24+N2</f>
        <v>-4.6397206819719443</v>
      </c>
      <c r="P8" s="85"/>
      <c r="Q8" s="85"/>
      <c r="R8" s="85"/>
    </row>
    <row r="9" spans="1:18" x14ac:dyDescent="0.25">
      <c r="A9" s="17"/>
      <c r="B9" s="20" t="s">
        <v>427</v>
      </c>
      <c r="C9" s="20"/>
      <c r="D9" s="20"/>
      <c r="E9" s="20"/>
      <c r="F9" s="20"/>
      <c r="G9" s="20"/>
      <c r="H9" s="16"/>
      <c r="J9" s="85"/>
      <c r="K9" s="85" t="s">
        <v>458</v>
      </c>
      <c r="L9" s="87">
        <f>1/(1+EXP(-O8))</f>
        <v>9.5679652442775959E-3</v>
      </c>
      <c r="M9" s="85"/>
      <c r="N9" s="85"/>
      <c r="O9" s="85"/>
      <c r="P9" s="85"/>
      <c r="Q9" s="85"/>
      <c r="R9" s="85"/>
    </row>
    <row r="10" spans="1:18" x14ac:dyDescent="0.25">
      <c r="A10" s="17"/>
      <c r="B10" s="20" t="s">
        <v>428</v>
      </c>
      <c r="C10" s="20"/>
      <c r="D10" s="20"/>
      <c r="E10" s="20"/>
      <c r="F10" s="20"/>
      <c r="G10" s="20"/>
      <c r="H10" s="16"/>
      <c r="J10" s="85"/>
      <c r="K10" s="85"/>
      <c r="L10" s="85"/>
      <c r="M10" s="85"/>
      <c r="N10" s="85"/>
      <c r="O10" s="85"/>
      <c r="P10" s="85"/>
      <c r="Q10" s="85"/>
      <c r="R10" s="85"/>
    </row>
    <row r="11" spans="1:18" x14ac:dyDescent="0.25">
      <c r="A11" s="17"/>
      <c r="B11" s="20" t="s">
        <v>429</v>
      </c>
      <c r="C11" s="20"/>
      <c r="D11" s="20"/>
      <c r="E11" s="20"/>
      <c r="F11" s="20"/>
      <c r="G11" s="20"/>
      <c r="H11" s="16"/>
      <c r="J11" s="85" t="s">
        <v>453</v>
      </c>
      <c r="K11" s="85" t="s">
        <v>459</v>
      </c>
      <c r="L11" s="85"/>
      <c r="M11" s="85"/>
      <c r="N11" s="85"/>
      <c r="O11" s="85">
        <f>C25*D20+C24+N3</f>
        <v>-1.9576486997484275</v>
      </c>
      <c r="P11" s="85"/>
      <c r="Q11" s="85"/>
      <c r="R11" s="85"/>
    </row>
    <row r="12" spans="1:18" x14ac:dyDescent="0.25">
      <c r="A12" s="17"/>
      <c r="B12" s="20" t="s">
        <v>430</v>
      </c>
      <c r="C12" s="20"/>
      <c r="D12" s="20"/>
      <c r="E12" s="20"/>
      <c r="F12" s="20"/>
      <c r="G12" s="20"/>
      <c r="H12" s="16"/>
      <c r="J12" s="85"/>
      <c r="K12" s="85" t="s">
        <v>458</v>
      </c>
      <c r="L12" s="87">
        <f>1/(1+EXP(-O11))</f>
        <v>0.12372173755164198</v>
      </c>
      <c r="M12" s="85"/>
      <c r="N12" s="85"/>
      <c r="O12" s="85"/>
      <c r="P12" s="85"/>
      <c r="Q12" s="85"/>
      <c r="R12" s="85"/>
    </row>
    <row r="13" spans="1:18" x14ac:dyDescent="0.25">
      <c r="A13" s="17"/>
      <c r="B13" s="20"/>
      <c r="C13" s="20"/>
      <c r="D13" s="20"/>
      <c r="E13" s="20"/>
      <c r="F13" s="20"/>
      <c r="G13" s="20"/>
      <c r="H13" s="16"/>
      <c r="J13" s="85"/>
      <c r="K13" s="85"/>
      <c r="L13" s="85"/>
      <c r="M13" s="85"/>
      <c r="N13" s="85"/>
      <c r="O13" s="85"/>
      <c r="P13" s="85"/>
      <c r="Q13" s="85"/>
      <c r="R13" s="85"/>
    </row>
    <row r="14" spans="1:18" x14ac:dyDescent="0.25">
      <c r="A14" s="17"/>
      <c r="B14" s="20" t="s">
        <v>431</v>
      </c>
      <c r="C14" s="20"/>
      <c r="D14" s="20"/>
      <c r="E14" s="20"/>
      <c r="F14" s="20"/>
      <c r="G14" s="20"/>
      <c r="H14" s="16"/>
      <c r="J14" s="85" t="s">
        <v>455</v>
      </c>
      <c r="K14" s="85" t="s">
        <v>460</v>
      </c>
      <c r="L14" s="85"/>
      <c r="M14" s="85"/>
      <c r="N14" s="85"/>
      <c r="O14" s="85">
        <f>C25*D21+C24+N4</f>
        <v>-3.1135616461296465</v>
      </c>
      <c r="P14" s="85"/>
      <c r="Q14" s="85"/>
      <c r="R14" s="85"/>
    </row>
    <row r="15" spans="1:18" x14ac:dyDescent="0.25">
      <c r="A15" s="17"/>
      <c r="B15" s="20" t="s">
        <v>444</v>
      </c>
      <c r="C15" s="20"/>
      <c r="D15" s="20"/>
      <c r="E15" s="20"/>
      <c r="F15" s="20"/>
      <c r="G15" s="20"/>
      <c r="H15" s="16"/>
      <c r="J15" s="85"/>
      <c r="K15" s="85" t="s">
        <v>458</v>
      </c>
      <c r="L15" s="87">
        <f>1/(1+EXP(-O14))</f>
        <v>4.2551303651272687E-2</v>
      </c>
      <c r="M15" s="85"/>
      <c r="N15" s="85"/>
      <c r="O15" s="85"/>
      <c r="P15" s="85"/>
      <c r="Q15" s="85"/>
      <c r="R15" s="85"/>
    </row>
    <row r="16" spans="1:18" x14ac:dyDescent="0.25">
      <c r="A16" s="17"/>
      <c r="B16" s="20" t="s">
        <v>445</v>
      </c>
      <c r="C16" s="20"/>
      <c r="D16" s="20"/>
      <c r="E16" s="20"/>
      <c r="F16" s="20"/>
      <c r="G16" s="20"/>
      <c r="H16" s="16"/>
      <c r="J16" s="85"/>
      <c r="K16" s="85"/>
      <c r="L16" s="85"/>
      <c r="M16" s="85"/>
      <c r="N16" s="85"/>
      <c r="O16" s="85"/>
      <c r="P16" s="85"/>
      <c r="Q16" s="85"/>
      <c r="R16" s="85"/>
    </row>
    <row r="17" spans="1:18" x14ac:dyDescent="0.25">
      <c r="A17" s="17"/>
      <c r="B17" s="101"/>
      <c r="C17" s="102" t="s">
        <v>432</v>
      </c>
      <c r="D17" s="102" t="s">
        <v>433</v>
      </c>
      <c r="E17" s="20"/>
      <c r="F17" s="20"/>
      <c r="G17" s="20"/>
      <c r="H17" s="16"/>
      <c r="I17" t="s">
        <v>114</v>
      </c>
      <c r="J17" s="85" t="s">
        <v>461</v>
      </c>
      <c r="K17" s="85"/>
      <c r="L17" s="85"/>
      <c r="M17" s="85"/>
      <c r="N17" s="85"/>
      <c r="O17" s="85"/>
      <c r="P17" s="85"/>
      <c r="Q17" s="85"/>
      <c r="R17" s="85"/>
    </row>
    <row r="18" spans="1:18" x14ac:dyDescent="0.25">
      <c r="A18" s="17"/>
      <c r="B18" s="103" t="s">
        <v>434</v>
      </c>
      <c r="C18" s="103" t="s">
        <v>435</v>
      </c>
      <c r="D18" s="103" t="s">
        <v>436</v>
      </c>
      <c r="E18" s="20"/>
      <c r="F18" s="20"/>
      <c r="G18" s="20"/>
      <c r="H18" s="16"/>
      <c r="J18" s="85"/>
      <c r="K18" s="85"/>
      <c r="L18" s="85"/>
      <c r="M18" s="85"/>
      <c r="N18" s="85"/>
      <c r="O18" s="85"/>
      <c r="P18" s="85"/>
      <c r="Q18" s="85"/>
      <c r="R18" s="85"/>
    </row>
    <row r="19" spans="1:18" x14ac:dyDescent="0.25">
      <c r="A19" s="17"/>
      <c r="B19" s="38">
        <v>1</v>
      </c>
      <c r="C19" s="104">
        <v>1.2999999999999999E-2</v>
      </c>
      <c r="D19" s="38">
        <v>78</v>
      </c>
      <c r="E19" s="20"/>
      <c r="F19" s="20"/>
      <c r="G19" s="20"/>
      <c r="H19" s="16"/>
      <c r="J19" s="85" t="s">
        <v>462</v>
      </c>
      <c r="K19" s="85"/>
      <c r="L19" s="85"/>
      <c r="M19" s="85"/>
      <c r="N19" s="85"/>
      <c r="O19" s="85"/>
      <c r="P19" s="85"/>
      <c r="Q19" s="85"/>
      <c r="R19" s="85"/>
    </row>
    <row r="20" spans="1:18" x14ac:dyDescent="0.25">
      <c r="A20" s="17"/>
      <c r="B20" s="38">
        <v>2</v>
      </c>
      <c r="C20" s="104">
        <v>0.20300000000000001</v>
      </c>
      <c r="D20" s="38">
        <v>92</v>
      </c>
      <c r="E20" s="20"/>
      <c r="F20" s="20"/>
      <c r="G20" s="20"/>
      <c r="H20" s="16"/>
      <c r="J20" s="85"/>
      <c r="K20" s="85"/>
      <c r="L20" s="85"/>
      <c r="M20" s="85"/>
      <c r="N20" s="85"/>
      <c r="O20" s="85"/>
      <c r="P20" s="85"/>
      <c r="Q20" s="85"/>
      <c r="R20" s="85"/>
    </row>
    <row r="21" spans="1:18" x14ac:dyDescent="0.25">
      <c r="A21" s="17"/>
      <c r="B21" s="38">
        <v>3</v>
      </c>
      <c r="C21" s="104">
        <v>2.5000000000000001E-2</v>
      </c>
      <c r="D21" s="38">
        <v>35</v>
      </c>
      <c r="E21" s="20"/>
      <c r="F21" s="20"/>
      <c r="G21" s="20"/>
      <c r="H21" s="16"/>
      <c r="I21" t="s">
        <v>193</v>
      </c>
      <c r="J21" s="85" t="s">
        <v>463</v>
      </c>
      <c r="K21" s="85"/>
      <c r="L21" s="85"/>
      <c r="M21" s="85"/>
      <c r="N21" s="85"/>
      <c r="O21" s="85"/>
      <c r="P21" s="85"/>
      <c r="Q21" s="85"/>
      <c r="R21" s="85"/>
    </row>
    <row r="22" spans="1:18" x14ac:dyDescent="0.25">
      <c r="A22" s="17"/>
      <c r="B22" s="20"/>
      <c r="C22" s="20"/>
      <c r="D22" s="20"/>
      <c r="E22" s="20"/>
      <c r="F22" s="20"/>
      <c r="G22" s="20"/>
      <c r="H22" s="16"/>
      <c r="J22" s="85" t="s">
        <v>464</v>
      </c>
      <c r="K22" s="85"/>
      <c r="L22" s="85"/>
      <c r="M22" s="85"/>
      <c r="N22" s="85"/>
      <c r="O22" s="85"/>
      <c r="P22" s="85"/>
      <c r="Q22" s="85"/>
      <c r="R22" s="85"/>
    </row>
    <row r="23" spans="1:18" x14ac:dyDescent="0.25">
      <c r="A23" s="17"/>
      <c r="B23" s="90" t="s">
        <v>246</v>
      </c>
      <c r="C23" s="90" t="s">
        <v>437</v>
      </c>
      <c r="D23" s="20"/>
      <c r="E23" s="20"/>
      <c r="F23" s="20"/>
      <c r="G23" s="20"/>
      <c r="H23" s="16"/>
      <c r="J23" s="85" t="s">
        <v>465</v>
      </c>
      <c r="K23" s="85"/>
      <c r="L23" s="85"/>
      <c r="M23" s="85"/>
      <c r="N23" s="85"/>
      <c r="O23" s="85"/>
      <c r="P23" s="85"/>
      <c r="Q23" s="85"/>
      <c r="R23" s="85"/>
    </row>
    <row r="24" spans="1:18" x14ac:dyDescent="0.25">
      <c r="A24" s="17"/>
      <c r="B24" s="38" t="s">
        <v>71</v>
      </c>
      <c r="C24" s="105">
        <v>1.25</v>
      </c>
      <c r="D24" s="20"/>
      <c r="E24" s="20"/>
      <c r="F24" s="20"/>
      <c r="G24" s="20"/>
      <c r="H24" s="16"/>
      <c r="J24" s="85"/>
      <c r="K24" s="85"/>
      <c r="L24" s="85"/>
      <c r="M24" s="85"/>
      <c r="N24" s="85"/>
      <c r="O24" s="85"/>
      <c r="P24" s="85"/>
      <c r="Q24" s="85"/>
      <c r="R24" s="85"/>
    </row>
    <row r="25" spans="1:18" x14ac:dyDescent="0.25">
      <c r="A25" s="17"/>
      <c r="B25" s="38" t="s">
        <v>438</v>
      </c>
      <c r="C25" s="105">
        <v>-0.02</v>
      </c>
      <c r="D25" s="20"/>
      <c r="E25" s="20"/>
      <c r="F25" s="20"/>
      <c r="G25" s="20"/>
      <c r="H25" s="16"/>
      <c r="I25" t="s">
        <v>277</v>
      </c>
      <c r="J25" s="85" t="s">
        <v>466</v>
      </c>
      <c r="K25" s="85"/>
      <c r="L25" s="85"/>
      <c r="M25" s="85"/>
      <c r="N25" s="85"/>
      <c r="O25" s="85"/>
      <c r="P25" s="85"/>
      <c r="Q25" s="85"/>
      <c r="R25" s="85"/>
    </row>
    <row r="26" spans="1:18" x14ac:dyDescent="0.25">
      <c r="A26" s="17"/>
      <c r="B26" s="20"/>
      <c r="C26" s="20"/>
      <c r="D26" s="20"/>
      <c r="E26" s="20"/>
      <c r="F26" s="20"/>
      <c r="G26" s="20"/>
      <c r="H26" s="16"/>
      <c r="J26" s="85" t="s">
        <v>467</v>
      </c>
      <c r="K26" s="85"/>
      <c r="L26" s="85"/>
      <c r="M26" s="85"/>
      <c r="N26" s="85"/>
      <c r="O26" s="85"/>
      <c r="P26" s="85"/>
      <c r="Q26" s="85"/>
      <c r="R26" s="85"/>
    </row>
    <row r="27" spans="1:18" x14ac:dyDescent="0.25">
      <c r="A27" s="89" t="s">
        <v>55</v>
      </c>
      <c r="B27" s="20" t="s">
        <v>446</v>
      </c>
      <c r="C27" s="20"/>
      <c r="D27" s="20"/>
      <c r="E27" s="20"/>
      <c r="F27" s="20"/>
      <c r="G27" s="20"/>
      <c r="H27" s="16"/>
      <c r="J27" s="85" t="s">
        <v>468</v>
      </c>
      <c r="K27" s="85"/>
      <c r="L27" s="85"/>
      <c r="M27" s="85"/>
      <c r="N27" s="85"/>
      <c r="O27" s="85"/>
      <c r="P27" s="85"/>
      <c r="Q27" s="85"/>
      <c r="R27" s="85"/>
    </row>
    <row r="28" spans="1:18" x14ac:dyDescent="0.25">
      <c r="A28" s="17"/>
      <c r="B28" s="106"/>
      <c r="C28" s="20"/>
      <c r="D28" s="20"/>
      <c r="E28" s="20"/>
      <c r="F28" s="20"/>
      <c r="G28" s="20"/>
      <c r="H28" s="16"/>
      <c r="J28" s="85" t="s">
        <v>469</v>
      </c>
      <c r="K28" s="85"/>
      <c r="L28" s="85"/>
      <c r="M28" s="85"/>
      <c r="N28" s="85"/>
      <c r="O28" s="85"/>
      <c r="P28" s="85"/>
      <c r="Q28" s="85"/>
      <c r="R28" s="85"/>
    </row>
    <row r="29" spans="1:18" x14ac:dyDescent="0.25">
      <c r="A29" s="17"/>
      <c r="B29" s="20" t="s">
        <v>447</v>
      </c>
      <c r="C29" s="20"/>
      <c r="D29" s="20"/>
      <c r="E29" s="20"/>
      <c r="F29" s="20"/>
      <c r="G29" s="20"/>
      <c r="H29" s="16"/>
      <c r="J29" s="85" t="s">
        <v>470</v>
      </c>
      <c r="K29" s="85"/>
      <c r="L29" s="85"/>
      <c r="M29" s="85"/>
      <c r="N29" s="85"/>
      <c r="O29" s="85"/>
      <c r="P29" s="85"/>
      <c r="Q29" s="85"/>
      <c r="R29" s="85"/>
    </row>
    <row r="30" spans="1:18" x14ac:dyDescent="0.25">
      <c r="A30" s="17"/>
      <c r="B30" s="20"/>
      <c r="C30" s="20"/>
      <c r="D30" s="20"/>
      <c r="E30" s="20"/>
      <c r="F30" s="20"/>
      <c r="G30" s="20"/>
      <c r="H30" s="16"/>
    </row>
    <row r="31" spans="1:18" x14ac:dyDescent="0.25">
      <c r="A31" s="17"/>
      <c r="B31" s="20" t="s">
        <v>448</v>
      </c>
      <c r="C31" s="20"/>
      <c r="D31" s="20"/>
      <c r="E31" s="20"/>
      <c r="F31" s="20"/>
      <c r="G31" s="20"/>
      <c r="H31" s="16"/>
    </row>
    <row r="32" spans="1:18" x14ac:dyDescent="0.25">
      <c r="A32" s="17"/>
      <c r="B32" s="20" t="s">
        <v>439</v>
      </c>
      <c r="C32" s="20"/>
      <c r="D32" s="20"/>
      <c r="E32" s="20"/>
      <c r="F32" s="20"/>
      <c r="G32" s="20"/>
      <c r="H32" s="16"/>
    </row>
    <row r="33" spans="1:8" x14ac:dyDescent="0.25">
      <c r="A33" s="17"/>
      <c r="B33" s="20" t="s">
        <v>440</v>
      </c>
      <c r="C33" s="20"/>
      <c r="D33" s="20"/>
      <c r="E33" s="20"/>
      <c r="F33" s="20"/>
      <c r="G33" s="20"/>
      <c r="H33" s="16"/>
    </row>
    <row r="34" spans="1:8" x14ac:dyDescent="0.25">
      <c r="A34" s="17"/>
      <c r="B34" s="20"/>
      <c r="C34" s="20"/>
      <c r="D34" s="20"/>
      <c r="E34" s="20"/>
      <c r="F34" s="20"/>
      <c r="G34" s="20"/>
      <c r="H34" s="16"/>
    </row>
    <row r="35" spans="1:8" x14ac:dyDescent="0.25">
      <c r="A35" s="17"/>
      <c r="B35" s="20" t="s">
        <v>449</v>
      </c>
      <c r="C35" s="20"/>
      <c r="D35" s="20"/>
      <c r="E35" s="20"/>
      <c r="F35" s="20"/>
      <c r="G35" s="20"/>
      <c r="H35" s="16"/>
    </row>
    <row r="36" spans="1:8" x14ac:dyDescent="0.25">
      <c r="A36" s="17"/>
      <c r="B36" s="20"/>
      <c r="C36" s="20"/>
      <c r="D36" s="20"/>
      <c r="E36" s="20"/>
      <c r="F36" s="20"/>
      <c r="G36" s="20"/>
      <c r="H36" s="16"/>
    </row>
    <row r="37" spans="1:8" x14ac:dyDescent="0.25">
      <c r="A37" s="17"/>
      <c r="B37" s="20" t="s">
        <v>450</v>
      </c>
      <c r="C37" s="20"/>
      <c r="D37" s="20"/>
      <c r="E37" s="20"/>
      <c r="F37" s="20"/>
      <c r="G37" s="20"/>
      <c r="H37" s="16"/>
    </row>
    <row r="38" spans="1:8" ht="15.75" thickBot="1" x14ac:dyDescent="0.3">
      <c r="A38" s="21"/>
      <c r="B38" s="22" t="s">
        <v>441</v>
      </c>
      <c r="C38" s="22"/>
      <c r="D38" s="22"/>
      <c r="E38" s="22"/>
      <c r="F38" s="22"/>
      <c r="G38" s="22"/>
      <c r="H38" s="23"/>
    </row>
  </sheetData>
  <mergeCells count="1">
    <mergeCell ref="G1:H1"/>
  </mergeCells>
  <hyperlinks>
    <hyperlink ref="G1" location="TOC!A1" display="Return to TOC" xr:uid="{760B99EF-AB50-4125-A1FB-A9254D1FDC38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D3B24-B237-4E0F-88E3-9C99D804548F}">
  <dimension ref="A1:K18"/>
  <sheetViews>
    <sheetView workbookViewId="0"/>
  </sheetViews>
  <sheetFormatPr defaultRowHeight="15" x14ac:dyDescent="0.25"/>
  <cols>
    <col min="1" max="1" width="14" bestFit="1" customWidth="1"/>
    <col min="3" max="3" width="9.42578125" bestFit="1" customWidth="1"/>
    <col min="9" max="9" width="3.7109375" customWidth="1"/>
  </cols>
  <sheetData>
    <row r="1" spans="1:11" x14ac:dyDescent="0.25">
      <c r="A1" s="6" t="s">
        <v>5</v>
      </c>
      <c r="B1" s="7" t="s">
        <v>54</v>
      </c>
      <c r="C1" s="7"/>
      <c r="D1" s="8"/>
      <c r="E1" s="8"/>
      <c r="F1" s="8"/>
      <c r="G1" s="281" t="s">
        <v>6</v>
      </c>
      <c r="H1" s="282"/>
      <c r="I1" s="9"/>
      <c r="J1" s="10" t="s">
        <v>7</v>
      </c>
    </row>
    <row r="2" spans="1:11" x14ac:dyDescent="0.25">
      <c r="A2" s="11" t="s">
        <v>8</v>
      </c>
      <c r="B2" s="18" t="s">
        <v>472</v>
      </c>
      <c r="C2" s="18"/>
      <c r="D2" s="18"/>
      <c r="E2" s="18"/>
      <c r="F2" s="18"/>
      <c r="G2" s="18"/>
      <c r="H2" s="12"/>
      <c r="J2" t="s">
        <v>480</v>
      </c>
    </row>
    <row r="3" spans="1:11" x14ac:dyDescent="0.25">
      <c r="A3" s="11" t="s">
        <v>9</v>
      </c>
      <c r="B3" s="18" t="s">
        <v>473</v>
      </c>
      <c r="C3" s="18"/>
      <c r="D3" s="18"/>
      <c r="E3" s="18"/>
      <c r="F3" s="18"/>
      <c r="G3" s="18"/>
      <c r="H3" s="12"/>
    </row>
    <row r="4" spans="1:11" x14ac:dyDescent="0.25">
      <c r="A4" s="13"/>
      <c r="B4" s="19"/>
      <c r="C4" s="19"/>
      <c r="D4" s="19"/>
      <c r="E4" s="19"/>
      <c r="F4" s="19"/>
      <c r="G4" s="19"/>
      <c r="H4" s="14"/>
      <c r="J4" s="97" t="s">
        <v>474</v>
      </c>
      <c r="K4" s="109" t="s">
        <v>481</v>
      </c>
    </row>
    <row r="5" spans="1:11" x14ac:dyDescent="0.25">
      <c r="A5" s="15" t="s">
        <v>10</v>
      </c>
      <c r="B5" s="20" t="s">
        <v>476</v>
      </c>
      <c r="C5" s="20"/>
      <c r="D5" s="20"/>
      <c r="E5" s="20"/>
      <c r="F5" s="20"/>
      <c r="G5" s="20"/>
      <c r="H5" s="16"/>
      <c r="J5" s="117">
        <f>B10</f>
        <v>5000</v>
      </c>
      <c r="K5" s="115">
        <f>LN(C10)</f>
        <v>-0.22314355131420971</v>
      </c>
    </row>
    <row r="6" spans="1:11" x14ac:dyDescent="0.25">
      <c r="A6" s="17"/>
      <c r="B6" s="18" t="s">
        <v>477</v>
      </c>
      <c r="C6" s="20"/>
      <c r="D6" s="20"/>
      <c r="E6" s="20"/>
      <c r="F6" s="20"/>
      <c r="G6" s="20"/>
      <c r="H6" s="16"/>
      <c r="J6" s="117">
        <f t="shared" ref="J6:J9" si="0">B11</f>
        <v>15000</v>
      </c>
      <c r="K6" s="115">
        <f t="shared" ref="K6:K9" si="1">LN(C11)</f>
        <v>-8.3381608939051013E-2</v>
      </c>
    </row>
    <row r="7" spans="1:11" x14ac:dyDescent="0.25">
      <c r="A7" s="17"/>
      <c r="B7" s="18" t="s">
        <v>478</v>
      </c>
      <c r="C7" s="20"/>
      <c r="D7" s="20"/>
      <c r="E7" s="20"/>
      <c r="F7" s="20"/>
      <c r="G7" s="20"/>
      <c r="H7" s="16"/>
      <c r="J7" s="117">
        <f t="shared" si="0"/>
        <v>25000</v>
      </c>
      <c r="K7" s="115">
        <f t="shared" si="1"/>
        <v>0</v>
      </c>
    </row>
    <row r="8" spans="1:11" x14ac:dyDescent="0.25">
      <c r="A8" s="17"/>
      <c r="B8" s="20"/>
      <c r="C8" s="20"/>
      <c r="D8" s="20"/>
      <c r="E8" s="20"/>
      <c r="F8" s="20"/>
      <c r="G8" s="20"/>
      <c r="H8" s="16"/>
      <c r="J8" s="117">
        <f t="shared" si="0"/>
        <v>50000</v>
      </c>
      <c r="K8" s="115">
        <f t="shared" si="1"/>
        <v>0.17395330712343798</v>
      </c>
    </row>
    <row r="9" spans="1:11" x14ac:dyDescent="0.25">
      <c r="A9" s="17"/>
      <c r="B9" s="38" t="s">
        <v>474</v>
      </c>
      <c r="C9" s="68" t="s">
        <v>475</v>
      </c>
      <c r="D9" s="20"/>
      <c r="E9" s="20"/>
      <c r="F9" s="20"/>
      <c r="G9" s="20"/>
      <c r="H9" s="16"/>
      <c r="J9" s="118">
        <f t="shared" si="0"/>
        <v>100000</v>
      </c>
      <c r="K9" s="116">
        <f t="shared" si="1"/>
        <v>0.44468582126144574</v>
      </c>
    </row>
    <row r="10" spans="1:11" x14ac:dyDescent="0.25">
      <c r="A10" s="17"/>
      <c r="B10" s="110">
        <v>5000</v>
      </c>
      <c r="C10" s="111">
        <v>0.8</v>
      </c>
      <c r="D10" s="20"/>
      <c r="E10" s="20"/>
      <c r="F10" s="20"/>
      <c r="G10" s="20"/>
      <c r="H10" s="16"/>
    </row>
    <row r="11" spans="1:11" x14ac:dyDescent="0.25">
      <c r="A11" s="17"/>
      <c r="B11" s="110">
        <v>15000</v>
      </c>
      <c r="C11" s="111">
        <v>0.92</v>
      </c>
      <c r="D11" s="112"/>
      <c r="E11" s="20"/>
      <c r="F11" s="20"/>
      <c r="G11" s="20"/>
      <c r="H11" s="16"/>
    </row>
    <row r="12" spans="1:11" x14ac:dyDescent="0.25">
      <c r="A12" s="17"/>
      <c r="B12" s="110">
        <v>25000</v>
      </c>
      <c r="C12" s="111">
        <v>1</v>
      </c>
      <c r="D12" s="112"/>
      <c r="E12" s="20"/>
      <c r="F12" s="20"/>
      <c r="G12" s="20"/>
      <c r="H12" s="16"/>
    </row>
    <row r="13" spans="1:11" x14ac:dyDescent="0.25">
      <c r="A13" s="17"/>
      <c r="B13" s="110">
        <v>50000</v>
      </c>
      <c r="C13" s="111">
        <v>1.19</v>
      </c>
      <c r="D13" s="112"/>
      <c r="E13" s="20"/>
      <c r="F13" s="20"/>
      <c r="G13" s="20"/>
      <c r="H13" s="16"/>
    </row>
    <row r="14" spans="1:11" x14ac:dyDescent="0.25">
      <c r="A14" s="17"/>
      <c r="B14" s="113">
        <v>100000</v>
      </c>
      <c r="C14" s="114">
        <v>1.56</v>
      </c>
      <c r="D14" s="112"/>
      <c r="E14" s="20"/>
      <c r="F14" s="20"/>
      <c r="G14" s="20"/>
      <c r="H14" s="16"/>
    </row>
    <row r="15" spans="1:11" x14ac:dyDescent="0.25">
      <c r="A15" s="17"/>
      <c r="B15" s="20"/>
      <c r="C15" s="20"/>
      <c r="D15" s="20"/>
      <c r="E15" s="20"/>
      <c r="F15" s="20"/>
      <c r="G15" s="20"/>
      <c r="H15" s="16"/>
    </row>
    <row r="16" spans="1:11" ht="15.75" thickBot="1" x14ac:dyDescent="0.3">
      <c r="A16" s="83" t="s">
        <v>55</v>
      </c>
      <c r="B16" s="22" t="s">
        <v>479</v>
      </c>
      <c r="C16" s="22"/>
      <c r="D16" s="22"/>
      <c r="E16" s="22"/>
      <c r="F16" s="22"/>
      <c r="G16" s="22"/>
      <c r="H16" s="23"/>
    </row>
    <row r="18" spans="3:3" x14ac:dyDescent="0.25">
      <c r="C18" s="108"/>
    </row>
  </sheetData>
  <mergeCells count="1">
    <mergeCell ref="G1:H1"/>
  </mergeCells>
  <hyperlinks>
    <hyperlink ref="G1" location="TOC!A1" display="Return to TOC" xr:uid="{DB985C7D-446C-4801-9D56-912BFA9F7EE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TOC</vt:lpstr>
      <vt:lpstr>GLM_Basics1</vt:lpstr>
      <vt:lpstr>GLM_Basics2</vt:lpstr>
      <vt:lpstr>GLM_Basics3</vt:lpstr>
      <vt:lpstr>GLM_Basics4</vt:lpstr>
      <vt:lpstr>GLM_Basics5</vt:lpstr>
      <vt:lpstr>GLM_Basics6</vt:lpstr>
      <vt:lpstr>GLM_Basics7</vt:lpstr>
      <vt:lpstr>GLM_Basics8</vt:lpstr>
      <vt:lpstr>GLM_DataPrep1</vt:lpstr>
      <vt:lpstr>GLM_ModelSelection1</vt:lpstr>
      <vt:lpstr>GLM_ModelSelection2</vt:lpstr>
      <vt:lpstr>GLM_Interactions1</vt:lpstr>
      <vt:lpstr>GLM_ModelRefinement1</vt:lpstr>
      <vt:lpstr>GLM_ModelRefinement2</vt:lpstr>
      <vt:lpstr>GLM_ModelRefinement3</vt:lpstr>
      <vt:lpstr>GLM_ModelRefinement4</vt:lpstr>
      <vt:lpstr>GLM_ModelRefinement5</vt:lpstr>
      <vt:lpstr>GLM_ModelRefinement6</vt:lpstr>
      <vt:lpstr>GLM_Validation1</vt:lpstr>
      <vt:lpstr>GLM_Validation2</vt:lpstr>
      <vt:lpstr>GLM_Validation3</vt:lpstr>
      <vt:lpstr>GLM_Validation4</vt:lpstr>
      <vt:lpstr>GLM_Validation5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2024-06-25T09:50:37Z</dcterms:created>
  <dcterms:modified xsi:type="dcterms:W3CDTF">2024-10-12T10:39:57Z</dcterms:modified>
</cp:coreProperties>
</file>