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71A584F2-2BF7-46CC-B03B-DA17E673E60B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NCCI-Experience1" sheetId="53" r:id="rId2"/>
    <sheet name="NCCI-Experience2" sheetId="54" r:id="rId3"/>
    <sheet name="NCCI-Experience3" sheetId="55" r:id="rId4"/>
    <sheet name="NCCI-Experience4" sheetId="56" r:id="rId5"/>
    <sheet name="NCCI-Experience5" sheetId="57" r:id="rId6"/>
    <sheet name="NCCI-Experience6" sheetId="58" r:id="rId7"/>
    <sheet name="NCCI-Experience7" sheetId="59" r:id="rId8"/>
    <sheet name="NCCI-Experience8" sheetId="60" r:id="rId9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8" i="60" l="1"/>
  <c r="L56" i="60"/>
  <c r="K53" i="60"/>
  <c r="M51" i="60"/>
  <c r="L49" i="60"/>
  <c r="K49" i="60"/>
  <c r="K48" i="60"/>
  <c r="L48" i="60" s="1"/>
  <c r="K47" i="60" l="1"/>
  <c r="L47" i="60" s="1"/>
  <c r="K46" i="60"/>
  <c r="L46" i="60" s="1"/>
  <c r="L39" i="60"/>
  <c r="L24" i="60"/>
  <c r="K24" i="60"/>
  <c r="L23" i="60"/>
  <c r="L22" i="60"/>
  <c r="K22" i="60"/>
  <c r="K23" i="60"/>
  <c r="K33" i="60"/>
  <c r="L33" i="60" s="1"/>
  <c r="K32" i="60"/>
  <c r="K34" i="60" s="1"/>
  <c r="L32" i="60" l="1"/>
  <c r="L34" i="60" s="1"/>
  <c r="K36" i="60"/>
  <c r="L41" i="60" s="1"/>
  <c r="L11" i="60"/>
  <c r="K11" i="60"/>
  <c r="L10" i="60"/>
  <c r="K10" i="60"/>
  <c r="K44" i="59"/>
  <c r="K42" i="59"/>
  <c r="K27" i="59"/>
  <c r="K29" i="59"/>
  <c r="L29" i="59" s="1"/>
  <c r="K26" i="59"/>
  <c r="L26" i="59" s="1"/>
  <c r="K28" i="59"/>
  <c r="L28" i="59" s="1"/>
  <c r="K30" i="59"/>
  <c r="L30" i="59" s="1"/>
  <c r="K31" i="59"/>
  <c r="L31" i="59" s="1"/>
  <c r="K25" i="59"/>
  <c r="L25" i="59" s="1"/>
  <c r="J23" i="59"/>
  <c r="K17" i="59"/>
  <c r="K16" i="59"/>
  <c r="K7" i="59"/>
  <c r="K11" i="59"/>
  <c r="K12" i="59" s="1"/>
  <c r="L7" i="59"/>
  <c r="B26" i="59"/>
  <c r="B27" i="59" s="1"/>
  <c r="B28" i="59" s="1"/>
  <c r="B29" i="59" s="1"/>
  <c r="B30" i="59" s="1"/>
  <c r="B31" i="59" s="1"/>
  <c r="B32" i="59" s="1"/>
  <c r="B33" i="59" s="1"/>
  <c r="B34" i="59" s="1"/>
  <c r="J32" i="59" s="1"/>
  <c r="K47" i="58"/>
  <c r="M45" i="58"/>
  <c r="K37" i="58"/>
  <c r="K36" i="58"/>
  <c r="K33" i="58"/>
  <c r="K32" i="58"/>
  <c r="K31" i="58"/>
  <c r="L29" i="58"/>
  <c r="K29" i="58"/>
  <c r="J29" i="58"/>
  <c r="B41" i="58"/>
  <c r="K18" i="58"/>
  <c r="L18" i="58" s="1"/>
  <c r="K17" i="58"/>
  <c r="L17" i="58" s="1"/>
  <c r="K16" i="58"/>
  <c r="L16" i="58" s="1"/>
  <c r="K15" i="58"/>
  <c r="L15" i="58" s="1"/>
  <c r="K14" i="58"/>
  <c r="L14" i="58" s="1"/>
  <c r="K13" i="58"/>
  <c r="L13" i="58" s="1"/>
  <c r="K12" i="58"/>
  <c r="L12" i="58" s="1"/>
  <c r="K11" i="58"/>
  <c r="L11" i="58" s="1"/>
  <c r="K10" i="58"/>
  <c r="K9" i="58"/>
  <c r="L9" i="58" s="1"/>
  <c r="K8" i="58"/>
  <c r="L8" i="58" s="1"/>
  <c r="K7" i="58"/>
  <c r="L7" i="58" s="1"/>
  <c r="K6" i="58"/>
  <c r="L6" i="58" s="1"/>
  <c r="J7" i="58"/>
  <c r="J8" i="58"/>
  <c r="J9" i="58"/>
  <c r="J10" i="58"/>
  <c r="L10" i="58"/>
  <c r="J11" i="58"/>
  <c r="J12" i="58"/>
  <c r="J13" i="58"/>
  <c r="J14" i="58"/>
  <c r="J15" i="58"/>
  <c r="J16" i="58"/>
  <c r="J17" i="58"/>
  <c r="J18" i="58"/>
  <c r="J6" i="58"/>
  <c r="B18" i="58"/>
  <c r="B19" i="58" s="1"/>
  <c r="B20" i="58" s="1"/>
  <c r="B21" i="58" s="1"/>
  <c r="B22" i="58" s="1"/>
  <c r="B23" i="58" s="1"/>
  <c r="B24" i="58" s="1"/>
  <c r="B25" i="58" s="1"/>
  <c r="B26" i="58" s="1"/>
  <c r="K33" i="59" l="1"/>
  <c r="L27" i="59"/>
  <c r="L33" i="59" s="1"/>
  <c r="J30" i="59"/>
  <c r="J29" i="59"/>
  <c r="J28" i="59"/>
  <c r="J27" i="59"/>
  <c r="J26" i="59"/>
  <c r="J25" i="59"/>
  <c r="J24" i="59"/>
  <c r="J31" i="59"/>
  <c r="K13" i="59"/>
  <c r="L19" i="58"/>
  <c r="K25" i="58" s="1"/>
  <c r="K19" i="58"/>
  <c r="K24" i="58" s="1"/>
  <c r="K42" i="58" s="1"/>
  <c r="B27" i="58"/>
  <c r="B28" i="58" s="1"/>
  <c r="B29" i="58" s="1"/>
  <c r="K39" i="59" l="1"/>
  <c r="K14" i="57" l="1"/>
  <c r="K9" i="57"/>
  <c r="L7" i="57"/>
  <c r="K7" i="57"/>
  <c r="L8" i="57"/>
  <c r="K8" i="57"/>
  <c r="L6" i="57"/>
  <c r="K6" i="57"/>
  <c r="L5" i="57"/>
  <c r="L9" i="57" s="1"/>
  <c r="K5" i="57"/>
  <c r="J8" i="57" l="1"/>
  <c r="J7" i="57"/>
  <c r="J6" i="57"/>
  <c r="J5" i="57"/>
  <c r="E11" i="57"/>
  <c r="E12" i="57"/>
  <c r="E13" i="57"/>
  <c r="E10" i="57"/>
  <c r="K30" i="56"/>
  <c r="L28" i="56"/>
  <c r="L19" i="56"/>
  <c r="K19" i="56"/>
  <c r="L14" i="56"/>
  <c r="M14" i="56"/>
  <c r="K14" i="56"/>
  <c r="L25" i="56"/>
  <c r="K25" i="56"/>
  <c r="K24" i="56"/>
  <c r="K26" i="56" s="1"/>
  <c r="J13" i="56"/>
  <c r="J12" i="56"/>
  <c r="L9" i="56"/>
  <c r="K9" i="56"/>
  <c r="K13" i="56" s="1"/>
  <c r="L13" i="56" s="1"/>
  <c r="L8" i="56"/>
  <c r="K8" i="56"/>
  <c r="K12" i="56" s="1"/>
  <c r="J9" i="56"/>
  <c r="J8" i="56"/>
  <c r="B27" i="56"/>
  <c r="B26" i="56"/>
  <c r="M9" i="55"/>
  <c r="M12" i="55"/>
  <c r="L12" i="55"/>
  <c r="L11" i="55"/>
  <c r="M11" i="55" s="1"/>
  <c r="L10" i="55"/>
  <c r="M10" i="55" s="1"/>
  <c r="L9" i="55"/>
  <c r="L8" i="55"/>
  <c r="K8" i="55"/>
  <c r="K9" i="55"/>
  <c r="K10" i="55"/>
  <c r="K11" i="55"/>
  <c r="K12" i="55"/>
  <c r="K13" i="55"/>
  <c r="K7" i="55"/>
  <c r="N36" i="54"/>
  <c r="N28" i="54"/>
  <c r="M34" i="54"/>
  <c r="M33" i="54"/>
  <c r="M32" i="54"/>
  <c r="M31" i="54"/>
  <c r="M30" i="54"/>
  <c r="M29" i="54"/>
  <c r="M28" i="54"/>
  <c r="L24" i="56" l="1"/>
  <c r="L26" i="56" s="1"/>
  <c r="L12" i="56"/>
  <c r="M12" i="56" s="1"/>
  <c r="M13" i="56"/>
  <c r="L15" i="55"/>
  <c r="M8" i="55"/>
  <c r="M15" i="55" s="1"/>
  <c r="N43" i="54" l="1"/>
  <c r="N29" i="54"/>
  <c r="N30" i="54"/>
  <c r="N31" i="54"/>
  <c r="N32" i="54"/>
  <c r="N33" i="54"/>
  <c r="N34" i="54"/>
  <c r="L27" i="54"/>
  <c r="L28" i="54"/>
  <c r="L29" i="54"/>
  <c r="L30" i="54"/>
  <c r="L31" i="54"/>
  <c r="L32" i="54"/>
  <c r="L33" i="54"/>
  <c r="L34" i="54"/>
  <c r="L35" i="54"/>
  <c r="L26" i="54"/>
  <c r="P21" i="54"/>
  <c r="M18" i="54"/>
  <c r="M19" i="54"/>
  <c r="N15" i="54"/>
  <c r="N13" i="54"/>
  <c r="O11" i="54"/>
  <c r="M9" i="54"/>
  <c r="L9" i="54"/>
  <c r="L5" i="54"/>
  <c r="M35" i="53"/>
  <c r="L33" i="53"/>
  <c r="M31" i="53"/>
  <c r="L31" i="53"/>
  <c r="M30" i="53"/>
  <c r="L30" i="53"/>
  <c r="M29" i="53"/>
  <c r="L29" i="53"/>
  <c r="L28" i="53"/>
  <c r="L16" i="53"/>
  <c r="L15" i="53"/>
  <c r="L7" i="53"/>
  <c r="P18" i="53" s="1"/>
  <c r="L4" i="53"/>
  <c r="K4" i="53"/>
  <c r="M36" i="54" l="1"/>
  <c r="L10" i="53"/>
  <c r="L12" i="53"/>
  <c r="N41" i="54" l="1"/>
  <c r="N45" i="54" s="1"/>
</calcChain>
</file>

<file path=xl/sharedStrings.xml><?xml version="1.0" encoding="utf-8"?>
<sst xmlns="http://schemas.openxmlformats.org/spreadsheetml/2006/main" count="604" uniqueCount="303">
  <si>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</si>
  <si>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</si>
  <si>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</si>
  <si>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</si>
  <si>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</si>
  <si>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</si>
  <si>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</si>
  <si>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</si>
  <si>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</si>
  <si>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</si>
  <si>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</si>
  <si>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Total</t>
  </si>
  <si>
    <t>Exam 8: NCCI Experience Rating</t>
  </si>
  <si>
    <t>NCCI.ExperienceRating</t>
  </si>
  <si>
    <t>Class Code</t>
  </si>
  <si>
    <t>ELR</t>
  </si>
  <si>
    <t>Expected Losses</t>
  </si>
  <si>
    <t>G</t>
  </si>
  <si>
    <t>2002 Exam 9 Q33</t>
  </si>
  <si>
    <t>Calculate the standard premium</t>
  </si>
  <si>
    <t>NCCI-Experience1</t>
  </si>
  <si>
    <t>In the experience period for a Workers' Compensation policy, an Alabama insured has 30</t>
  </si>
  <si>
    <t>indemnity claims averaging $3,500 each, none of which is greater than the state primary/excess</t>
  </si>
  <si>
    <t>split point of $5,250.</t>
  </si>
  <si>
    <t>calculate their standard premium.</t>
  </si>
  <si>
    <t>You may use the information in the tables below</t>
  </si>
  <si>
    <t>Use the class code to look up the ELR and D-Ratio</t>
  </si>
  <si>
    <t>D-Ratio</t>
  </si>
  <si>
    <t>Convert to 100's of payroll and multiply by the ELR to get the expected losses</t>
  </si>
  <si>
    <t>E =</t>
  </si>
  <si>
    <t>Multiply by the D-Ratio to get Ep</t>
  </si>
  <si>
    <t>Ep =</t>
  </si>
  <si>
    <t>Ee =</t>
  </si>
  <si>
    <t>Look up the weight and ballast values based on the expected loss</t>
  </si>
  <si>
    <t>Weight</t>
  </si>
  <si>
    <t>339,477 to 361,287</t>
  </si>
  <si>
    <t>361,288 to 383,969</t>
  </si>
  <si>
    <t>383,970 to 407,578</t>
  </si>
  <si>
    <t>Ballast</t>
  </si>
  <si>
    <t>320,665 to 353,940</t>
  </si>
  <si>
    <t>353,941 to 387,254</t>
  </si>
  <si>
    <t>387,255 to 420,597</t>
  </si>
  <si>
    <t>State per-claim limit</t>
  </si>
  <si>
    <t>State multiple claim limit</t>
  </si>
  <si>
    <t>Maximum debit mod = 1.10 + 0.0004*(E/G) =</t>
  </si>
  <si>
    <t>Mod =</t>
  </si>
  <si>
    <t>Now compute Ap and Ae.</t>
  </si>
  <si>
    <t>There are 30 claims, all of which are less than the primary/excess split point so only contribute to Ap</t>
  </si>
  <si>
    <t>Claim #</t>
  </si>
  <si>
    <t>1 to 30</t>
  </si>
  <si>
    <t>Ap</t>
  </si>
  <si>
    <t>Ae</t>
  </si>
  <si>
    <t>Comments</t>
  </si>
  <si>
    <t>Med-only</t>
  </si>
  <si>
    <t xml:space="preserve">In addition, the insured has one $8,000 medical-only claim, and one $400,000 claim involving </t>
  </si>
  <si>
    <t>4 people with no single person exceeding the state per-claim limit.</t>
  </si>
  <si>
    <t>Cap the loss at the multiple claim limit first, then cap Ap at 2x state primary/excess split point.</t>
  </si>
  <si>
    <t>Standard Premium =</t>
  </si>
  <si>
    <t>Given the insured is in class code 8292, its payroll is $20 million, and its manual premium is $120,000</t>
  </si>
  <si>
    <t>the insured's policy effective July 1, 2025.</t>
  </si>
  <si>
    <t xml:space="preserve">Annual </t>
  </si>
  <si>
    <t>Policy</t>
  </si>
  <si>
    <t>Effective</t>
  </si>
  <si>
    <t>Payroll</t>
  </si>
  <si>
    <t>Accident</t>
  </si>
  <si>
    <t>Amount</t>
  </si>
  <si>
    <t>State Primary/Excess split point</t>
  </si>
  <si>
    <t>Date</t>
  </si>
  <si>
    <t>Audited</t>
  </si>
  <si>
    <t>Estimated</t>
  </si>
  <si>
    <t>The experience period is three years, lagged by one year.</t>
  </si>
  <si>
    <t>So July 1, 2021 through June 30, 2024.</t>
  </si>
  <si>
    <t>Lost Time</t>
  </si>
  <si>
    <t>Medical Only</t>
  </si>
  <si>
    <t>NCCI-Experience2</t>
  </si>
  <si>
    <t>Total payroll for the experience period</t>
  </si>
  <si>
    <t>Look up the class code to get the ELR and d-ratio</t>
  </si>
  <si>
    <t>Company A operates in Alabama and all of its workers are classified in Workers Compensation</t>
  </si>
  <si>
    <t>class code 6216. Given the following data about Company A's Workers Compensation policy and</t>
  </si>
  <si>
    <t>using the NCCI Experience Rating Manual, calculate the experience modification for</t>
  </si>
  <si>
    <t>Expected Loss = 100's payroll * ELR =</t>
  </si>
  <si>
    <t>Ep = E * D-ratio =</t>
  </si>
  <si>
    <t>Ee = E - Ep =</t>
  </si>
  <si>
    <t>Use the expected loss to look up the ballast and weight values</t>
  </si>
  <si>
    <t>Weight W =</t>
  </si>
  <si>
    <t>Ballast B =</t>
  </si>
  <si>
    <t>115,726 to 129,945</t>
  </si>
  <si>
    <t>129,946 to 144,533</t>
  </si>
  <si>
    <t>144,534 to 159,530</t>
  </si>
  <si>
    <t>91,885 to 123,383</t>
  </si>
  <si>
    <t>123,384 to 155,649</t>
  </si>
  <si>
    <t>155,650 to 188,320</t>
  </si>
  <si>
    <t>2003 Exam 9 Q27</t>
  </si>
  <si>
    <t xml:space="preserve">Maximum debit mod = 1.1 + 0.0004*(E/G) = </t>
  </si>
  <si>
    <t>Now compute Ap and Ae</t>
  </si>
  <si>
    <r>
      <t>Loss History</t>
    </r>
    <r>
      <rPr>
        <sz val="11"/>
        <color theme="1"/>
        <rFont val="Calibri"/>
        <family val="2"/>
        <scheme val="minor"/>
      </rPr>
      <t xml:space="preserve"> – all claims are for 1 person only</t>
    </r>
  </si>
  <si>
    <t>Not in the experience period</t>
  </si>
  <si>
    <t>Experience mod =</t>
  </si>
  <si>
    <t>Manual Premium =</t>
  </si>
  <si>
    <t>Manual Rate for Class 6216 (100s payroll)</t>
  </si>
  <si>
    <t>70% reduction applied after split point.</t>
  </si>
  <si>
    <t>Calculate the actual primary and excess losses</t>
  </si>
  <si>
    <t xml:space="preserve">An actuary is calculating the experience modification for a manufacturer for a </t>
  </si>
  <si>
    <t>Workers' Compensation policy effective July 1, 2025. They have the following</t>
  </si>
  <si>
    <t>loss experience.</t>
  </si>
  <si>
    <t>2005 Exam 9 Q27</t>
  </si>
  <si>
    <t>Claim</t>
  </si>
  <si>
    <t>Indemnity</t>
  </si>
  <si>
    <t>Calculate the actual primary losses and the actual excess losses included</t>
  </si>
  <si>
    <t>in the experience modification calculation.</t>
  </si>
  <si>
    <t>The experience period is the latest three years lagged by one year.</t>
  </si>
  <si>
    <t>Split point</t>
  </si>
  <si>
    <t>State per-accident limit</t>
  </si>
  <si>
    <t>You may assume the following:</t>
  </si>
  <si>
    <t>Outside of the experience period</t>
  </si>
  <si>
    <t>2006 Exam 9 Q24</t>
  </si>
  <si>
    <t>Calculate the experience modification factor</t>
  </si>
  <si>
    <t>An Alabama insured had the following aggregate Workers' Compensation</t>
  </si>
  <si>
    <t>experience for policies effective January 1, 2019 through December 31, 2021.</t>
  </si>
  <si>
    <t xml:space="preserve">Class </t>
  </si>
  <si>
    <t>Code</t>
  </si>
  <si>
    <t>Actual Loss Experience</t>
  </si>
  <si>
    <t>Yes</t>
  </si>
  <si>
    <t>No</t>
  </si>
  <si>
    <t>Calculate the insured's experience modification factor effective</t>
  </si>
  <si>
    <t>January 1, 2024.</t>
  </si>
  <si>
    <t>You may use the following information:</t>
  </si>
  <si>
    <t>Class</t>
  </si>
  <si>
    <t>Values</t>
  </si>
  <si>
    <t>Thus, all information given is in the experience period.</t>
  </si>
  <si>
    <t>Use the class codes to look up the ELRs and D-Ratios.</t>
  </si>
  <si>
    <t>Expected Loss</t>
  </si>
  <si>
    <t>← Don't forget to convert to 100s of payroll.</t>
  </si>
  <si>
    <t>Ep</t>
  </si>
  <si>
    <t>Ee</t>
  </si>
  <si>
    <t>19,039 to 31,843</t>
  </si>
  <si>
    <t>31,844 to 47,399</t>
  </si>
  <si>
    <t>…</t>
  </si>
  <si>
    <t>159,531 to 174,969</t>
  </si>
  <si>
    <t>174,970 to 190,885</t>
  </si>
  <si>
    <t>Claimant</t>
  </si>
  <si>
    <t>Multiple</t>
  </si>
  <si>
    <t>0 to 36,038</t>
  </si>
  <si>
    <t>36,039 to 62,025</t>
  </si>
  <si>
    <t>188,321 to 221,227</t>
  </si>
  <si>
    <t>State per Claim Accident Limitation</t>
  </si>
  <si>
    <t>State Multiple Claim Accident Limitation</t>
  </si>
  <si>
    <t>Now compute Ap and Ae for both classes combined.</t>
  </si>
  <si>
    <t>State Primary/Excess Split Point</t>
  </si>
  <si>
    <t>Remember claims with multiple claimants get capped at 2x the primary/excess split point.</t>
  </si>
  <si>
    <r>
      <t xml:space="preserve">Use the </t>
    </r>
    <r>
      <rPr>
        <b/>
        <u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expected loss to look up the ballast and weight values</t>
    </r>
  </si>
  <si>
    <t>190,886 to 207,310</t>
  </si>
  <si>
    <t>207,311 to 224,277</t>
  </si>
  <si>
    <t>221,228 to 254,283</t>
  </si>
  <si>
    <t>Maximum debit mod =</t>
  </si>
  <si>
    <t>NCCI-Experience3</t>
  </si>
  <si>
    <t>NCCI-Experience4</t>
  </si>
  <si>
    <t>2007 Exam 9 Q25</t>
  </si>
  <si>
    <t>An insured has a Workers' Compensation policy rated using the</t>
  </si>
  <si>
    <t xml:space="preserve">NCCI Experience Rating Manual. </t>
  </si>
  <si>
    <t>The following information applies to the policy:</t>
  </si>
  <si>
    <t>Medical</t>
  </si>
  <si>
    <t>Expected Primary Loss</t>
  </si>
  <si>
    <t>Expected Excess Loss</t>
  </si>
  <si>
    <t>Primary/Excess Split Point</t>
  </si>
  <si>
    <t>Loss</t>
  </si>
  <si>
    <t>a.) Calculate the risk's experience modification factor.</t>
  </si>
  <si>
    <t>the split point should increase, decrease, or stay the same?</t>
  </si>
  <si>
    <t>b.) Assuming that losses increase over time with inflation, explain whether</t>
  </si>
  <si>
    <t>Not medical only so medical losses aren't reduced by 70%.</t>
  </si>
  <si>
    <t>Medical only</t>
  </si>
  <si>
    <t>a.)</t>
  </si>
  <si>
    <t>b.)</t>
  </si>
  <si>
    <t>If the split point stays the same then over time more losses will exceed the split point.</t>
  </si>
  <si>
    <t>This is a 5% credit mod. Since it's a credit mod, there's no need to check whether the maximum debit mod applies.</t>
  </si>
  <si>
    <t>This means the mod will respond more to frequency than severity over time.</t>
  </si>
  <si>
    <t>In order to keep the mod the same the split point should increase with inflation.</t>
  </si>
  <si>
    <t>If the split point did not increase then the d-ratios would decrease over time which would result in</t>
  </si>
  <si>
    <t>higher expected excess losses and thus higher mods.</t>
  </si>
  <si>
    <t>2007 Exam 9 Q28</t>
  </si>
  <si>
    <t>Effective date</t>
  </si>
  <si>
    <t>Class code</t>
  </si>
  <si>
    <t>The experience modification factor is calculated using the following data:</t>
  </si>
  <si>
    <t>Ground-Up</t>
  </si>
  <si>
    <t>Incurred</t>
  </si>
  <si>
    <t>Plan Manual for Workers' Compensation and Employers Liability Insurance</t>
  </si>
  <si>
    <r>
      <t xml:space="preserve">Using the </t>
    </r>
    <r>
      <rPr>
        <i/>
        <sz val="11"/>
        <color theme="1"/>
        <rFont val="Calibri"/>
        <family val="2"/>
        <scheme val="minor"/>
      </rPr>
      <t>National Council on Compensation Insurance Experience Rating</t>
    </r>
  </si>
  <si>
    <t>calculate the experience modification factor.</t>
  </si>
  <si>
    <t>You may use the information in the tables provided below:</t>
  </si>
  <si>
    <t>A Workers' Compensation policy will be renewed based on the following information:</t>
  </si>
  <si>
    <t>By inspection, all claims are below both the per-accident and multiple claim limits.</t>
  </si>
  <si>
    <t>1. Non Medical-Only Claims Greater than $5,250:</t>
  </si>
  <si>
    <t>2. Non Medical-Only Claims Below $5,250:</t>
  </si>
  <si>
    <t>3. Medical-Only claims (Each below $5,250):</t>
  </si>
  <si>
    <t>2. Non-Medical Only Claims below $5,250 – these contribute to Ap only</t>
  </si>
  <si>
    <t>3. Medical Only Claims (Each below $5,250) – these contribute to Ap only but must be reduced by 70%.</t>
  </si>
  <si>
    <t>Ae =</t>
  </si>
  <si>
    <t>Ap =</t>
  </si>
  <si>
    <t>Use the class code to look up the ELR and D-ratio. Then compute the expected primary and excess losses.</t>
  </si>
  <si>
    <t>407,579 to 432,172</t>
  </si>
  <si>
    <t>432,173 to 457,817</t>
  </si>
  <si>
    <t xml:space="preserve">Mod = </t>
  </si>
  <si>
    <t>Use the expected losses to look up the ballast and weight values.</t>
  </si>
  <si>
    <t>Since this is a debit mod, check against the maximum permitted debit mod.</t>
  </si>
  <si>
    <t>Maximum permitted debit mod</t>
  </si>
  <si>
    <t>2008 Exam 9 Q25</t>
  </si>
  <si>
    <t>A company operates solely in Alabama and all of its employees are classified</t>
  </si>
  <si>
    <t>in NCCI classification code 8044. This company's Workers' Compensation</t>
  </si>
  <si>
    <r>
      <t xml:space="preserve">policy, effective July 1, 2025 will be priced using the </t>
    </r>
    <r>
      <rPr>
        <i/>
        <sz val="11"/>
        <color theme="1"/>
        <rFont val="Calibri"/>
        <family val="2"/>
        <scheme val="minor"/>
      </rPr>
      <t>NCCI Experience</t>
    </r>
  </si>
  <si>
    <r>
      <t>Rating Manual</t>
    </r>
    <r>
      <rPr>
        <sz val="11"/>
        <color theme="1"/>
        <rFont val="Calibri"/>
        <family val="2"/>
        <scheme val="minor"/>
      </rPr>
      <t xml:space="preserve"> provided and based on the following payroll and claim</t>
    </r>
  </si>
  <si>
    <t>information.</t>
  </si>
  <si>
    <t>Manual rate per $100 payroll for class 8044</t>
  </si>
  <si>
    <t>Historical Payroll Data</t>
  </si>
  <si>
    <t>Effective Date</t>
  </si>
  <si>
    <t>Historical Claims Data</t>
  </si>
  <si>
    <t>Loss Date</t>
  </si>
  <si>
    <t>Description</t>
  </si>
  <si>
    <t>Calculate the standard premium for the company's Workers' Compensation policy.</t>
  </si>
  <si>
    <t>You may use the information provided below:</t>
  </si>
  <si>
    <t>Lost Wages</t>
  </si>
  <si>
    <t>Lost Wages: One claim, three people</t>
  </si>
  <si>
    <t>Thus, 7/1/2021 through 6/30/2024.</t>
  </si>
  <si>
    <t>Look up the class code to get the ELR and D-ratio.</t>
  </si>
  <si>
    <t>D-ratio</t>
  </si>
  <si>
    <t xml:space="preserve">Ee = </t>
  </si>
  <si>
    <t>3-Year Payroll</t>
  </si>
  <si>
    <t>Use the payroll for the experience period to produce the expected losses.</t>
  </si>
  <si>
    <t>47,400 to 61,236</t>
  </si>
  <si>
    <t>61,237 to 74,710</t>
  </si>
  <si>
    <t>74,711 to 88,185</t>
  </si>
  <si>
    <t>62,026 to 91,884</t>
  </si>
  <si>
    <t>Only claims 3 through 9 lie within the experience period.</t>
  </si>
  <si>
    <t>Assume no claimant in claim 5 exceeds the state per-claim limit.</t>
  </si>
  <si>
    <t>Multiple claimant</t>
  </si>
  <si>
    <t>Pay careful attention to the multiple claimant claim - primary losses are capped at twice the state primary/excess split point</t>
  </si>
  <si>
    <t>We will assume all losses are below both the state per-accident and multiple claim accident limitations plus there are no multiple claim losses.</t>
  </si>
  <si>
    <t>Since we have a debit mod we need to check against the maximum permitted debit mod.</t>
  </si>
  <si>
    <t>Max mod =</t>
  </si>
  <si>
    <t>2010 Exam 9 Q20</t>
  </si>
  <si>
    <t>Both Employer A and Employer B want to purchase Workers' Compensation</t>
  </si>
  <si>
    <t>insurance in Alabama. The effective date is January 1, 2025 for each policy.</t>
  </si>
  <si>
    <t>The following information applies:</t>
  </si>
  <si>
    <t>Months of</t>
  </si>
  <si>
    <t>Data</t>
  </si>
  <si>
    <t>Subject Premium</t>
  </si>
  <si>
    <t>Employer A</t>
  </si>
  <si>
    <t>Employer B</t>
  </si>
  <si>
    <t>Employer</t>
  </si>
  <si>
    <t>A</t>
  </si>
  <si>
    <t>B</t>
  </si>
  <si>
    <t>Lost Wages*</t>
  </si>
  <si>
    <t>* Three claims from one occurrence. None exceeds the state per-accident limit.</t>
  </si>
  <si>
    <t>Disease Loss</t>
  </si>
  <si>
    <t>Lost Wages**</t>
  </si>
  <si>
    <t>** Four claims from one occurrence. None exceeds the state per-accident limit.</t>
  </si>
  <si>
    <r>
      <t xml:space="preserve">Use the NCCI's </t>
    </r>
    <r>
      <rPr>
        <i/>
        <sz val="11"/>
        <color theme="1"/>
        <rFont val="Calibri"/>
        <family val="2"/>
        <scheme val="minor"/>
      </rPr>
      <t>Experience Rating Plan Manual for Workers Compensation and</t>
    </r>
  </si>
  <si>
    <r>
      <t>Employers Liability Insurance</t>
    </r>
    <r>
      <rPr>
        <sz val="11"/>
        <color theme="1"/>
        <rFont val="Calibri"/>
        <family val="2"/>
        <scheme val="minor"/>
      </rPr>
      <t xml:space="preserve"> to answer the following questions.</t>
    </r>
  </si>
  <si>
    <t>a.) Demonstrate whether each employer qualifies for experience rating.</t>
  </si>
  <si>
    <t>b.) For the employer(s) that qualify for experience rating, calculate the</t>
  </si>
  <si>
    <t>experience rating modification(s).</t>
  </si>
  <si>
    <t>You may use the information provided in the tables below:</t>
  </si>
  <si>
    <t>State</t>
  </si>
  <si>
    <t>AL</t>
  </si>
  <si>
    <t>Column A</t>
  </si>
  <si>
    <t>Column B</t>
  </si>
  <si>
    <t>Either the sum of the latest two years in the experience period exceeds the Column A value, or</t>
  </si>
  <si>
    <t>To qualify for experience rating we need:</t>
  </si>
  <si>
    <t>The average of the three years in the experience period to exceed the Column B value.</t>
  </si>
  <si>
    <t>The experience period is the latest three years, lagged by one year.</t>
  </si>
  <si>
    <t>So January 1, 2021 through 12/31/2023.</t>
  </si>
  <si>
    <t xml:space="preserve">Employer </t>
  </si>
  <si>
    <t xml:space="preserve">Latest 2 </t>
  </si>
  <si>
    <t>Average 3</t>
  </si>
  <si>
    <t xml:space="preserve">Employer A qualifies for experience rating because the sum of its latest two years is at least the </t>
  </si>
  <si>
    <t>value in Column A.</t>
  </si>
  <si>
    <t>Employer B qualifies for experience rating because the average of its latest three years is at least</t>
  </si>
  <si>
    <t>the value in Column B.</t>
  </si>
  <si>
    <t>AL Primary/Excess Split Point</t>
  </si>
  <si>
    <t>Reduce by 70% as medical only</t>
  </si>
  <si>
    <t>AL per-claim limit</t>
  </si>
  <si>
    <t>AL multiple claim limit</t>
  </si>
  <si>
    <t>Just under the single limit</t>
  </si>
  <si>
    <t>10,033 to 14,486</t>
  </si>
  <si>
    <t>14,487 to 19,038</t>
  </si>
  <si>
    <t>19,039 to 31,842</t>
  </si>
  <si>
    <t>52,026 to 91,884</t>
  </si>
  <si>
    <t xml:space="preserve">Ballast </t>
  </si>
  <si>
    <t xml:space="preserve">Weight </t>
  </si>
  <si>
    <t>Use the expected loss to look up the ballast and weight values. Plus calculate the Ep values</t>
  </si>
  <si>
    <t xml:space="preserve">Ep </t>
  </si>
  <si>
    <t>Max. permitted =</t>
  </si>
  <si>
    <t>Employer A Mod =</t>
  </si>
  <si>
    <t>Only the second through fourth claims for Employer B are within the experience period.</t>
  </si>
  <si>
    <t>Only the first two claims for Employer A are within the experience period.</t>
  </si>
  <si>
    <t>Multiple claimants so Ap is capped at 2x split point</t>
  </si>
  <si>
    <t>Medical only - reduce by 70%</t>
  </si>
  <si>
    <t>Disease loss policy cap =</t>
  </si>
  <si>
    <t>Disease loss, apply per-accident limitation first. No policy level cap needed as less than $548,340</t>
  </si>
  <si>
    <t>Employer B Mod =</t>
  </si>
  <si>
    <t>NCCI-Experience5</t>
  </si>
  <si>
    <t>NCCI-Experience6</t>
  </si>
  <si>
    <t>NCCI-Experience7</t>
  </si>
  <si>
    <t>NCCI-Experience8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</si>
</sst>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0.000"/>
    <numFmt numFmtId="166" formatCode="&quot;$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7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0" xfId="0" applyNumberFormat="1" applyFill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3" fontId="0" fillId="2" borderId="10" xfId="0" applyNumberFormat="1" applyFill="1" applyBorder="1" applyAlignment="1" applyProtection="1">
      <alignment horizontal="center"/>
      <protection locked="0"/>
    </xf>
    <xf numFmtId="3" fontId="0" fillId="2" borderId="18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Protection="1">
      <protection locked="0"/>
    </xf>
    <xf numFmtId="6" fontId="0" fillId="0" borderId="0" xfId="0" applyNumberFormat="1" applyProtection="1">
      <protection locked="0"/>
    </xf>
    <xf numFmtId="0" fontId="0" fillId="2" borderId="23" xfId="0" applyFill="1" applyBorder="1" applyAlignment="1" applyProtection="1">
      <alignment horizontal="left"/>
      <protection locked="0"/>
    </xf>
    <xf numFmtId="6" fontId="0" fillId="2" borderId="2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left"/>
      <protection locked="0"/>
    </xf>
    <xf numFmtId="6" fontId="0" fillId="2" borderId="10" xfId="0" applyNumberFormat="1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left"/>
      <protection locked="0"/>
    </xf>
    <xf numFmtId="38" fontId="0" fillId="0" borderId="10" xfId="0" applyNumberFormat="1" applyBorder="1" applyAlignment="1" applyProtection="1">
      <alignment horizontal="center"/>
      <protection locked="0"/>
    </xf>
    <xf numFmtId="38" fontId="0" fillId="0" borderId="16" xfId="0" applyNumberFormat="1" applyBorder="1" applyAlignment="1" applyProtection="1">
      <alignment horizontal="center"/>
      <protection locked="0"/>
    </xf>
    <xf numFmtId="3" fontId="0" fillId="0" borderId="13" xfId="0" applyNumberFormat="1" applyBorder="1" applyAlignment="1" applyProtection="1">
      <alignment horizontal="center"/>
      <protection locked="0"/>
    </xf>
    <xf numFmtId="3" fontId="0" fillId="0" borderId="11" xfId="0" applyNumberFormat="1" applyBorder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165" fontId="0" fillId="0" borderId="0" xfId="0" applyNumberFormat="1" applyAlignment="1" applyProtection="1">
      <alignment horizontal="center"/>
      <protection locked="0"/>
    </xf>
    <xf numFmtId="164" fontId="0" fillId="3" borderId="0" xfId="0" applyNumberFormat="1" applyFill="1" applyProtection="1">
      <protection locked="0"/>
    </xf>
    <xf numFmtId="0" fontId="0" fillId="0" borderId="19" xfId="0" applyBorder="1"/>
    <xf numFmtId="0" fontId="0" fillId="0" borderId="16" xfId="0" applyBorder="1"/>
    <xf numFmtId="6" fontId="0" fillId="0" borderId="0" xfId="0" applyNumberFormat="1"/>
    <xf numFmtId="0" fontId="0" fillId="0" borderId="15" xfId="0" applyBorder="1"/>
    <xf numFmtId="3" fontId="0" fillId="0" borderId="0" xfId="0" applyNumberFormat="1"/>
    <xf numFmtId="0" fontId="0" fillId="0" borderId="12" xfId="0" applyBorder="1"/>
    <xf numFmtId="0" fontId="0" fillId="0" borderId="10" xfId="0" applyBorder="1"/>
    <xf numFmtId="0" fontId="0" fillId="0" borderId="17" xfId="0" applyBorder="1"/>
    <xf numFmtId="0" fontId="0" fillId="0" borderId="1" xfId="0" applyBorder="1"/>
    <xf numFmtId="0" fontId="0" fillId="0" borderId="18" xfId="0" applyBorder="1"/>
    <xf numFmtId="0" fontId="0" fillId="0" borderId="17" xfId="0" applyBorder="1" applyAlignment="1">
      <alignment horizontal="center"/>
    </xf>
    <xf numFmtId="0" fontId="0" fillId="0" borderId="12" xfId="0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2" borderId="20" xfId="0" applyFill="1" applyBorder="1" applyAlignment="1" applyProtection="1">
      <alignment horizontal="left"/>
      <protection locked="0"/>
    </xf>
    <xf numFmtId="0" fontId="0" fillId="2" borderId="22" xfId="0" applyFill="1" applyBorder="1" applyProtection="1"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0" xfId="0" applyFill="1" applyBorder="1" applyProtection="1"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6" fontId="0" fillId="2" borderId="23" xfId="0" applyNumberFormat="1" applyFill="1" applyBorder="1" applyAlignment="1" applyProtection="1">
      <alignment horizontal="center"/>
      <protection locked="0"/>
    </xf>
    <xf numFmtId="6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Fill="1" applyBorder="1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0" fillId="2" borderId="22" xfId="0" applyFill="1" applyBorder="1" applyAlignment="1">
      <alignment horizontal="center"/>
    </xf>
    <xf numFmtId="0" fontId="7" fillId="2" borderId="0" xfId="0" applyFont="1" applyFill="1"/>
    <xf numFmtId="0" fontId="0" fillId="2" borderId="10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2" xfId="0" applyFill="1" applyBorder="1"/>
    <xf numFmtId="0" fontId="0" fillId="2" borderId="18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8" xfId="0" applyFill="1" applyBorder="1"/>
    <xf numFmtId="0" fontId="0" fillId="2" borderId="12" xfId="0" applyFill="1" applyBorder="1" applyAlignment="1">
      <alignment horizontal="center"/>
    </xf>
    <xf numFmtId="14" fontId="0" fillId="2" borderId="13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10" xfId="0" applyFill="1" applyBorder="1"/>
    <xf numFmtId="14" fontId="0" fillId="2" borderId="14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8" fontId="0" fillId="2" borderId="11" xfId="0" applyNumberFormat="1" applyFill="1" applyBorder="1" applyAlignment="1">
      <alignment horizontal="center"/>
    </xf>
    <xf numFmtId="0" fontId="0" fillId="2" borderId="15" xfId="0" applyFill="1" applyBorder="1"/>
    <xf numFmtId="0" fontId="0" fillId="2" borderId="19" xfId="0" applyFill="1" applyBorder="1"/>
    <xf numFmtId="0" fontId="0" fillId="2" borderId="16" xfId="0" applyFill="1" applyBorder="1"/>
    <xf numFmtId="6" fontId="0" fillId="2" borderId="11" xfId="0" applyNumberFormat="1" applyFill="1" applyBorder="1" applyAlignment="1">
      <alignment horizontal="center"/>
    </xf>
    <xf numFmtId="0" fontId="0" fillId="2" borderId="21" xfId="0" applyFill="1" applyBorder="1"/>
    <xf numFmtId="0" fontId="0" fillId="2" borderId="1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13" xfId="0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6" fontId="0" fillId="2" borderId="14" xfId="0" applyNumberFormat="1" applyFill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3" fontId="0" fillId="0" borderId="11" xfId="0" applyNumberFormat="1" applyBorder="1" applyAlignment="1">
      <alignment horizontal="center"/>
    </xf>
    <xf numFmtId="164" fontId="0" fillId="0" borderId="0" xfId="0" applyNumberFormat="1"/>
    <xf numFmtId="166" fontId="0" fillId="3" borderId="0" xfId="0" applyNumberFormat="1" applyFill="1"/>
    <xf numFmtId="6" fontId="0" fillId="2" borderId="0" xfId="0" applyNumberFormat="1" applyFill="1" applyProtection="1"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14" fontId="0" fillId="2" borderId="12" xfId="0" applyNumberFormat="1" applyFill="1" applyBorder="1" applyAlignment="1" applyProtection="1">
      <alignment horizontal="center"/>
      <protection locked="0"/>
    </xf>
    <xf numFmtId="14" fontId="0" fillId="2" borderId="17" xfId="0" applyNumberFormat="1" applyFill="1" applyBorder="1" applyAlignment="1" applyProtection="1">
      <alignment horizontal="center"/>
      <protection locked="0"/>
    </xf>
    <xf numFmtId="6" fontId="0" fillId="2" borderId="18" xfId="0" applyNumberFormat="1" applyFill="1" applyBorder="1" applyAlignment="1" applyProtection="1">
      <alignment horizontal="center"/>
      <protection locked="0"/>
    </xf>
    <xf numFmtId="0" fontId="7" fillId="2" borderId="0" xfId="0" applyFont="1" applyFill="1" applyProtection="1"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6" fontId="0" fillId="0" borderId="10" xfId="0" applyNumberFormat="1" applyBorder="1" applyAlignment="1" applyProtection="1">
      <alignment horizontal="center"/>
      <protection locked="0"/>
    </xf>
    <xf numFmtId="6" fontId="0" fillId="0" borderId="23" xfId="0" applyNumberFormat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14" fontId="0" fillId="0" borderId="23" xfId="0" applyNumberFormat="1" applyBorder="1" applyAlignment="1" applyProtection="1">
      <alignment horizontal="center"/>
      <protection locked="0"/>
    </xf>
    <xf numFmtId="14" fontId="0" fillId="0" borderId="13" xfId="0" applyNumberFormat="1" applyBorder="1" applyAlignment="1" applyProtection="1">
      <alignment horizontal="center"/>
      <protection locked="0"/>
    </xf>
    <xf numFmtId="14" fontId="0" fillId="0" borderId="14" xfId="0" applyNumberForma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6" fontId="0" fillId="0" borderId="13" xfId="0" applyNumberFormat="1" applyBorder="1" applyAlignment="1" applyProtection="1">
      <alignment horizontal="center"/>
      <protection locked="0"/>
    </xf>
    <xf numFmtId="6" fontId="0" fillId="3" borderId="11" xfId="0" applyNumberFormat="1" applyFill="1" applyBorder="1" applyAlignment="1" applyProtection="1">
      <alignment horizontal="center"/>
      <protection locked="0"/>
    </xf>
    <xf numFmtId="6" fontId="0" fillId="3" borderId="16" xfId="0" applyNumberFormat="1" applyFill="1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6" fontId="0" fillId="0" borderId="10" xfId="0" applyNumberFormat="1" applyBorder="1" applyAlignment="1">
      <alignment horizontal="center"/>
    </xf>
    <xf numFmtId="6" fontId="0" fillId="0" borderId="18" xfId="0" applyNumberFormat="1" applyBorder="1" applyAlignment="1">
      <alignment horizontal="center"/>
    </xf>
    <xf numFmtId="6" fontId="0" fillId="0" borderId="13" xfId="0" applyNumberFormat="1" applyBorder="1" applyAlignment="1">
      <alignment horizontal="center"/>
    </xf>
    <xf numFmtId="6" fontId="0" fillId="0" borderId="14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6" fontId="0" fillId="2" borderId="10" xfId="0" applyNumberFormat="1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Continuous"/>
    </xf>
    <xf numFmtId="0" fontId="0" fillId="2" borderId="18" xfId="0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2" xfId="0" applyFill="1" applyBorder="1" applyAlignment="1">
      <alignment horizontal="centerContinuous"/>
    </xf>
    <xf numFmtId="0" fontId="0" fillId="2" borderId="12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2" fontId="0" fillId="2" borderId="13" xfId="0" applyNumberFormat="1" applyFill="1" applyBorder="1" applyAlignment="1">
      <alignment horizontal="center"/>
    </xf>
    <xf numFmtId="0" fontId="8" fillId="0" borderId="0" xfId="0" applyFont="1"/>
    <xf numFmtId="164" fontId="0" fillId="2" borderId="14" xfId="0" applyNumberFormat="1" applyFill="1" applyBorder="1" applyAlignment="1">
      <alignment horizontal="center"/>
    </xf>
    <xf numFmtId="0" fontId="0" fillId="2" borderId="20" xfId="0" applyFill="1" applyBorder="1"/>
    <xf numFmtId="0" fontId="0" fillId="2" borderId="12" xfId="0" applyFill="1" applyBorder="1"/>
    <xf numFmtId="0" fontId="0" fillId="2" borderId="17" xfId="0" applyFill="1" applyBorder="1"/>
    <xf numFmtId="6" fontId="0" fillId="0" borderId="16" xfId="0" applyNumberFormat="1" applyBorder="1" applyAlignment="1">
      <alignment horizontal="center"/>
    </xf>
    <xf numFmtId="6" fontId="0" fillId="0" borderId="11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3" fontId="0" fillId="2" borderId="23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6" fontId="0" fillId="2" borderId="23" xfId="0" applyNumberFormat="1" applyFill="1" applyBorder="1" applyAlignment="1">
      <alignment horizontal="center"/>
    </xf>
    <xf numFmtId="6" fontId="0" fillId="2" borderId="0" xfId="0" applyNumberFormat="1" applyFill="1"/>
    <xf numFmtId="0" fontId="10" fillId="2" borderId="0" xfId="0" applyFont="1" applyFill="1"/>
    <xf numFmtId="164" fontId="0" fillId="2" borderId="10" xfId="0" applyNumberForma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14" fontId="0" fillId="2" borderId="23" xfId="0" applyNumberFormat="1" applyFill="1" applyBorder="1" applyAlignment="1">
      <alignment horizontal="center"/>
    </xf>
    <xf numFmtId="6" fontId="0" fillId="2" borderId="0" xfId="0" applyNumberFormat="1" applyFill="1" applyAlignment="1">
      <alignment horizontal="center"/>
    </xf>
    <xf numFmtId="6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6" fontId="0" fillId="0" borderId="1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2" fontId="0" fillId="3" borderId="0" xfId="0" applyNumberFormat="1" applyFill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19" xfId="0" applyFill="1" applyBorder="1" applyAlignment="1">
      <alignment horizontal="center"/>
    </xf>
    <xf numFmtId="0" fontId="0" fillId="0" borderId="1" xfId="0" applyBorder="1" applyAlignment="1">
      <alignment horizontal="center"/>
    </xf>
    <xf numFmtId="8" fontId="0" fillId="2" borderId="23" xfId="0" applyNumberForma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14" fontId="0" fillId="2" borderId="17" xfId="0" applyNumberFormat="1" applyFill="1" applyBorder="1" applyAlignment="1">
      <alignment horizontal="center"/>
    </xf>
    <xf numFmtId="6" fontId="0" fillId="2" borderId="1" xfId="0" applyNumberFormat="1" applyFill="1" applyBorder="1" applyAlignment="1">
      <alignment horizontal="center"/>
    </xf>
    <xf numFmtId="0" fontId="1" fillId="0" borderId="0" xfId="0" applyFont="1"/>
    <xf numFmtId="3" fontId="0" fillId="0" borderId="0" xfId="0" applyNumberFormat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2" borderId="0" xfId="0" applyFill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20" xfId="0" applyNumberFormat="1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6" fontId="0" fillId="2" borderId="12" xfId="0" applyNumberFormat="1" applyFill="1" applyBorder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20" xfId="0" applyFill="1" applyBorder="1" applyAlignment="1">
      <alignment horizontal="left"/>
    </xf>
    <xf numFmtId="6" fontId="0" fillId="2" borderId="22" xfId="0" applyNumberFormat="1" applyFill="1" applyBorder="1" applyAlignment="1">
      <alignment horizontal="center"/>
    </xf>
    <xf numFmtId="0" fontId="0" fillId="2" borderId="17" xfId="0" applyFill="1" applyBorder="1" applyAlignment="1">
      <alignment horizontal="left"/>
    </xf>
    <xf numFmtId="0" fontId="0" fillId="2" borderId="0" xfId="0" applyFill="1" applyAlignment="1">
      <alignment horizontal="left" indent="2"/>
    </xf>
    <xf numFmtId="3" fontId="0" fillId="2" borderId="1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23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19</xdr:row>
      <xdr:rowOff>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04F00F7-2688-4103-A124-65C9D3E87A49}"/>
                </a:ext>
              </a:extLst>
            </xdr:cNvPr>
            <xdr:cNvSpPr txBox="1"/>
          </xdr:nvSpPr>
          <xdr:spPr>
            <a:xfrm>
              <a:off x="7286625" y="36195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04F00F7-2688-4103-A124-65C9D3E87A49}"/>
                </a:ext>
              </a:extLst>
            </xdr:cNvPr>
            <xdr:cNvSpPr txBox="1"/>
          </xdr:nvSpPr>
          <xdr:spPr>
            <a:xfrm>
              <a:off x="7286625" y="36195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9525</xdr:colOff>
      <xdr:row>37</xdr:row>
      <xdr:rowOff>19050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565878-ACD8-4A94-8623-B8FCDD6AD5D5}"/>
                </a:ext>
              </a:extLst>
            </xdr:cNvPr>
            <xdr:cNvSpPr txBox="1"/>
          </xdr:nvSpPr>
          <xdr:spPr>
            <a:xfrm>
              <a:off x="7400925" y="70675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A7565878-ACD8-4A94-8623-B8FCDD6AD5D5}"/>
                </a:ext>
              </a:extLst>
            </xdr:cNvPr>
            <xdr:cNvSpPr txBox="1"/>
          </xdr:nvSpPr>
          <xdr:spPr>
            <a:xfrm>
              <a:off x="7400925" y="70675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600075</xdr:colOff>
      <xdr:row>6</xdr:row>
      <xdr:rowOff>85725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1EA7E89-2C6B-46D4-906F-662F2D0A2651}"/>
                </a:ext>
              </a:extLst>
            </xdr:cNvPr>
            <xdr:cNvSpPr txBox="1"/>
          </xdr:nvSpPr>
          <xdr:spPr>
            <a:xfrm>
              <a:off x="8353425" y="1228725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1EA7E89-2C6B-46D4-906F-662F2D0A2651}"/>
                </a:ext>
              </a:extLst>
            </xdr:cNvPr>
            <xdr:cNvSpPr txBox="1"/>
          </xdr:nvSpPr>
          <xdr:spPr>
            <a:xfrm>
              <a:off x="8353425" y="1228725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10</xdr:row>
      <xdr:rowOff>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6E1A841-F2C2-4585-AAF3-F4BCEFA2D93E}"/>
                </a:ext>
              </a:extLst>
            </xdr:cNvPr>
            <xdr:cNvSpPr txBox="1"/>
          </xdr:nvSpPr>
          <xdr:spPr>
            <a:xfrm>
              <a:off x="5619750" y="15240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6E1A841-F2C2-4585-AAF3-F4BCEFA2D93E}"/>
                </a:ext>
              </a:extLst>
            </xdr:cNvPr>
            <xdr:cNvSpPr txBox="1"/>
          </xdr:nvSpPr>
          <xdr:spPr>
            <a:xfrm>
              <a:off x="5619750" y="15240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37</xdr:row>
      <xdr:rowOff>180975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0628CA3-31BE-44DA-BFC2-74EF7AF42EBF}"/>
                </a:ext>
              </a:extLst>
            </xdr:cNvPr>
            <xdr:cNvSpPr txBox="1"/>
          </xdr:nvSpPr>
          <xdr:spPr>
            <a:xfrm>
              <a:off x="6238875" y="7229475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0628CA3-31BE-44DA-BFC2-74EF7AF42EBF}"/>
                </a:ext>
              </a:extLst>
            </xdr:cNvPr>
            <xdr:cNvSpPr txBox="1"/>
          </xdr:nvSpPr>
          <xdr:spPr>
            <a:xfrm>
              <a:off x="6238875" y="7229475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171450</xdr:colOff>
      <xdr:row>35</xdr:row>
      <xdr:rowOff>38100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CB40306-EDEF-46E5-9923-B9A5C661ED66}"/>
                </a:ext>
              </a:extLst>
            </xdr:cNvPr>
            <xdr:cNvSpPr txBox="1"/>
          </xdr:nvSpPr>
          <xdr:spPr>
            <a:xfrm>
              <a:off x="6191250" y="67056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CB40306-EDEF-46E5-9923-B9A5C661ED66}"/>
                </a:ext>
              </a:extLst>
            </xdr:cNvPr>
            <xdr:cNvSpPr txBox="1"/>
          </xdr:nvSpPr>
          <xdr:spPr>
            <a:xfrm>
              <a:off x="6191250" y="670560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28575</xdr:colOff>
      <xdr:row>24</xdr:row>
      <xdr:rowOff>171450</xdr:rowOff>
    </xdr:from>
    <xdr:ext cx="2386551" cy="37991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E187B52-CF81-49F2-B42C-DDA1D30542B6}"/>
                </a:ext>
              </a:extLst>
            </xdr:cNvPr>
            <xdr:cNvSpPr txBox="1"/>
          </xdr:nvSpPr>
          <xdr:spPr>
            <a:xfrm>
              <a:off x="6143625" y="47434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𝐵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E187B52-CF81-49F2-B42C-DDA1D30542B6}"/>
                </a:ext>
              </a:extLst>
            </xdr:cNvPr>
            <xdr:cNvSpPr txBox="1"/>
          </xdr:nvSpPr>
          <xdr:spPr>
            <a:xfrm>
              <a:off x="6143625" y="4743450"/>
              <a:ext cx="2386551" cy="37991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=(𝐴_𝑝+(1−𝑊) 𝐸_𝑒+𝐵+𝑊⋅𝐴_𝑒)/(𝐸_𝑝+(1−𝑊) 𝐸_𝑒+𝐵+𝑊⋅𝐸_𝑒 )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223" t="s">
        <v>12</v>
      </c>
      <c r="B5" s="223"/>
      <c r="C5" s="223"/>
    </row>
    <row r="6" spans="1:3" ht="15" customHeight="1" x14ac:dyDescent="0.25">
      <c r="A6" s="223"/>
      <c r="B6" s="223"/>
      <c r="C6" s="223"/>
    </row>
    <row r="7" spans="1:3" ht="15" customHeight="1" x14ac:dyDescent="0.25"/>
    <row r="8" spans="1:3" ht="15" customHeight="1" x14ac:dyDescent="0.3">
      <c r="A8" s="224" t="s">
        <v>10</v>
      </c>
      <c r="B8" s="224"/>
      <c r="C8" s="224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1" t="s">
        <v>20</v>
      </c>
      <c r="C11" t="s">
        <v>19</v>
      </c>
    </row>
    <row r="12" spans="1:3" x14ac:dyDescent="0.25">
      <c r="A12" s="3">
        <v>2</v>
      </c>
      <c r="B12" s="1" t="s">
        <v>74</v>
      </c>
      <c r="C12" t="s">
        <v>19</v>
      </c>
    </row>
    <row r="13" spans="1:3" x14ac:dyDescent="0.25">
      <c r="A13" s="3">
        <v>3</v>
      </c>
      <c r="B13" s="1" t="s">
        <v>155</v>
      </c>
      <c r="C13" t="s">
        <v>101</v>
      </c>
    </row>
    <row r="14" spans="1:3" x14ac:dyDescent="0.25">
      <c r="A14" s="3">
        <v>4</v>
      </c>
      <c r="B14" s="1" t="s">
        <v>156</v>
      </c>
      <c r="C14" t="s">
        <v>116</v>
      </c>
    </row>
    <row r="15" spans="1:3" x14ac:dyDescent="0.25">
      <c r="A15" s="3">
        <v>5</v>
      </c>
      <c r="B15" s="1" t="s">
        <v>299</v>
      </c>
      <c r="C15" t="s">
        <v>116</v>
      </c>
    </row>
    <row r="16" spans="1:3" x14ac:dyDescent="0.25">
      <c r="A16" s="3">
        <v>6</v>
      </c>
      <c r="B16" s="1" t="s">
        <v>300</v>
      </c>
      <c r="C16" t="s">
        <v>116</v>
      </c>
    </row>
    <row r="17" spans="1:3" x14ac:dyDescent="0.25">
      <c r="A17" s="3">
        <v>7</v>
      </c>
      <c r="B17" s="1" t="s">
        <v>301</v>
      </c>
      <c r="C17" t="s">
        <v>19</v>
      </c>
    </row>
    <row r="18" spans="1:3" x14ac:dyDescent="0.25">
      <c r="A18" s="3">
        <v>8</v>
      </c>
      <c r="B18" s="1" t="s">
        <v>302</v>
      </c>
      <c r="C18" t="s">
        <v>116</v>
      </c>
    </row>
    <row r="19" spans="1:3" x14ac:dyDescent="0.25">
      <c r="A19" s="4"/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9" type="noConversion"/>
  <hyperlinks>
    <hyperlink ref="A11" location="'NCCI-Experience1'!A1" display="1" xr:uid="{DC971D5C-483B-4A01-B4E0-7E9F4C0FB7EB}"/>
    <hyperlink ref="A12" location="'NCCI-Experience2'!A1" display="2" xr:uid="{30165859-16F1-45F4-A365-5C75C98B474E}"/>
    <hyperlink ref="A13:A14" location="'W-NCCI-Experience1'!A1" display="'W-NCCI-Experience1'!A1" xr:uid="{5EE12C87-E292-4D38-9FD0-44241C717A2E}"/>
    <hyperlink ref="A13" location="'NCCI-Experience3'!A1" display="3" xr:uid="{2665408A-A977-4352-A93B-89A82A379160}"/>
    <hyperlink ref="A14" location="'NCCI-Experience4'!A1" display="4" xr:uid="{D1370964-B70A-4659-B7DA-005E5434E694}"/>
    <hyperlink ref="A15:A18" location="'W-NCCI-Experience1'!A1" display="'W-NCCI-Experience1'!A1" xr:uid="{4CB49C8C-3D94-4C42-867A-04E08F4B8597}"/>
    <hyperlink ref="A15" location="'NCCI-Experience5'!A1" display="5" xr:uid="{49AC95AA-F6DD-4C35-86E0-B142DA51FC36}"/>
    <hyperlink ref="A16" location="'NCCI-Experience6'!A1" display="6" xr:uid="{E2FE6DC4-3F39-4971-94DA-90B255D6A8B6}"/>
    <hyperlink ref="A17" location="'NCCI-Experience7'!A1" display="7" xr:uid="{4E4CC32C-59E0-45DF-92C8-9FE4B6ED1A61}"/>
    <hyperlink ref="A18" location="'NCCI-Experience8'!A1" display="8" xr:uid="{D7C65130-57D4-47CA-86FF-00B3200F5D6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B390-A149-40FE-BD14-21E00A1E9D96}">
  <sheetPr codeName="Sheet89"/>
  <dimension ref="A1:P56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24.85546875" style="7" customWidth="1"/>
    <col min="4" max="4" width="11.5703125" style="7" bestFit="1" customWidth="1"/>
    <col min="5" max="5" width="11.5703125" style="7" customWidth="1"/>
    <col min="6" max="6" width="17" style="7" bestFit="1" customWidth="1"/>
    <col min="7" max="7" width="12.5703125" style="7" bestFit="1" customWidth="1"/>
    <col min="8" max="8" width="8" style="7" customWidth="1"/>
    <col min="9" max="9" width="5.5703125" style="7" customWidth="1"/>
    <col min="10" max="10" width="2.7109375" style="7" customWidth="1"/>
    <col min="11" max="11" width="9.140625" style="7" customWidth="1"/>
    <col min="12" max="12" width="9.7109375" style="7" customWidth="1"/>
    <col min="13" max="19" width="9.140625" style="7" customWidth="1"/>
    <col min="20" max="20" width="9.140625" style="7"/>
    <col min="21" max="23" width="9.140625" style="7" customWidth="1"/>
    <col min="24" max="16384" width="9.140625" style="7"/>
  </cols>
  <sheetData>
    <row r="1" spans="1:12" x14ac:dyDescent="0.25">
      <c r="A1" s="13" t="s">
        <v>3</v>
      </c>
      <c r="B1" s="14"/>
      <c r="C1" s="14" t="s">
        <v>13</v>
      </c>
      <c r="D1" s="15"/>
      <c r="E1" s="14"/>
      <c r="F1" s="14"/>
      <c r="G1" s="14"/>
      <c r="H1" s="225" t="s">
        <v>8</v>
      </c>
      <c r="I1" s="226"/>
      <c r="J1" s="10"/>
      <c r="K1" s="6" t="s">
        <v>9</v>
      </c>
    </row>
    <row r="2" spans="1:12" x14ac:dyDescent="0.25">
      <c r="A2" s="16" t="s">
        <v>4</v>
      </c>
      <c r="B2" s="17"/>
      <c r="C2" s="17" t="s">
        <v>18</v>
      </c>
      <c r="D2" s="17"/>
      <c r="E2" s="17"/>
      <c r="F2" s="17"/>
      <c r="G2" s="17"/>
      <c r="H2" s="17"/>
      <c r="I2" s="18"/>
      <c r="J2" s="10"/>
      <c r="K2" s="7" t="s">
        <v>26</v>
      </c>
    </row>
    <row r="3" spans="1:12" x14ac:dyDescent="0.25">
      <c r="A3" s="16" t="s">
        <v>5</v>
      </c>
      <c r="B3" s="17"/>
      <c r="C3" s="17" t="s">
        <v>19</v>
      </c>
      <c r="D3" s="17"/>
      <c r="E3" s="17"/>
      <c r="F3" s="17"/>
      <c r="G3" s="17"/>
      <c r="H3" s="17"/>
      <c r="I3" s="18"/>
      <c r="J3" s="10"/>
      <c r="K3" s="31" t="s">
        <v>15</v>
      </c>
      <c r="L3" s="12" t="s">
        <v>27</v>
      </c>
    </row>
    <row r="4" spans="1:12" x14ac:dyDescent="0.25">
      <c r="A4" s="19"/>
      <c r="B4" s="20"/>
      <c r="C4" s="20"/>
      <c r="D4" s="20"/>
      <c r="E4" s="20"/>
      <c r="F4" s="20"/>
      <c r="G4" s="20"/>
      <c r="H4" s="20"/>
      <c r="I4" s="21"/>
      <c r="J4" s="8"/>
      <c r="K4" s="29">
        <f>D18</f>
        <v>1.83</v>
      </c>
      <c r="L4" s="30">
        <f>E18</f>
        <v>0.2</v>
      </c>
    </row>
    <row r="5" spans="1:12" ht="15" customHeight="1" x14ac:dyDescent="0.25">
      <c r="A5" s="22" t="s">
        <v>6</v>
      </c>
      <c r="B5" s="17"/>
      <c r="C5" s="17" t="s">
        <v>21</v>
      </c>
      <c r="D5" s="17"/>
      <c r="E5" s="17"/>
      <c r="F5" s="17"/>
      <c r="G5" s="17"/>
      <c r="H5" s="17"/>
      <c r="I5" s="18"/>
      <c r="J5" s="8"/>
    </row>
    <row r="6" spans="1:12" x14ac:dyDescent="0.25">
      <c r="A6" s="23"/>
      <c r="B6" s="17"/>
      <c r="C6" s="17" t="s">
        <v>22</v>
      </c>
      <c r="D6" s="17"/>
      <c r="E6" s="17"/>
      <c r="F6" s="17"/>
      <c r="G6" s="17"/>
      <c r="H6" s="17"/>
      <c r="I6" s="18"/>
      <c r="J6" s="8"/>
      <c r="K6" s="7" t="s">
        <v>28</v>
      </c>
    </row>
    <row r="7" spans="1:12" ht="15" customHeight="1" x14ac:dyDescent="0.25">
      <c r="A7" s="23"/>
      <c r="B7" s="17"/>
      <c r="C7" s="17" t="s">
        <v>23</v>
      </c>
      <c r="D7" s="17"/>
      <c r="E7" s="17"/>
      <c r="F7" s="17"/>
      <c r="G7" s="17"/>
      <c r="H7" s="17"/>
      <c r="I7" s="18"/>
      <c r="J7" s="8"/>
      <c r="K7" s="7" t="s">
        <v>29</v>
      </c>
      <c r="L7" s="8">
        <f>20*10^6/100 *K4</f>
        <v>366000</v>
      </c>
    </row>
    <row r="8" spans="1:12" ht="15" customHeight="1" x14ac:dyDescent="0.25">
      <c r="A8" s="22"/>
      <c r="B8" s="20"/>
      <c r="C8" s="17"/>
      <c r="D8" s="17"/>
      <c r="E8" s="17"/>
      <c r="F8" s="17"/>
      <c r="G8" s="17"/>
      <c r="H8" s="17"/>
      <c r="I8" s="18"/>
      <c r="J8" s="8"/>
    </row>
    <row r="9" spans="1:12" x14ac:dyDescent="0.25">
      <c r="A9" s="22"/>
      <c r="B9" s="20"/>
      <c r="C9" s="17" t="s">
        <v>54</v>
      </c>
      <c r="D9" s="17"/>
      <c r="E9" s="17"/>
      <c r="F9" s="17"/>
      <c r="G9" s="17"/>
      <c r="H9" s="17"/>
      <c r="I9" s="18"/>
      <c r="J9" s="8"/>
      <c r="K9" s="7" t="s">
        <v>30</v>
      </c>
    </row>
    <row r="10" spans="1:12" x14ac:dyDescent="0.25">
      <c r="A10" s="19"/>
      <c r="B10" s="20"/>
      <c r="C10" s="17" t="s">
        <v>55</v>
      </c>
      <c r="D10" s="17"/>
      <c r="E10" s="17"/>
      <c r="F10" s="17"/>
      <c r="G10" s="17"/>
      <c r="H10" s="17"/>
      <c r="I10" s="18"/>
      <c r="J10" s="8"/>
      <c r="K10" s="7" t="s">
        <v>31</v>
      </c>
      <c r="L10" s="8">
        <f>L7*L4</f>
        <v>73200</v>
      </c>
    </row>
    <row r="11" spans="1:12" x14ac:dyDescent="0.25">
      <c r="A11" s="17"/>
      <c r="B11" s="17"/>
      <c r="C11" s="17"/>
      <c r="D11" s="17"/>
      <c r="E11" s="17"/>
      <c r="F11" s="17"/>
      <c r="G11" s="17"/>
      <c r="H11" s="17"/>
      <c r="I11" s="18"/>
      <c r="J11" s="8"/>
    </row>
    <row r="12" spans="1:12" x14ac:dyDescent="0.25">
      <c r="A12" s="16" t="s">
        <v>7</v>
      </c>
      <c r="B12" s="20"/>
      <c r="C12" s="17" t="s">
        <v>58</v>
      </c>
      <c r="D12" s="17"/>
      <c r="E12" s="17"/>
      <c r="F12" s="17"/>
      <c r="G12" s="17"/>
      <c r="H12" s="17"/>
      <c r="I12" s="18"/>
      <c r="J12" s="8"/>
      <c r="K12" s="7" t="s">
        <v>32</v>
      </c>
      <c r="L12" s="8">
        <f>L7-L10</f>
        <v>292800</v>
      </c>
    </row>
    <row r="13" spans="1:12" x14ac:dyDescent="0.25">
      <c r="A13" s="19"/>
      <c r="B13" s="20"/>
      <c r="C13" s="17" t="s">
        <v>24</v>
      </c>
      <c r="D13" s="17"/>
      <c r="E13" s="17"/>
      <c r="F13" s="17"/>
      <c r="G13" s="17"/>
      <c r="H13" s="17"/>
      <c r="I13" s="18"/>
      <c r="J13" s="8"/>
    </row>
    <row r="14" spans="1:12" x14ac:dyDescent="0.25">
      <c r="A14" s="23"/>
      <c r="B14" s="17"/>
      <c r="C14" s="17"/>
      <c r="D14" s="17"/>
      <c r="E14" s="17"/>
      <c r="F14" s="17"/>
      <c r="G14" s="17"/>
      <c r="H14" s="17"/>
      <c r="I14" s="18"/>
      <c r="J14" s="8"/>
      <c r="K14" s="7" t="s">
        <v>33</v>
      </c>
    </row>
    <row r="15" spans="1:12" x14ac:dyDescent="0.25">
      <c r="A15" s="23"/>
      <c r="B15" s="17"/>
      <c r="C15" s="17" t="s">
        <v>25</v>
      </c>
      <c r="D15" s="17"/>
      <c r="E15" s="17"/>
      <c r="F15" s="17"/>
      <c r="G15" s="17"/>
      <c r="H15" s="17"/>
      <c r="I15" s="18"/>
      <c r="J15" s="8"/>
      <c r="K15" s="7" t="s">
        <v>34</v>
      </c>
      <c r="L15" s="26">
        <f>D23</f>
        <v>0.3</v>
      </c>
    </row>
    <row r="16" spans="1:12" x14ac:dyDescent="0.25">
      <c r="A16" s="23"/>
      <c r="B16" s="17"/>
      <c r="C16" s="32" t="s">
        <v>14</v>
      </c>
      <c r="D16" s="33" t="s">
        <v>15</v>
      </c>
      <c r="E16" s="34" t="s">
        <v>27</v>
      </c>
      <c r="F16" s="17"/>
      <c r="G16" s="17"/>
      <c r="H16" s="17"/>
      <c r="I16" s="18"/>
      <c r="J16" s="8"/>
      <c r="K16" s="7" t="s">
        <v>38</v>
      </c>
      <c r="L16" s="9">
        <f>G23</f>
        <v>53600</v>
      </c>
    </row>
    <row r="17" spans="1:16" x14ac:dyDescent="0.25">
      <c r="A17" s="23"/>
      <c r="B17" s="17"/>
      <c r="C17" s="35">
        <v>8291</v>
      </c>
      <c r="D17" s="36">
        <v>1.62</v>
      </c>
      <c r="E17" s="37">
        <v>0.18</v>
      </c>
      <c r="F17" s="17"/>
      <c r="G17" s="17"/>
      <c r="H17" s="17"/>
      <c r="I17" s="18"/>
      <c r="J17" s="8"/>
    </row>
    <row r="18" spans="1:16" ht="15" customHeight="1" x14ac:dyDescent="0.25">
      <c r="A18" s="23"/>
      <c r="B18" s="17"/>
      <c r="C18" s="35">
        <v>8292</v>
      </c>
      <c r="D18" s="36">
        <v>1.83</v>
      </c>
      <c r="E18" s="38">
        <v>0.2</v>
      </c>
      <c r="F18" s="17"/>
      <c r="G18" s="17"/>
      <c r="H18" s="17"/>
      <c r="I18" s="18"/>
      <c r="J18" s="8"/>
      <c r="K18" s="7" t="s">
        <v>44</v>
      </c>
      <c r="P18" s="10">
        <f>ROUND(1.1+0.0004*L7/D28,2)</f>
        <v>22.95</v>
      </c>
    </row>
    <row r="19" spans="1:16" x14ac:dyDescent="0.25">
      <c r="A19" s="23"/>
      <c r="B19" s="17"/>
      <c r="C19" s="39">
        <v>8293</v>
      </c>
      <c r="D19" s="40">
        <v>4.12</v>
      </c>
      <c r="E19" s="41">
        <v>0.17</v>
      </c>
      <c r="F19" s="17"/>
      <c r="G19" s="17"/>
      <c r="H19" s="17"/>
      <c r="I19" s="18"/>
      <c r="J19" s="8"/>
    </row>
    <row r="20" spans="1:16" x14ac:dyDescent="0.25">
      <c r="A20" s="23"/>
      <c r="B20" s="17"/>
      <c r="C20" s="17"/>
      <c r="D20" s="17"/>
      <c r="E20" s="17"/>
      <c r="F20" s="17"/>
      <c r="G20" s="17"/>
      <c r="H20" s="17"/>
      <c r="I20" s="18"/>
      <c r="J20" s="8"/>
    </row>
    <row r="21" spans="1:16" x14ac:dyDescent="0.25">
      <c r="A21" s="23"/>
      <c r="B21" s="17"/>
      <c r="C21" s="33" t="s">
        <v>16</v>
      </c>
      <c r="D21" s="34" t="s">
        <v>34</v>
      </c>
      <c r="E21" s="17"/>
      <c r="F21" s="33" t="s">
        <v>16</v>
      </c>
      <c r="G21" s="34" t="s">
        <v>38</v>
      </c>
      <c r="H21" s="17"/>
      <c r="I21" s="18"/>
      <c r="J21" s="8"/>
    </row>
    <row r="22" spans="1:16" ht="15" customHeight="1" x14ac:dyDescent="0.25">
      <c r="A22" s="23"/>
      <c r="B22" s="17"/>
      <c r="C22" s="36" t="s">
        <v>35</v>
      </c>
      <c r="D22" s="37">
        <v>0.28999999999999998</v>
      </c>
      <c r="E22" s="17"/>
      <c r="F22" s="36" t="s">
        <v>39</v>
      </c>
      <c r="G22" s="42">
        <v>50250</v>
      </c>
      <c r="H22" s="17"/>
      <c r="I22" s="18"/>
      <c r="J22" s="8"/>
    </row>
    <row r="23" spans="1:16" ht="15" customHeight="1" x14ac:dyDescent="0.25">
      <c r="A23" s="23"/>
      <c r="B23" s="17"/>
      <c r="C23" s="36" t="s">
        <v>36</v>
      </c>
      <c r="D23" s="38">
        <v>0.3</v>
      </c>
      <c r="E23" s="17"/>
      <c r="F23" s="36" t="s">
        <v>40</v>
      </c>
      <c r="G23" s="42">
        <v>53600</v>
      </c>
      <c r="H23" s="17"/>
      <c r="I23" s="18"/>
      <c r="J23" s="8"/>
      <c r="K23" s="7" t="s">
        <v>46</v>
      </c>
    </row>
    <row r="24" spans="1:16" ht="15" customHeight="1" x14ac:dyDescent="0.25">
      <c r="A24" s="23"/>
      <c r="B24" s="17"/>
      <c r="C24" s="40" t="s">
        <v>37</v>
      </c>
      <c r="D24" s="41">
        <v>0.31</v>
      </c>
      <c r="E24" s="17"/>
      <c r="F24" s="40" t="s">
        <v>41</v>
      </c>
      <c r="G24" s="43">
        <v>56950</v>
      </c>
      <c r="H24" s="17"/>
      <c r="I24" s="18"/>
      <c r="J24" s="8"/>
    </row>
    <row r="25" spans="1:16" ht="15" customHeight="1" x14ac:dyDescent="0.25">
      <c r="A25" s="17"/>
      <c r="B25" s="17"/>
      <c r="C25" s="17"/>
      <c r="D25" s="17"/>
      <c r="E25" s="17"/>
      <c r="F25" s="17"/>
      <c r="G25" s="17"/>
      <c r="H25" s="17"/>
      <c r="I25" s="18"/>
      <c r="J25" s="8"/>
      <c r="K25" s="7" t="s">
        <v>47</v>
      </c>
    </row>
    <row r="26" spans="1:16" ht="15" customHeight="1" x14ac:dyDescent="0.25">
      <c r="A26" s="17"/>
      <c r="B26" s="17"/>
      <c r="C26" s="46" t="s">
        <v>42</v>
      </c>
      <c r="D26" s="47">
        <v>167000</v>
      </c>
      <c r="E26" s="17"/>
      <c r="F26" s="17"/>
      <c r="G26" s="17"/>
      <c r="H26" s="17"/>
      <c r="I26" s="18"/>
      <c r="J26" s="8"/>
    </row>
    <row r="27" spans="1:16" ht="15" customHeight="1" x14ac:dyDescent="0.25">
      <c r="A27" s="17"/>
      <c r="B27" s="17"/>
      <c r="C27" s="48" t="s">
        <v>43</v>
      </c>
      <c r="D27" s="49">
        <v>334000</v>
      </c>
      <c r="E27" s="17"/>
      <c r="F27" s="17"/>
      <c r="G27" s="17"/>
      <c r="H27" s="17"/>
      <c r="I27" s="18"/>
      <c r="J27" s="8"/>
      <c r="K27" s="31" t="s">
        <v>48</v>
      </c>
      <c r="L27" s="11" t="s">
        <v>50</v>
      </c>
      <c r="M27" s="12" t="s">
        <v>51</v>
      </c>
      <c r="N27" s="55" t="s">
        <v>52</v>
      </c>
    </row>
    <row r="28" spans="1:16" x14ac:dyDescent="0.25">
      <c r="A28" s="17"/>
      <c r="B28" s="17"/>
      <c r="C28" s="50" t="s">
        <v>17</v>
      </c>
      <c r="D28" s="41">
        <v>6.7</v>
      </c>
      <c r="E28" s="17"/>
      <c r="F28" s="17"/>
      <c r="G28" s="17"/>
      <c r="H28" s="17"/>
      <c r="I28" s="18"/>
      <c r="J28" s="8"/>
      <c r="K28" s="27" t="s">
        <v>49</v>
      </c>
      <c r="L28" s="53">
        <f>30*3500</f>
        <v>105000</v>
      </c>
      <c r="M28" s="28">
        <v>0</v>
      </c>
    </row>
    <row r="29" spans="1:16" ht="15.75" thickBot="1" x14ac:dyDescent="0.3">
      <c r="A29" s="44"/>
      <c r="B29" s="24"/>
      <c r="C29" s="24"/>
      <c r="D29" s="24"/>
      <c r="E29" s="24"/>
      <c r="F29" s="24"/>
      <c r="G29" s="24"/>
      <c r="H29" s="24"/>
      <c r="I29" s="25"/>
      <c r="J29" s="8"/>
      <c r="K29" s="27">
        <v>31</v>
      </c>
      <c r="L29" s="53">
        <f>MIN(5250,(1-70%)*8000)</f>
        <v>2400.0000000000005</v>
      </c>
      <c r="M29" s="28">
        <f>(1-70%)*8000-L29</f>
        <v>0</v>
      </c>
      <c r="N29" s="7" t="s">
        <v>53</v>
      </c>
    </row>
    <row r="30" spans="1:16" x14ac:dyDescent="0.25">
      <c r="J30" s="8"/>
      <c r="K30" s="27">
        <v>32</v>
      </c>
      <c r="L30" s="53">
        <f>MIN(2*5250,MIN(D27,400000))</f>
        <v>10500</v>
      </c>
      <c r="M30" s="51">
        <f>MIN(D27,400000)-L30</f>
        <v>323500</v>
      </c>
      <c r="N30" s="7" t="s">
        <v>56</v>
      </c>
    </row>
    <row r="31" spans="1:16" x14ac:dyDescent="0.25">
      <c r="J31" s="8"/>
      <c r="K31" s="31" t="s">
        <v>11</v>
      </c>
      <c r="L31" s="54">
        <f>SUM(L28:L30)</f>
        <v>117900</v>
      </c>
      <c r="M31" s="52">
        <f>SUM(M28:M30)</f>
        <v>323500</v>
      </c>
    </row>
    <row r="32" spans="1:16" x14ac:dyDescent="0.25">
      <c r="J32" s="8"/>
    </row>
    <row r="33" spans="10:13" x14ac:dyDescent="0.25">
      <c r="J33" s="8"/>
      <c r="K33" s="7" t="s">
        <v>45</v>
      </c>
      <c r="L33" s="56">
        <f>ROUND(MIN(P18,(L31+(1-L15)*L12+L16+L15*M31)/(L10+(1-L15)*L12+L16+L15*L12)),2)</f>
        <v>1.1299999999999999</v>
      </c>
    </row>
    <row r="34" spans="10:13" x14ac:dyDescent="0.25">
      <c r="J34" s="8"/>
    </row>
    <row r="35" spans="10:13" x14ac:dyDescent="0.25">
      <c r="J35" s="8"/>
      <c r="K35" s="7" t="s">
        <v>57</v>
      </c>
      <c r="M35" s="57">
        <f>120000*L33</f>
        <v>135600</v>
      </c>
    </row>
    <row r="36" spans="10:13" x14ac:dyDescent="0.25">
      <c r="J36" s="8"/>
    </row>
    <row r="37" spans="10:13" x14ac:dyDescent="0.25">
      <c r="J37" s="8"/>
    </row>
    <row r="38" spans="10:13" x14ac:dyDescent="0.25">
      <c r="J38" s="8"/>
    </row>
    <row r="39" spans="10:13" x14ac:dyDescent="0.25">
      <c r="J39" s="8"/>
    </row>
    <row r="40" spans="10:13" x14ac:dyDescent="0.25">
      <c r="J40" s="8"/>
    </row>
    <row r="41" spans="10:13" x14ac:dyDescent="0.25">
      <c r="J41" s="8"/>
    </row>
    <row r="42" spans="10:13" x14ac:dyDescent="0.25">
      <c r="J42" s="8"/>
    </row>
    <row r="43" spans="10:13" x14ac:dyDescent="0.25">
      <c r="J43" s="8"/>
    </row>
    <row r="44" spans="10:13" x14ac:dyDescent="0.25">
      <c r="J44" s="8"/>
    </row>
    <row r="45" spans="10:13" x14ac:dyDescent="0.25">
      <c r="J45" s="8"/>
    </row>
    <row r="46" spans="10:13" x14ac:dyDescent="0.25">
      <c r="J46" s="8"/>
    </row>
    <row r="47" spans="10:13" x14ac:dyDescent="0.25">
      <c r="J47" s="8"/>
    </row>
    <row r="48" spans="10:13" x14ac:dyDescent="0.25">
      <c r="J48" s="8"/>
    </row>
    <row r="49" spans="10:10" x14ac:dyDescent="0.25">
      <c r="J49" s="8"/>
    </row>
    <row r="50" spans="10:10" x14ac:dyDescent="0.25">
      <c r="J50" s="8"/>
    </row>
    <row r="51" spans="10:10" x14ac:dyDescent="0.25">
      <c r="J51" s="8"/>
    </row>
    <row r="52" spans="10:10" x14ac:dyDescent="0.25">
      <c r="J52" s="8"/>
    </row>
    <row r="53" spans="10:10" x14ac:dyDescent="0.25">
      <c r="J53" s="8"/>
    </row>
    <row r="54" spans="10:10" x14ac:dyDescent="0.25">
      <c r="J54" s="8"/>
    </row>
    <row r="55" spans="10:10" x14ac:dyDescent="0.25">
      <c r="J55" s="8"/>
    </row>
    <row r="56" spans="10:10" x14ac:dyDescent="0.25">
      <c r="J56" s="8"/>
    </row>
  </sheetData>
  <sheetProtection formatCells="0" formatColumns="0" formatRows="0"/>
  <mergeCells count="1">
    <mergeCell ref="H1:I1"/>
  </mergeCells>
  <hyperlinks>
    <hyperlink ref="H1" location="TOC!A1" display="Return to TOC" xr:uid="{51F6C7A3-61C0-4F4A-A138-EBD57EC1A1B9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C3ABA-47AF-466D-B4FA-DCDD7202770D}">
  <dimension ref="A1:R45"/>
  <sheetViews>
    <sheetView workbookViewId="0"/>
  </sheetViews>
  <sheetFormatPr defaultRowHeight="15" x14ac:dyDescent="0.25"/>
  <cols>
    <col min="1" max="1" width="14" bestFit="1" customWidth="1"/>
    <col min="2" max="2" width="18.140625" customWidth="1"/>
    <col min="3" max="3" width="10.85546875" bestFit="1" customWidth="1"/>
    <col min="4" max="4" width="9.85546875" bestFit="1" customWidth="1"/>
    <col min="5" max="5" width="3.7109375" customWidth="1"/>
    <col min="6" max="6" width="17" bestFit="1" customWidth="1"/>
    <col min="9" max="9" width="12.5703125" bestFit="1" customWidth="1"/>
    <col min="10" max="10" width="3.7109375" customWidth="1"/>
    <col min="11" max="11" width="2.7109375" customWidth="1"/>
    <col min="12" max="12" width="10.85546875" bestFit="1" customWidth="1"/>
    <col min="14" max="14" width="12.42578125" customWidth="1"/>
  </cols>
  <sheetData>
    <row r="1" spans="1:15" x14ac:dyDescent="0.25">
      <c r="A1" s="13" t="s">
        <v>3</v>
      </c>
      <c r="B1" s="14" t="s">
        <v>13</v>
      </c>
      <c r="C1" s="79"/>
      <c r="D1" s="15"/>
      <c r="E1" s="14"/>
      <c r="F1" s="14"/>
      <c r="G1" s="14"/>
      <c r="H1" s="14"/>
      <c r="I1" s="225" t="s">
        <v>8</v>
      </c>
      <c r="J1" s="226"/>
      <c r="K1" s="10"/>
      <c r="L1" s="6" t="s">
        <v>9</v>
      </c>
    </row>
    <row r="2" spans="1:15" x14ac:dyDescent="0.25">
      <c r="A2" s="16" t="s">
        <v>4</v>
      </c>
      <c r="B2" s="17" t="s">
        <v>92</v>
      </c>
      <c r="C2" s="80"/>
      <c r="D2" s="17"/>
      <c r="E2" s="17"/>
      <c r="F2" s="17"/>
      <c r="G2" s="17"/>
      <c r="H2" s="17"/>
      <c r="I2" s="17"/>
      <c r="J2" s="18"/>
      <c r="K2" s="10"/>
      <c r="L2" t="s">
        <v>70</v>
      </c>
    </row>
    <row r="3" spans="1:15" x14ac:dyDescent="0.25">
      <c r="A3" s="16" t="s">
        <v>5</v>
      </c>
      <c r="B3" s="17" t="s">
        <v>19</v>
      </c>
      <c r="C3" s="80"/>
      <c r="D3" s="17"/>
      <c r="E3" s="17"/>
      <c r="F3" s="17"/>
      <c r="G3" s="17"/>
      <c r="H3" s="17"/>
      <c r="I3" s="17"/>
      <c r="J3" s="18"/>
      <c r="K3" s="10"/>
      <c r="L3" t="s">
        <v>71</v>
      </c>
    </row>
    <row r="4" spans="1:15" x14ac:dyDescent="0.25">
      <c r="A4" s="19"/>
      <c r="B4" s="20"/>
      <c r="C4" s="20"/>
      <c r="D4" s="20"/>
      <c r="E4" s="20"/>
      <c r="F4" s="20"/>
      <c r="G4" s="20"/>
      <c r="H4" s="20"/>
      <c r="I4" s="20"/>
      <c r="J4" s="21"/>
      <c r="K4" s="8"/>
    </row>
    <row r="5" spans="1:15" x14ac:dyDescent="0.25">
      <c r="A5" s="22" t="s">
        <v>6</v>
      </c>
      <c r="B5" s="17" t="s">
        <v>77</v>
      </c>
      <c r="C5" s="80"/>
      <c r="D5" s="17"/>
      <c r="E5" s="17"/>
      <c r="F5" s="17"/>
      <c r="G5" s="17"/>
      <c r="H5" s="17"/>
      <c r="I5" s="17"/>
      <c r="J5" s="18"/>
      <c r="K5" s="8"/>
      <c r="L5" s="45">
        <f>SUM(C15:C17)</f>
        <v>4980000</v>
      </c>
      <c r="M5" t="s">
        <v>75</v>
      </c>
    </row>
    <row r="6" spans="1:15" x14ac:dyDescent="0.25">
      <c r="A6" s="81"/>
      <c r="B6" s="17" t="s">
        <v>78</v>
      </c>
      <c r="C6" s="80"/>
      <c r="D6" s="80"/>
      <c r="E6" s="80"/>
      <c r="F6" s="80"/>
      <c r="G6" s="80"/>
      <c r="H6" s="80"/>
      <c r="I6" s="80"/>
      <c r="J6" s="82"/>
    </row>
    <row r="7" spans="1:15" x14ac:dyDescent="0.25">
      <c r="A7" s="16" t="s">
        <v>7</v>
      </c>
      <c r="B7" s="17" t="s">
        <v>79</v>
      </c>
      <c r="C7" s="80"/>
      <c r="D7" s="80"/>
      <c r="E7" s="80"/>
      <c r="F7" s="80"/>
      <c r="G7" s="80"/>
      <c r="H7" s="80"/>
      <c r="I7" s="80"/>
      <c r="J7" s="82"/>
      <c r="L7" t="s">
        <v>76</v>
      </c>
    </row>
    <row r="8" spans="1:15" x14ac:dyDescent="0.25">
      <c r="A8" s="81"/>
      <c r="B8" s="17" t="s">
        <v>59</v>
      </c>
      <c r="C8" s="80"/>
      <c r="D8" s="80"/>
      <c r="E8" s="80"/>
      <c r="F8" s="80"/>
      <c r="G8" s="80"/>
      <c r="H8" s="80"/>
      <c r="I8" s="80"/>
      <c r="J8" s="82"/>
      <c r="L8" s="109" t="s">
        <v>15</v>
      </c>
      <c r="M8" s="110" t="s">
        <v>27</v>
      </c>
    </row>
    <row r="9" spans="1:15" x14ac:dyDescent="0.25">
      <c r="A9" s="81"/>
      <c r="B9" s="80"/>
      <c r="C9" s="80"/>
      <c r="D9" s="80"/>
      <c r="E9" s="80"/>
      <c r="F9" s="80"/>
      <c r="G9" s="80"/>
      <c r="H9" s="80"/>
      <c r="I9" s="80"/>
      <c r="J9" s="82"/>
      <c r="L9" s="68">
        <f>C30</f>
        <v>2.64</v>
      </c>
      <c r="M9" s="111">
        <f>D30</f>
        <v>0.14000000000000001</v>
      </c>
    </row>
    <row r="10" spans="1:15" x14ac:dyDescent="0.25">
      <c r="A10" s="81"/>
      <c r="B10" s="115" t="s">
        <v>60</v>
      </c>
      <c r="C10" s="87"/>
      <c r="D10" s="83"/>
      <c r="E10" s="80"/>
      <c r="F10" s="84" t="s">
        <v>95</v>
      </c>
      <c r="G10" s="80"/>
      <c r="H10" s="80"/>
      <c r="I10" s="80"/>
      <c r="J10" s="82"/>
    </row>
    <row r="11" spans="1:15" x14ac:dyDescent="0.25">
      <c r="A11" s="81"/>
      <c r="B11" s="36" t="s">
        <v>61</v>
      </c>
      <c r="C11" s="116"/>
      <c r="D11" s="85"/>
      <c r="E11" s="80"/>
      <c r="F11" s="86"/>
      <c r="G11" s="87" t="s">
        <v>64</v>
      </c>
      <c r="H11" s="87"/>
      <c r="I11" s="88"/>
      <c r="J11" s="82"/>
      <c r="L11" t="s">
        <v>80</v>
      </c>
      <c r="O11" s="60">
        <f>L5/100*L9</f>
        <v>131472</v>
      </c>
    </row>
    <row r="12" spans="1:15" x14ac:dyDescent="0.25">
      <c r="A12" s="81"/>
      <c r="B12" s="40" t="s">
        <v>62</v>
      </c>
      <c r="C12" s="91" t="s">
        <v>63</v>
      </c>
      <c r="D12" s="89" t="s">
        <v>2</v>
      </c>
      <c r="E12" s="80"/>
      <c r="F12" s="90" t="s">
        <v>48</v>
      </c>
      <c r="G12" s="91" t="s">
        <v>67</v>
      </c>
      <c r="H12" s="91" t="s">
        <v>65</v>
      </c>
      <c r="I12" s="92" t="s">
        <v>2</v>
      </c>
      <c r="J12" s="82"/>
    </row>
    <row r="13" spans="1:15" x14ac:dyDescent="0.25">
      <c r="A13" s="81"/>
      <c r="B13" s="94">
        <v>43647</v>
      </c>
      <c r="C13" s="117">
        <v>1510000</v>
      </c>
      <c r="D13" s="85" t="s">
        <v>68</v>
      </c>
      <c r="E13" s="80"/>
      <c r="F13" s="93">
        <v>1</v>
      </c>
      <c r="G13" s="94">
        <v>43831</v>
      </c>
      <c r="H13" s="95">
        <v>150000</v>
      </c>
      <c r="I13" s="96" t="s">
        <v>72</v>
      </c>
      <c r="J13" s="82"/>
      <c r="L13" t="s">
        <v>81</v>
      </c>
      <c r="N13" s="60">
        <f>ROUND(M9*O11,0)</f>
        <v>18406</v>
      </c>
    </row>
    <row r="14" spans="1:15" x14ac:dyDescent="0.25">
      <c r="A14" s="81"/>
      <c r="B14" s="94">
        <v>44013</v>
      </c>
      <c r="C14" s="117">
        <v>1520000</v>
      </c>
      <c r="D14" s="85" t="s">
        <v>68</v>
      </c>
      <c r="E14" s="80"/>
      <c r="F14" s="93">
        <v>2</v>
      </c>
      <c r="G14" s="94">
        <v>44348</v>
      </c>
      <c r="H14" s="95">
        <v>3000</v>
      </c>
      <c r="I14" s="96" t="s">
        <v>73</v>
      </c>
      <c r="J14" s="82"/>
    </row>
    <row r="15" spans="1:15" x14ac:dyDescent="0.25">
      <c r="A15" s="81"/>
      <c r="B15" s="94">
        <v>44378</v>
      </c>
      <c r="C15" s="117">
        <v>1570000</v>
      </c>
      <c r="D15" s="85" t="s">
        <v>68</v>
      </c>
      <c r="E15" s="80"/>
      <c r="F15" s="93">
        <v>3</v>
      </c>
      <c r="G15" s="94">
        <v>44378</v>
      </c>
      <c r="H15" s="95">
        <v>7500</v>
      </c>
      <c r="I15" s="96" t="s">
        <v>73</v>
      </c>
      <c r="J15" s="82"/>
      <c r="L15" t="s">
        <v>82</v>
      </c>
      <c r="N15" s="60">
        <f>O11-N13</f>
        <v>113066</v>
      </c>
    </row>
    <row r="16" spans="1:15" x14ac:dyDescent="0.25">
      <c r="A16" s="81"/>
      <c r="B16" s="94">
        <v>44743</v>
      </c>
      <c r="C16" s="117">
        <v>1650000</v>
      </c>
      <c r="D16" s="85" t="s">
        <v>68</v>
      </c>
      <c r="E16" s="80"/>
      <c r="F16" s="93">
        <v>4</v>
      </c>
      <c r="G16" s="94">
        <v>44440</v>
      </c>
      <c r="H16" s="95">
        <v>190000</v>
      </c>
      <c r="I16" s="96" t="s">
        <v>72</v>
      </c>
      <c r="J16" s="82"/>
    </row>
    <row r="17" spans="1:18" x14ac:dyDescent="0.25">
      <c r="A17" s="81"/>
      <c r="B17" s="94">
        <v>45108</v>
      </c>
      <c r="C17" s="117">
        <v>1760000</v>
      </c>
      <c r="D17" s="85" t="s">
        <v>68</v>
      </c>
      <c r="E17" s="80"/>
      <c r="F17" s="93">
        <v>5</v>
      </c>
      <c r="G17" s="94">
        <v>44713</v>
      </c>
      <c r="H17" s="95">
        <v>2500</v>
      </c>
      <c r="I17" s="96" t="s">
        <v>73</v>
      </c>
      <c r="J17" s="82"/>
      <c r="L17" t="s">
        <v>83</v>
      </c>
    </row>
    <row r="18" spans="1:18" x14ac:dyDescent="0.25">
      <c r="A18" s="81"/>
      <c r="B18" s="94">
        <v>45474</v>
      </c>
      <c r="C18" s="117">
        <v>1870000</v>
      </c>
      <c r="D18" s="85" t="s">
        <v>68</v>
      </c>
      <c r="E18" s="80"/>
      <c r="F18" s="93">
        <v>6</v>
      </c>
      <c r="G18" s="94">
        <v>44986</v>
      </c>
      <c r="H18" s="95">
        <v>26000</v>
      </c>
      <c r="I18" s="96" t="s">
        <v>72</v>
      </c>
      <c r="J18" s="82"/>
      <c r="L18" t="s">
        <v>85</v>
      </c>
      <c r="M18" s="62">
        <f>G35</f>
        <v>36850</v>
      </c>
    </row>
    <row r="19" spans="1:18" x14ac:dyDescent="0.25">
      <c r="A19" s="81"/>
      <c r="B19" s="97">
        <v>45839</v>
      </c>
      <c r="C19" s="118">
        <v>1980000</v>
      </c>
      <c r="D19" s="89" t="s">
        <v>69</v>
      </c>
      <c r="E19" s="80"/>
      <c r="F19" s="93">
        <v>7</v>
      </c>
      <c r="G19" s="94">
        <v>45017</v>
      </c>
      <c r="H19" s="95">
        <v>6000</v>
      </c>
      <c r="I19" s="96" t="s">
        <v>72</v>
      </c>
      <c r="J19" s="82"/>
      <c r="L19" t="s">
        <v>84</v>
      </c>
      <c r="M19" s="113">
        <f>C35</f>
        <v>0.18</v>
      </c>
    </row>
    <row r="20" spans="1:18" x14ac:dyDescent="0.25">
      <c r="A20" s="81"/>
      <c r="B20" s="80"/>
      <c r="C20" s="80"/>
      <c r="D20" s="80"/>
      <c r="E20" s="80"/>
      <c r="F20" s="93">
        <v>8</v>
      </c>
      <c r="G20" s="94">
        <v>45444</v>
      </c>
      <c r="H20" s="95">
        <v>2400</v>
      </c>
      <c r="I20" s="96" t="s">
        <v>73</v>
      </c>
      <c r="J20" s="82"/>
    </row>
    <row r="21" spans="1:18" x14ac:dyDescent="0.25">
      <c r="A21" s="81"/>
      <c r="B21" s="80"/>
      <c r="C21" s="80"/>
      <c r="D21" s="80"/>
      <c r="E21" s="80"/>
      <c r="F21" s="93">
        <v>9</v>
      </c>
      <c r="G21" s="94">
        <v>45444</v>
      </c>
      <c r="H21" s="95">
        <v>3300</v>
      </c>
      <c r="I21" s="96" t="s">
        <v>73</v>
      </c>
      <c r="J21" s="82"/>
      <c r="L21" t="s">
        <v>93</v>
      </c>
      <c r="P21" s="114">
        <f>ROUND(1.1+0.0004*O11/B40,2)</f>
        <v>8.9499999999999993</v>
      </c>
    </row>
    <row r="22" spans="1:18" x14ac:dyDescent="0.25">
      <c r="A22" s="81"/>
      <c r="B22" s="80"/>
      <c r="C22" s="80"/>
      <c r="D22" s="80"/>
      <c r="E22" s="80"/>
      <c r="F22" s="90">
        <v>10</v>
      </c>
      <c r="G22" s="97">
        <v>45505</v>
      </c>
      <c r="H22" s="98">
        <v>15000</v>
      </c>
      <c r="I22" s="92" t="s">
        <v>72</v>
      </c>
      <c r="J22" s="82"/>
    </row>
    <row r="23" spans="1:18" x14ac:dyDescent="0.25">
      <c r="A23" s="81"/>
      <c r="B23" s="80"/>
      <c r="C23" s="80"/>
      <c r="D23" s="80"/>
      <c r="E23" s="80"/>
      <c r="F23" s="80"/>
      <c r="G23" s="80"/>
      <c r="H23" s="80"/>
      <c r="I23" s="80"/>
      <c r="J23" s="82"/>
      <c r="L23" t="s">
        <v>94</v>
      </c>
    </row>
    <row r="24" spans="1:18" x14ac:dyDescent="0.25">
      <c r="A24" s="81"/>
      <c r="B24" s="99">
        <v>6.25</v>
      </c>
      <c r="C24" s="100" t="s">
        <v>99</v>
      </c>
      <c r="D24" s="101"/>
      <c r="E24" s="101"/>
      <c r="F24" s="102"/>
      <c r="G24" s="80"/>
      <c r="H24" s="80"/>
      <c r="I24" s="80"/>
      <c r="J24" s="82"/>
    </row>
    <row r="25" spans="1:18" x14ac:dyDescent="0.25">
      <c r="A25" s="81"/>
      <c r="B25" s="103">
        <v>5500</v>
      </c>
      <c r="C25" s="100" t="s">
        <v>66</v>
      </c>
      <c r="D25" s="101"/>
      <c r="E25" s="101"/>
      <c r="F25" s="102"/>
      <c r="G25" s="80"/>
      <c r="H25" s="80"/>
      <c r="I25" s="80"/>
      <c r="J25" s="82"/>
      <c r="L25" s="109" t="s">
        <v>48</v>
      </c>
      <c r="M25" s="121" t="s">
        <v>50</v>
      </c>
      <c r="N25" s="110" t="s">
        <v>51</v>
      </c>
      <c r="O25" s="61" t="s">
        <v>52</v>
      </c>
      <c r="P25" s="58"/>
      <c r="Q25" s="58"/>
      <c r="R25" s="59"/>
    </row>
    <row r="26" spans="1:18" x14ac:dyDescent="0.25">
      <c r="A26" s="81"/>
      <c r="B26" s="80"/>
      <c r="C26" s="80"/>
      <c r="D26" s="80"/>
      <c r="E26" s="80"/>
      <c r="F26" s="80"/>
      <c r="G26" s="80"/>
      <c r="H26" s="80"/>
      <c r="I26" s="80"/>
      <c r="J26" s="82"/>
      <c r="L26" s="69">
        <f>F13</f>
        <v>1</v>
      </c>
      <c r="M26" s="70">
        <v>0</v>
      </c>
      <c r="N26" s="119">
        <v>0</v>
      </c>
      <c r="O26" s="63" t="s">
        <v>96</v>
      </c>
      <c r="R26" s="64"/>
    </row>
    <row r="27" spans="1:18" x14ac:dyDescent="0.25">
      <c r="A27" s="81"/>
      <c r="B27" s="17" t="s">
        <v>25</v>
      </c>
      <c r="C27" s="17"/>
      <c r="D27" s="17"/>
      <c r="E27" s="17"/>
      <c r="F27" s="17"/>
      <c r="G27" s="80"/>
      <c r="H27" s="80"/>
      <c r="I27" s="80"/>
      <c r="J27" s="82"/>
      <c r="L27" s="69">
        <f t="shared" ref="L27:L35" si="0">F14</f>
        <v>2</v>
      </c>
      <c r="M27" s="70">
        <v>0</v>
      </c>
      <c r="N27" s="119">
        <v>0</v>
      </c>
      <c r="O27" s="63" t="s">
        <v>96</v>
      </c>
      <c r="R27" s="64"/>
    </row>
    <row r="28" spans="1:18" x14ac:dyDescent="0.25">
      <c r="A28" s="81"/>
      <c r="B28" s="32" t="s">
        <v>14</v>
      </c>
      <c r="C28" s="33" t="s">
        <v>15</v>
      </c>
      <c r="D28" s="34" t="s">
        <v>27</v>
      </c>
      <c r="E28" s="17"/>
      <c r="F28" s="17"/>
      <c r="G28" s="80"/>
      <c r="H28" s="80"/>
      <c r="I28" s="80"/>
      <c r="J28" s="82"/>
      <c r="L28" s="69">
        <f t="shared" si="0"/>
        <v>3</v>
      </c>
      <c r="M28" s="70">
        <f>MIN($B$38,H15,$B$25)*IF(I15="Medical Only",1-70%,1)</f>
        <v>1650.0000000000002</v>
      </c>
      <c r="N28" s="119">
        <f>MIN($B$38,H15)*IF(I15="Medical Only",1-70%,1)-M28</f>
        <v>600.00000000000023</v>
      </c>
      <c r="O28" s="63" t="s">
        <v>100</v>
      </c>
      <c r="R28" s="64"/>
    </row>
    <row r="29" spans="1:18" x14ac:dyDescent="0.25">
      <c r="A29" s="81"/>
      <c r="B29" s="35">
        <v>6214</v>
      </c>
      <c r="C29" s="112">
        <v>1</v>
      </c>
      <c r="D29" s="37">
        <v>0.14000000000000001</v>
      </c>
      <c r="E29" s="17"/>
      <c r="F29" s="17"/>
      <c r="G29" s="80"/>
      <c r="H29" s="80"/>
      <c r="I29" s="80"/>
      <c r="J29" s="82"/>
      <c r="L29" s="69">
        <f t="shared" si="0"/>
        <v>4</v>
      </c>
      <c r="M29" s="70">
        <f t="shared" ref="M29:M34" si="1">MIN($B$38,H16,$B$25)*IF(I16="Medical Only",1-70%,1)</f>
        <v>5500</v>
      </c>
      <c r="N29" s="119">
        <f t="shared" ref="N29:N34" si="2">MIN($B$38,H16)*IF(I16="Medical Only",1-70%,1)-M29</f>
        <v>161500</v>
      </c>
      <c r="O29" s="63"/>
      <c r="R29" s="64"/>
    </row>
    <row r="30" spans="1:18" x14ac:dyDescent="0.25">
      <c r="A30" s="81"/>
      <c r="B30" s="35">
        <v>6216</v>
      </c>
      <c r="C30" s="36">
        <v>2.64</v>
      </c>
      <c r="D30" s="38">
        <v>0.14000000000000001</v>
      </c>
      <c r="E30" s="17"/>
      <c r="F30" s="17"/>
      <c r="G30" s="80"/>
      <c r="H30" s="80"/>
      <c r="I30" s="80"/>
      <c r="J30" s="82"/>
      <c r="L30" s="69">
        <f t="shared" si="0"/>
        <v>5</v>
      </c>
      <c r="M30" s="70">
        <f t="shared" si="1"/>
        <v>750.00000000000011</v>
      </c>
      <c r="N30" s="119">
        <f t="shared" si="2"/>
        <v>0</v>
      </c>
      <c r="O30" s="63"/>
      <c r="R30" s="64"/>
    </row>
    <row r="31" spans="1:18" x14ac:dyDescent="0.25">
      <c r="A31" s="81"/>
      <c r="B31" s="39">
        <v>6217</v>
      </c>
      <c r="C31" s="40">
        <v>1.68</v>
      </c>
      <c r="D31" s="41">
        <v>0.15</v>
      </c>
      <c r="E31" s="17"/>
      <c r="F31" s="17"/>
      <c r="G31" s="80"/>
      <c r="H31" s="80"/>
      <c r="I31" s="80"/>
      <c r="J31" s="82"/>
      <c r="L31" s="69">
        <f t="shared" si="0"/>
        <v>6</v>
      </c>
      <c r="M31" s="70">
        <f t="shared" si="1"/>
        <v>5500</v>
      </c>
      <c r="N31" s="119">
        <f t="shared" si="2"/>
        <v>20500</v>
      </c>
      <c r="O31" s="63"/>
      <c r="R31" s="64"/>
    </row>
    <row r="32" spans="1:18" x14ac:dyDescent="0.25">
      <c r="A32" s="81"/>
      <c r="B32" s="17"/>
      <c r="C32" s="17"/>
      <c r="D32" s="17"/>
      <c r="E32" s="17"/>
      <c r="F32" s="17"/>
      <c r="G32" s="80"/>
      <c r="H32" s="80"/>
      <c r="I32" s="80"/>
      <c r="J32" s="82"/>
      <c r="L32" s="69">
        <f t="shared" si="0"/>
        <v>7</v>
      </c>
      <c r="M32" s="70">
        <f t="shared" si="1"/>
        <v>5500</v>
      </c>
      <c r="N32" s="119">
        <f t="shared" si="2"/>
        <v>500</v>
      </c>
      <c r="O32" s="63"/>
      <c r="R32" s="64"/>
    </row>
    <row r="33" spans="1:18" x14ac:dyDescent="0.25">
      <c r="A33" s="81"/>
      <c r="B33" s="33" t="s">
        <v>16</v>
      </c>
      <c r="C33" s="34" t="s">
        <v>34</v>
      </c>
      <c r="D33" s="17"/>
      <c r="E33" s="80"/>
      <c r="F33" s="33" t="s">
        <v>16</v>
      </c>
      <c r="G33" s="34" t="s">
        <v>38</v>
      </c>
      <c r="H33" s="80"/>
      <c r="I33" s="80"/>
      <c r="J33" s="82"/>
      <c r="L33" s="69">
        <f t="shared" si="0"/>
        <v>8</v>
      </c>
      <c r="M33" s="70">
        <f t="shared" si="1"/>
        <v>720.00000000000011</v>
      </c>
      <c r="N33" s="119">
        <f t="shared" si="2"/>
        <v>0</v>
      </c>
      <c r="O33" s="63"/>
      <c r="R33" s="64"/>
    </row>
    <row r="34" spans="1:18" x14ac:dyDescent="0.25">
      <c r="A34" s="81"/>
      <c r="B34" s="36" t="s">
        <v>86</v>
      </c>
      <c r="C34" s="37">
        <v>0.17</v>
      </c>
      <c r="D34" s="17"/>
      <c r="E34" s="80"/>
      <c r="F34" s="36" t="s">
        <v>89</v>
      </c>
      <c r="G34" s="42">
        <v>33500</v>
      </c>
      <c r="H34" s="80"/>
      <c r="I34" s="80"/>
      <c r="J34" s="82"/>
      <c r="L34" s="69">
        <f t="shared" si="0"/>
        <v>9</v>
      </c>
      <c r="M34" s="70">
        <f t="shared" si="1"/>
        <v>990.00000000000011</v>
      </c>
      <c r="N34" s="119">
        <f t="shared" si="2"/>
        <v>0</v>
      </c>
      <c r="O34" s="63"/>
      <c r="R34" s="64"/>
    </row>
    <row r="35" spans="1:18" x14ac:dyDescent="0.25">
      <c r="A35" s="81"/>
      <c r="B35" s="36" t="s">
        <v>87</v>
      </c>
      <c r="C35" s="38">
        <v>0.18</v>
      </c>
      <c r="D35" s="17"/>
      <c r="E35" s="80"/>
      <c r="F35" s="36" t="s">
        <v>90</v>
      </c>
      <c r="G35" s="42">
        <v>36850</v>
      </c>
      <c r="H35" s="80"/>
      <c r="I35" s="80"/>
      <c r="J35" s="82"/>
      <c r="L35" s="69">
        <f t="shared" si="0"/>
        <v>10</v>
      </c>
      <c r="M35" s="70">
        <v>0</v>
      </c>
      <c r="N35" s="119">
        <v>0</v>
      </c>
      <c r="O35" s="65" t="s">
        <v>96</v>
      </c>
      <c r="P35" s="66"/>
      <c r="Q35" s="66"/>
      <c r="R35" s="67"/>
    </row>
    <row r="36" spans="1:18" x14ac:dyDescent="0.25">
      <c r="A36" s="81"/>
      <c r="B36" s="40" t="s">
        <v>88</v>
      </c>
      <c r="C36" s="41">
        <v>0.19</v>
      </c>
      <c r="D36" s="17"/>
      <c r="E36" s="80"/>
      <c r="F36" s="40" t="s">
        <v>91</v>
      </c>
      <c r="G36" s="43">
        <v>40200</v>
      </c>
      <c r="H36" s="80"/>
      <c r="I36" s="80"/>
      <c r="J36" s="82"/>
      <c r="L36" s="109" t="s">
        <v>11</v>
      </c>
      <c r="M36" s="122">
        <f>SUM(M26:M35)</f>
        <v>20610</v>
      </c>
      <c r="N36" s="120">
        <f>SUM(N26:N35)</f>
        <v>183100</v>
      </c>
    </row>
    <row r="37" spans="1:18" x14ac:dyDescent="0.25">
      <c r="A37" s="81"/>
      <c r="B37" s="17"/>
      <c r="C37" s="17"/>
      <c r="D37" s="17"/>
      <c r="E37" s="17"/>
      <c r="F37" s="17"/>
      <c r="G37" s="80"/>
      <c r="H37" s="80"/>
      <c r="I37" s="80"/>
      <c r="J37" s="82"/>
    </row>
    <row r="38" spans="1:18" x14ac:dyDescent="0.25">
      <c r="A38" s="81"/>
      <c r="B38" s="77">
        <v>167000</v>
      </c>
      <c r="C38" s="71" t="s">
        <v>42</v>
      </c>
      <c r="D38" s="104"/>
      <c r="E38" s="72"/>
      <c r="F38" s="17"/>
      <c r="G38" s="80"/>
      <c r="H38" s="80"/>
      <c r="I38" s="80"/>
      <c r="J38" s="82"/>
    </row>
    <row r="39" spans="1:18" x14ac:dyDescent="0.25">
      <c r="A39" s="81"/>
      <c r="B39" s="78">
        <v>334000</v>
      </c>
      <c r="C39" s="73" t="s">
        <v>43</v>
      </c>
      <c r="D39" s="80"/>
      <c r="E39" s="74"/>
      <c r="F39" s="17"/>
      <c r="G39" s="80"/>
      <c r="H39" s="80"/>
      <c r="I39" s="80"/>
      <c r="J39" s="82"/>
    </row>
    <row r="40" spans="1:18" x14ac:dyDescent="0.25">
      <c r="A40" s="81"/>
      <c r="B40" s="40">
        <v>6.7</v>
      </c>
      <c r="C40" s="75" t="s">
        <v>17</v>
      </c>
      <c r="D40" s="105"/>
      <c r="E40" s="76"/>
      <c r="F40" s="17"/>
      <c r="G40" s="80"/>
      <c r="H40" s="80"/>
      <c r="I40" s="80"/>
      <c r="J40" s="82"/>
    </row>
    <row r="41" spans="1:18" ht="15.75" thickBot="1" x14ac:dyDescent="0.3">
      <c r="A41" s="106"/>
      <c r="B41" s="107"/>
      <c r="C41" s="107"/>
      <c r="D41" s="107"/>
      <c r="E41" s="107"/>
      <c r="F41" s="107"/>
      <c r="G41" s="107"/>
      <c r="H41" s="107"/>
      <c r="I41" s="107"/>
      <c r="J41" s="108"/>
      <c r="L41" t="s">
        <v>97</v>
      </c>
      <c r="N41">
        <f>ROUND(MIN(P21,(M36+(1-M19)*N15+M18+M19*N36)/(N13+(1-M19)*N15+M18+M19*N15)),2)</f>
        <v>1.0900000000000001</v>
      </c>
    </row>
    <row r="43" spans="1:18" x14ac:dyDescent="0.25">
      <c r="L43" t="s">
        <v>98</v>
      </c>
      <c r="N43" s="123">
        <f>B24*L5/100</f>
        <v>311250</v>
      </c>
    </row>
    <row r="45" spans="1:18" x14ac:dyDescent="0.25">
      <c r="L45" t="s">
        <v>57</v>
      </c>
      <c r="N45" s="124">
        <f>N41*N43</f>
        <v>339262.5</v>
      </c>
    </row>
  </sheetData>
  <sortState xmlns:xlrd2="http://schemas.microsoft.com/office/spreadsheetml/2017/richdata2" ref="C13:C19">
    <sortCondition ref="C13:C19"/>
  </sortState>
  <mergeCells count="1">
    <mergeCell ref="I1:J1"/>
  </mergeCells>
  <hyperlinks>
    <hyperlink ref="I1" location="TOC!A1" display="Return to TOC" xr:uid="{8C1E4761-C790-43A4-A306-C74F1204221A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E334B-5071-405D-8D28-9DCEF70F17CD}">
  <dimension ref="A1:Q21"/>
  <sheetViews>
    <sheetView workbookViewId="0"/>
  </sheetViews>
  <sheetFormatPr defaultRowHeight="15" x14ac:dyDescent="0.25"/>
  <cols>
    <col min="1" max="1" width="14" style="7" bestFit="1" customWidth="1"/>
    <col min="2" max="2" width="9.7109375" style="7" bestFit="1" customWidth="1"/>
    <col min="3" max="3" width="12.5703125" style="7" bestFit="1" customWidth="1"/>
    <col min="4" max="4" width="10.140625" style="7" bestFit="1" customWidth="1"/>
    <col min="5" max="8" width="9.140625" style="7"/>
    <col min="9" max="9" width="4.7109375" style="7" customWidth="1"/>
    <col min="10" max="10" width="2.7109375" style="7" customWidth="1"/>
    <col min="11" max="11" width="9.7109375" style="7" customWidth="1"/>
    <col min="12" max="16384" width="9.140625" style="7"/>
  </cols>
  <sheetData>
    <row r="1" spans="1:17" x14ac:dyDescent="0.25">
      <c r="A1" s="13" t="s">
        <v>3</v>
      </c>
      <c r="B1" s="14" t="s">
        <v>13</v>
      </c>
      <c r="C1" s="14"/>
      <c r="D1" s="15"/>
      <c r="E1" s="14"/>
      <c r="F1" s="14"/>
      <c r="G1" s="14"/>
      <c r="H1" s="225" t="s">
        <v>8</v>
      </c>
      <c r="I1" s="226"/>
      <c r="J1" s="10"/>
      <c r="K1" s="6" t="s">
        <v>9</v>
      </c>
    </row>
    <row r="2" spans="1:17" x14ac:dyDescent="0.25">
      <c r="A2" s="16" t="s">
        <v>4</v>
      </c>
      <c r="B2" s="17" t="s">
        <v>105</v>
      </c>
      <c r="C2" s="17"/>
      <c r="D2" s="17"/>
      <c r="E2" s="17"/>
      <c r="F2" s="17"/>
      <c r="G2" s="17"/>
      <c r="H2" s="17"/>
      <c r="I2" s="18"/>
      <c r="J2" s="10"/>
      <c r="K2" s="7" t="s">
        <v>110</v>
      </c>
    </row>
    <row r="3" spans="1:17" x14ac:dyDescent="0.25">
      <c r="A3" s="16" t="s">
        <v>5</v>
      </c>
      <c r="B3" s="17" t="s">
        <v>101</v>
      </c>
      <c r="C3" s="17"/>
      <c r="D3" s="17"/>
      <c r="E3" s="17"/>
      <c r="F3" s="17"/>
      <c r="G3" s="17"/>
      <c r="H3" s="17"/>
      <c r="I3" s="18"/>
      <c r="J3" s="10"/>
      <c r="K3" s="7" t="s">
        <v>71</v>
      </c>
    </row>
    <row r="4" spans="1:17" x14ac:dyDescent="0.25">
      <c r="A4" s="19"/>
      <c r="B4" s="20"/>
      <c r="C4" s="20"/>
      <c r="D4" s="20"/>
      <c r="E4" s="20"/>
      <c r="F4" s="20"/>
      <c r="G4" s="20"/>
      <c r="H4" s="20"/>
      <c r="I4" s="21"/>
      <c r="J4" s="8"/>
    </row>
    <row r="5" spans="1:17" x14ac:dyDescent="0.25">
      <c r="A5" s="22" t="s">
        <v>6</v>
      </c>
      <c r="B5" s="17" t="s">
        <v>102</v>
      </c>
      <c r="C5" s="17"/>
      <c r="D5" s="17"/>
      <c r="E5" s="17"/>
      <c r="F5" s="17"/>
      <c r="G5" s="17"/>
      <c r="H5" s="17"/>
      <c r="I5" s="18"/>
      <c r="J5" s="8"/>
      <c r="K5" s="135" t="s">
        <v>64</v>
      </c>
      <c r="L5" s="140"/>
      <c r="M5" s="133"/>
      <c r="N5" s="144"/>
      <c r="O5" s="145"/>
      <c r="P5" s="145"/>
      <c r="Q5" s="146"/>
    </row>
    <row r="6" spans="1:17" x14ac:dyDescent="0.25">
      <c r="A6" s="23"/>
      <c r="B6" s="17" t="s">
        <v>103</v>
      </c>
      <c r="C6" s="17"/>
      <c r="D6" s="17"/>
      <c r="E6" s="17"/>
      <c r="F6" s="17"/>
      <c r="G6" s="17"/>
      <c r="H6" s="17"/>
      <c r="I6" s="18"/>
      <c r="K6" s="136" t="s">
        <v>67</v>
      </c>
      <c r="L6" s="136" t="s">
        <v>50</v>
      </c>
      <c r="M6" s="30" t="s">
        <v>51</v>
      </c>
      <c r="N6" s="147" t="s">
        <v>52</v>
      </c>
      <c r="O6" s="148"/>
      <c r="P6" s="148"/>
      <c r="Q6" s="149"/>
    </row>
    <row r="7" spans="1:17" x14ac:dyDescent="0.25">
      <c r="A7" s="23"/>
      <c r="B7" s="17" t="s">
        <v>104</v>
      </c>
      <c r="C7" s="17"/>
      <c r="D7" s="17"/>
      <c r="E7" s="17"/>
      <c r="F7" s="17"/>
      <c r="G7" s="17"/>
      <c r="H7" s="17"/>
      <c r="I7" s="18"/>
      <c r="K7" s="137">
        <f>B11</f>
        <v>43922</v>
      </c>
      <c r="L7" s="140">
        <v>0</v>
      </c>
      <c r="M7" s="133">
        <v>0</v>
      </c>
      <c r="N7" s="144" t="s">
        <v>114</v>
      </c>
      <c r="O7" s="145"/>
      <c r="P7" s="145"/>
      <c r="Q7" s="146"/>
    </row>
    <row r="8" spans="1:17" x14ac:dyDescent="0.25">
      <c r="A8" s="23"/>
      <c r="B8" s="17"/>
      <c r="C8" s="17"/>
      <c r="D8" s="17"/>
      <c r="E8" s="17"/>
      <c r="F8" s="17"/>
      <c r="G8" s="17"/>
      <c r="H8" s="17"/>
      <c r="I8" s="18"/>
      <c r="K8" s="138">
        <f t="shared" ref="K8:K13" si="0">B12</f>
        <v>44440</v>
      </c>
      <c r="L8" s="141">
        <f>MIN($F$11,D12)*IF(C12="Medical Only",1-70%,1)</f>
        <v>5000</v>
      </c>
      <c r="M8" s="134">
        <f>MIN($F$12,D12)*IF(C12="Medical Only",1-70%,1)-L8</f>
        <v>31000</v>
      </c>
      <c r="N8" s="150"/>
      <c r="Q8" s="151"/>
    </row>
    <row r="9" spans="1:17" x14ac:dyDescent="0.25">
      <c r="A9" s="23"/>
      <c r="B9" s="126" t="s">
        <v>64</v>
      </c>
      <c r="C9" s="115" t="s">
        <v>106</v>
      </c>
      <c r="D9" s="127" t="s">
        <v>165</v>
      </c>
      <c r="E9" s="17"/>
      <c r="F9" s="17"/>
      <c r="G9" s="17"/>
      <c r="H9" s="17"/>
      <c r="I9" s="18"/>
      <c r="K9" s="138">
        <f t="shared" si="0"/>
        <v>44682</v>
      </c>
      <c r="L9" s="141">
        <f t="shared" ref="L9:L12" si="1">MIN($F$11,D13)*IF(C13="Medical Only",1-70%,1)</f>
        <v>1125.0000000000002</v>
      </c>
      <c r="M9" s="134">
        <f t="shared" ref="M9:M12" si="2">MIN($F$12,D13)*IF(C13="Medical Only",1-70%,1)-L9</f>
        <v>0</v>
      </c>
      <c r="N9" s="150"/>
      <c r="Q9" s="151"/>
    </row>
    <row r="10" spans="1:17" x14ac:dyDescent="0.25">
      <c r="A10" s="23"/>
      <c r="B10" s="39" t="s">
        <v>67</v>
      </c>
      <c r="C10" s="40" t="s">
        <v>2</v>
      </c>
      <c r="D10" s="41" t="s">
        <v>65</v>
      </c>
      <c r="E10" s="17"/>
      <c r="F10" s="131" t="s">
        <v>113</v>
      </c>
      <c r="G10" s="17"/>
      <c r="H10" s="17"/>
      <c r="I10" s="18"/>
      <c r="K10" s="138">
        <f t="shared" si="0"/>
        <v>45139</v>
      </c>
      <c r="L10" s="141">
        <f t="shared" si="1"/>
        <v>5000</v>
      </c>
      <c r="M10" s="134">
        <f t="shared" si="2"/>
        <v>52000</v>
      </c>
      <c r="N10" s="150"/>
      <c r="Q10" s="151"/>
    </row>
    <row r="11" spans="1:17" x14ac:dyDescent="0.25">
      <c r="A11" s="23"/>
      <c r="B11" s="128">
        <v>43922</v>
      </c>
      <c r="C11" s="36" t="s">
        <v>73</v>
      </c>
      <c r="D11" s="49">
        <v>45000</v>
      </c>
      <c r="E11" s="17"/>
      <c r="F11" s="125">
        <v>5000</v>
      </c>
      <c r="G11" s="17" t="s">
        <v>111</v>
      </c>
      <c r="H11" s="17"/>
      <c r="I11" s="18"/>
      <c r="K11" s="138">
        <f t="shared" si="0"/>
        <v>45352</v>
      </c>
      <c r="L11" s="141">
        <f t="shared" si="1"/>
        <v>5000</v>
      </c>
      <c r="M11" s="134">
        <f t="shared" si="2"/>
        <v>23000</v>
      </c>
      <c r="N11" s="150"/>
      <c r="Q11" s="151"/>
    </row>
    <row r="12" spans="1:17" x14ac:dyDescent="0.25">
      <c r="A12" s="23"/>
      <c r="B12" s="128">
        <v>44440</v>
      </c>
      <c r="C12" s="36" t="s">
        <v>72</v>
      </c>
      <c r="D12" s="49">
        <v>36000</v>
      </c>
      <c r="E12" s="17"/>
      <c r="F12" s="125">
        <v>167000</v>
      </c>
      <c r="G12" s="17" t="s">
        <v>112</v>
      </c>
      <c r="H12" s="17"/>
      <c r="I12" s="18"/>
      <c r="K12" s="138">
        <f t="shared" si="0"/>
        <v>45444</v>
      </c>
      <c r="L12" s="141">
        <f t="shared" si="1"/>
        <v>1500.0000000000002</v>
      </c>
      <c r="M12" s="134">
        <f t="shared" si="2"/>
        <v>5400.0000000000009</v>
      </c>
      <c r="N12" s="150"/>
      <c r="Q12" s="151"/>
    </row>
    <row r="13" spans="1:17" x14ac:dyDescent="0.25">
      <c r="A13" s="23"/>
      <c r="B13" s="128">
        <v>44682</v>
      </c>
      <c r="C13" s="36" t="s">
        <v>73</v>
      </c>
      <c r="D13" s="49">
        <v>3750</v>
      </c>
      <c r="E13" s="17"/>
      <c r="F13" s="17"/>
      <c r="G13" s="17"/>
      <c r="H13" s="17"/>
      <c r="I13" s="18"/>
      <c r="K13" s="139">
        <f t="shared" si="0"/>
        <v>45566</v>
      </c>
      <c r="L13" s="136">
        <v>0</v>
      </c>
      <c r="M13" s="30">
        <v>0</v>
      </c>
      <c r="N13" s="147" t="s">
        <v>114</v>
      </c>
      <c r="O13" s="148"/>
      <c r="P13" s="148"/>
      <c r="Q13" s="149"/>
    </row>
    <row r="14" spans="1:17" x14ac:dyDescent="0.25">
      <c r="A14" s="23"/>
      <c r="B14" s="128">
        <v>45139</v>
      </c>
      <c r="C14" s="36" t="s">
        <v>72</v>
      </c>
      <c r="D14" s="49">
        <v>57000</v>
      </c>
      <c r="E14" s="17"/>
      <c r="F14" s="17"/>
      <c r="G14" s="17"/>
      <c r="H14" s="17"/>
      <c r="I14" s="18"/>
      <c r="K14" s="132"/>
      <c r="L14" s="10"/>
      <c r="M14" s="10"/>
    </row>
    <row r="15" spans="1:17" x14ac:dyDescent="0.25">
      <c r="A15" s="23"/>
      <c r="B15" s="128">
        <v>45352</v>
      </c>
      <c r="C15" s="36" t="s">
        <v>72</v>
      </c>
      <c r="D15" s="49">
        <v>28000</v>
      </c>
      <c r="E15" s="17"/>
      <c r="F15" s="17"/>
      <c r="G15" s="17"/>
      <c r="H15" s="17"/>
      <c r="I15" s="18"/>
      <c r="K15" s="11" t="s">
        <v>11</v>
      </c>
      <c r="L15" s="142">
        <f>SUM(L7:L13)</f>
        <v>17625</v>
      </c>
      <c r="M15" s="143">
        <f>SUM(M7:M13)</f>
        <v>111400</v>
      </c>
    </row>
    <row r="16" spans="1:17" x14ac:dyDescent="0.25">
      <c r="A16" s="23"/>
      <c r="B16" s="128">
        <v>45444</v>
      </c>
      <c r="C16" s="36" t="s">
        <v>73</v>
      </c>
      <c r="D16" s="49">
        <v>23000</v>
      </c>
      <c r="E16" s="17"/>
      <c r="F16" s="17"/>
      <c r="G16" s="17"/>
      <c r="H16" s="17"/>
      <c r="I16" s="18"/>
    </row>
    <row r="17" spans="1:9" x14ac:dyDescent="0.25">
      <c r="A17" s="23"/>
      <c r="B17" s="129">
        <v>45566</v>
      </c>
      <c r="C17" s="40" t="s">
        <v>72</v>
      </c>
      <c r="D17" s="130">
        <v>2250</v>
      </c>
      <c r="E17" s="17"/>
      <c r="F17" s="17"/>
      <c r="G17" s="17"/>
      <c r="H17" s="17"/>
      <c r="I17" s="18"/>
    </row>
    <row r="18" spans="1:9" x14ac:dyDescent="0.25">
      <c r="A18" s="23"/>
      <c r="B18" s="17"/>
      <c r="C18" s="17"/>
      <c r="D18" s="17"/>
      <c r="E18" s="17"/>
      <c r="F18" s="17"/>
      <c r="G18" s="17"/>
      <c r="H18" s="17"/>
      <c r="I18" s="18"/>
    </row>
    <row r="19" spans="1:9" x14ac:dyDescent="0.25">
      <c r="A19" s="16" t="s">
        <v>7</v>
      </c>
      <c r="B19" s="17" t="s">
        <v>108</v>
      </c>
      <c r="C19" s="17"/>
      <c r="D19" s="17"/>
      <c r="E19" s="17"/>
      <c r="F19" s="17"/>
      <c r="G19" s="17"/>
      <c r="H19" s="17"/>
      <c r="I19" s="18"/>
    </row>
    <row r="20" spans="1:9" x14ac:dyDescent="0.25">
      <c r="A20" s="23"/>
      <c r="B20" s="17" t="s">
        <v>109</v>
      </c>
      <c r="C20" s="17"/>
      <c r="D20" s="17"/>
      <c r="E20" s="17"/>
      <c r="F20" s="17"/>
      <c r="G20" s="17"/>
      <c r="H20" s="17"/>
      <c r="I20" s="18"/>
    </row>
    <row r="21" spans="1:9" ht="15.75" thickBot="1" x14ac:dyDescent="0.3">
      <c r="A21" s="44"/>
      <c r="B21" s="24"/>
      <c r="C21" s="24"/>
      <c r="D21" s="24"/>
      <c r="E21" s="24"/>
      <c r="F21" s="24"/>
      <c r="G21" s="24"/>
      <c r="H21" s="24"/>
      <c r="I21" s="25"/>
    </row>
  </sheetData>
  <mergeCells count="1">
    <mergeCell ref="H1:I1"/>
  </mergeCells>
  <hyperlinks>
    <hyperlink ref="H1" location="TOC!A1" display="Return to TOC" xr:uid="{1AA4C6FE-67E3-48BC-A05F-61CB2F828A7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F4204-14CF-44B4-999C-B3FAAA03104E}">
  <dimension ref="A1:N43"/>
  <sheetViews>
    <sheetView workbookViewId="0"/>
  </sheetViews>
  <sheetFormatPr defaultRowHeight="15" x14ac:dyDescent="0.25"/>
  <cols>
    <col min="1" max="1" width="14" bestFit="1" customWidth="1"/>
    <col min="3" max="3" width="10.85546875" bestFit="1" customWidth="1"/>
    <col min="4" max="4" width="12.5703125" bestFit="1" customWidth="1"/>
    <col min="5" max="5" width="8.85546875" bestFit="1" customWidth="1"/>
    <col min="6" max="6" width="17" customWidth="1"/>
    <col min="8" max="8" width="4.5703125" customWidth="1"/>
    <col min="9" max="9" width="2.7109375" customWidth="1"/>
    <col min="11" max="11" width="13.42578125" bestFit="1" customWidth="1"/>
  </cols>
  <sheetData>
    <row r="1" spans="1:14" x14ac:dyDescent="0.25">
      <c r="A1" s="13" t="s">
        <v>3</v>
      </c>
      <c r="B1" s="14" t="s">
        <v>13</v>
      </c>
      <c r="C1" s="14"/>
      <c r="D1" s="15"/>
      <c r="E1" s="14"/>
      <c r="F1" s="14"/>
      <c r="G1" s="225" t="s">
        <v>8</v>
      </c>
      <c r="H1" s="226"/>
      <c r="I1" s="10"/>
      <c r="J1" s="6" t="s">
        <v>9</v>
      </c>
    </row>
    <row r="2" spans="1:14" x14ac:dyDescent="0.25">
      <c r="A2" s="16" t="s">
        <v>4</v>
      </c>
      <c r="B2" s="17" t="s">
        <v>115</v>
      </c>
      <c r="C2" s="17"/>
      <c r="D2" s="17"/>
      <c r="E2" s="17"/>
      <c r="F2" s="17"/>
      <c r="G2" s="17"/>
      <c r="H2" s="18"/>
      <c r="I2" s="10"/>
      <c r="J2" t="s">
        <v>110</v>
      </c>
    </row>
    <row r="3" spans="1:14" x14ac:dyDescent="0.25">
      <c r="A3" s="16" t="s">
        <v>5</v>
      </c>
      <c r="B3" s="17" t="s">
        <v>116</v>
      </c>
      <c r="C3" s="17"/>
      <c r="D3" s="17"/>
      <c r="E3" s="17"/>
      <c r="F3" s="17"/>
      <c r="G3" s="17"/>
      <c r="H3" s="18"/>
      <c r="I3" s="10"/>
      <c r="J3" t="s">
        <v>129</v>
      </c>
    </row>
    <row r="4" spans="1:14" x14ac:dyDescent="0.25">
      <c r="A4" s="19"/>
      <c r="B4" s="20"/>
      <c r="C4" s="20"/>
      <c r="D4" s="20"/>
      <c r="E4" s="20"/>
      <c r="F4" s="20"/>
      <c r="G4" s="20"/>
      <c r="H4" s="21"/>
      <c r="I4" s="8"/>
    </row>
    <row r="5" spans="1:14" x14ac:dyDescent="0.25">
      <c r="A5" s="22" t="s">
        <v>6</v>
      </c>
      <c r="B5" s="17" t="s">
        <v>117</v>
      </c>
      <c r="C5" s="17"/>
      <c r="D5" s="17"/>
      <c r="E5" s="17"/>
      <c r="F5" s="17"/>
      <c r="G5" s="17"/>
      <c r="H5" s="18"/>
      <c r="I5" s="8"/>
      <c r="J5" t="s">
        <v>130</v>
      </c>
    </row>
    <row r="6" spans="1:14" x14ac:dyDescent="0.25">
      <c r="A6" s="23"/>
      <c r="B6" s="17" t="s">
        <v>118</v>
      </c>
      <c r="C6" s="17"/>
      <c r="D6" s="17"/>
      <c r="E6" s="17"/>
      <c r="F6" s="17"/>
      <c r="G6" s="17"/>
      <c r="H6" s="18"/>
      <c r="I6" s="7"/>
    </row>
    <row r="7" spans="1:14" x14ac:dyDescent="0.25">
      <c r="A7" s="81"/>
      <c r="B7" s="80"/>
      <c r="C7" s="80"/>
      <c r="D7" s="80"/>
      <c r="E7" s="80"/>
      <c r="F7" s="80"/>
      <c r="G7" s="80"/>
      <c r="H7" s="82"/>
      <c r="J7" s="109" t="s">
        <v>119</v>
      </c>
      <c r="K7" s="121" t="s">
        <v>15</v>
      </c>
      <c r="L7" s="110" t="s">
        <v>27</v>
      </c>
    </row>
    <row r="8" spans="1:14" x14ac:dyDescent="0.25">
      <c r="A8" s="81"/>
      <c r="B8" s="115" t="s">
        <v>119</v>
      </c>
      <c r="C8" s="83"/>
      <c r="D8" s="80"/>
      <c r="E8" s="80"/>
      <c r="F8" s="80"/>
      <c r="G8" s="80"/>
      <c r="H8" s="82"/>
      <c r="J8" s="69">
        <f>B10</f>
        <v>4665</v>
      </c>
      <c r="K8" s="158">
        <f>C26</f>
        <v>3.74</v>
      </c>
      <c r="L8" s="152">
        <f>D26</f>
        <v>0.16</v>
      </c>
    </row>
    <row r="9" spans="1:14" x14ac:dyDescent="0.25">
      <c r="A9" s="81"/>
      <c r="B9" s="40" t="s">
        <v>120</v>
      </c>
      <c r="C9" s="89" t="s">
        <v>63</v>
      </c>
      <c r="D9" s="80"/>
      <c r="E9" s="80"/>
      <c r="F9" s="80"/>
      <c r="G9" s="80"/>
      <c r="H9" s="82"/>
      <c r="J9" s="68">
        <f>B11</f>
        <v>7710</v>
      </c>
      <c r="K9" s="159">
        <f>C27</f>
        <v>1.21</v>
      </c>
      <c r="L9" s="153">
        <f>D27</f>
        <v>0.15</v>
      </c>
    </row>
    <row r="10" spans="1:14" x14ac:dyDescent="0.25">
      <c r="A10" s="81"/>
      <c r="B10" s="116">
        <v>4665</v>
      </c>
      <c r="C10" s="160">
        <v>5000000</v>
      </c>
      <c r="D10" s="80"/>
      <c r="E10" s="80"/>
      <c r="F10" s="80"/>
      <c r="G10" s="80"/>
      <c r="H10" s="82"/>
    </row>
    <row r="11" spans="1:14" x14ac:dyDescent="0.25">
      <c r="A11" s="81"/>
      <c r="B11" s="91">
        <v>7710</v>
      </c>
      <c r="C11" s="161">
        <v>3000000</v>
      </c>
      <c r="D11" s="80"/>
      <c r="E11" s="80"/>
      <c r="F11" s="80"/>
      <c r="G11" s="80"/>
      <c r="H11" s="82"/>
      <c r="J11" s="121" t="s">
        <v>127</v>
      </c>
      <c r="K11" s="110" t="s">
        <v>131</v>
      </c>
      <c r="L11" s="121" t="s">
        <v>133</v>
      </c>
      <c r="M11" s="110" t="s">
        <v>134</v>
      </c>
    </row>
    <row r="12" spans="1:14" x14ac:dyDescent="0.25">
      <c r="A12" s="81"/>
      <c r="B12" s="80"/>
      <c r="C12" s="80"/>
      <c r="D12" s="80"/>
      <c r="E12" s="80"/>
      <c r="F12" s="80"/>
      <c r="G12" s="80"/>
      <c r="H12" s="82"/>
      <c r="J12" s="158">
        <f>B10</f>
        <v>4665</v>
      </c>
      <c r="K12" s="154">
        <f>C10/100*K8</f>
        <v>187000</v>
      </c>
      <c r="L12" s="156">
        <f>K12*L8</f>
        <v>29920</v>
      </c>
      <c r="M12" s="154">
        <f>K12-L12</f>
        <v>157080</v>
      </c>
      <c r="N12" s="169" t="s">
        <v>132</v>
      </c>
    </row>
    <row r="13" spans="1:14" x14ac:dyDescent="0.25">
      <c r="A13" s="81"/>
      <c r="B13" s="80" t="s">
        <v>121</v>
      </c>
      <c r="C13" s="80"/>
      <c r="D13" s="80"/>
      <c r="E13" s="80"/>
      <c r="F13" s="80"/>
      <c r="G13" s="80"/>
      <c r="H13" s="82"/>
      <c r="J13" s="159">
        <f>B11</f>
        <v>7710</v>
      </c>
      <c r="K13" s="155">
        <f>C11/100*K9</f>
        <v>36300</v>
      </c>
      <c r="L13" s="157">
        <f>K13*L9</f>
        <v>5445</v>
      </c>
      <c r="M13" s="155">
        <f>K13-L13</f>
        <v>30855</v>
      </c>
    </row>
    <row r="14" spans="1:14" x14ac:dyDescent="0.25">
      <c r="A14" s="81"/>
      <c r="B14" s="86"/>
      <c r="C14" s="87" t="s">
        <v>165</v>
      </c>
      <c r="D14" s="87"/>
      <c r="E14" s="83" t="s">
        <v>141</v>
      </c>
      <c r="F14" s="80"/>
      <c r="G14" s="80"/>
      <c r="H14" s="82"/>
      <c r="J14" s="109" t="s">
        <v>11</v>
      </c>
      <c r="K14" s="175">
        <f>SUM(K12:K13)</f>
        <v>223300</v>
      </c>
      <c r="L14" s="175">
        <f t="shared" ref="L14:M14" si="0">SUM(L12:L13)</f>
        <v>35365</v>
      </c>
      <c r="M14" s="174">
        <f t="shared" si="0"/>
        <v>187935</v>
      </c>
    </row>
    <row r="15" spans="1:14" x14ac:dyDescent="0.25">
      <c r="A15" s="81"/>
      <c r="B15" s="90" t="s">
        <v>48</v>
      </c>
      <c r="C15" s="91" t="s">
        <v>65</v>
      </c>
      <c r="D15" s="91" t="s">
        <v>73</v>
      </c>
      <c r="E15" s="89" t="s">
        <v>140</v>
      </c>
      <c r="F15" s="80"/>
      <c r="G15" s="80"/>
      <c r="H15" s="82"/>
    </row>
    <row r="16" spans="1:14" x14ac:dyDescent="0.25">
      <c r="A16" s="81"/>
      <c r="B16" s="93">
        <v>1</v>
      </c>
      <c r="C16" s="117">
        <v>15000</v>
      </c>
      <c r="D16" s="116" t="s">
        <v>122</v>
      </c>
      <c r="E16" s="85" t="s">
        <v>123</v>
      </c>
      <c r="F16" s="80"/>
      <c r="G16" s="80"/>
      <c r="H16" s="82"/>
      <c r="J16" t="s">
        <v>150</v>
      </c>
    </row>
    <row r="17" spans="1:13" x14ac:dyDescent="0.25">
      <c r="A17" s="81"/>
      <c r="B17" s="90">
        <v>2</v>
      </c>
      <c r="C17" s="118">
        <v>400000</v>
      </c>
      <c r="D17" s="91" t="s">
        <v>123</v>
      </c>
      <c r="E17" s="89" t="s">
        <v>122</v>
      </c>
      <c r="F17" s="80"/>
      <c r="G17" s="80"/>
      <c r="H17" s="82"/>
    </row>
    <row r="18" spans="1:13" x14ac:dyDescent="0.25">
      <c r="A18" s="81"/>
      <c r="B18" s="80"/>
      <c r="C18" s="80"/>
      <c r="D18" s="80"/>
      <c r="E18" s="80"/>
      <c r="F18" s="80"/>
      <c r="G18" s="80"/>
      <c r="H18" s="82"/>
      <c r="J18" s="109" t="s">
        <v>127</v>
      </c>
      <c r="K18" s="121" t="s">
        <v>34</v>
      </c>
      <c r="L18" s="110" t="s">
        <v>38</v>
      </c>
    </row>
    <row r="19" spans="1:13" x14ac:dyDescent="0.25">
      <c r="A19" s="16" t="s">
        <v>7</v>
      </c>
      <c r="B19" s="80" t="s">
        <v>124</v>
      </c>
      <c r="C19" s="80"/>
      <c r="D19" s="80"/>
      <c r="E19" s="80"/>
      <c r="F19" s="80"/>
      <c r="G19" s="80"/>
      <c r="H19" s="82"/>
      <c r="J19" s="109" t="s">
        <v>11</v>
      </c>
      <c r="K19" s="176">
        <f>D37</f>
        <v>0.23</v>
      </c>
      <c r="L19" s="120">
        <f>G36</f>
        <v>40200</v>
      </c>
    </row>
    <row r="20" spans="1:13" x14ac:dyDescent="0.25">
      <c r="A20" s="81"/>
      <c r="B20" s="80" t="s">
        <v>125</v>
      </c>
      <c r="C20" s="80"/>
      <c r="D20" s="80"/>
      <c r="E20" s="80"/>
      <c r="F20" s="80"/>
      <c r="G20" s="80"/>
      <c r="H20" s="82"/>
    </row>
    <row r="21" spans="1:13" x14ac:dyDescent="0.25">
      <c r="A21" s="81"/>
      <c r="B21" s="80"/>
      <c r="C21" s="80"/>
      <c r="D21" s="80"/>
      <c r="E21" s="80"/>
      <c r="F21" s="80"/>
      <c r="G21" s="80"/>
      <c r="H21" s="82"/>
      <c r="J21" t="s">
        <v>147</v>
      </c>
    </row>
    <row r="22" spans="1:13" x14ac:dyDescent="0.25">
      <c r="A22" s="81"/>
      <c r="B22" s="80" t="s">
        <v>126</v>
      </c>
      <c r="C22" s="80"/>
      <c r="D22" s="80"/>
      <c r="E22" s="80"/>
      <c r="F22" s="80"/>
      <c r="G22" s="80"/>
      <c r="H22" s="82"/>
    </row>
    <row r="23" spans="1:13" x14ac:dyDescent="0.25">
      <c r="A23" s="81"/>
      <c r="B23" s="80"/>
      <c r="C23" s="80"/>
      <c r="D23" s="80"/>
      <c r="E23" s="80"/>
      <c r="F23" s="80"/>
      <c r="G23" s="80"/>
      <c r="H23" s="82"/>
      <c r="J23" s="109" t="s">
        <v>48</v>
      </c>
      <c r="K23" s="121" t="s">
        <v>50</v>
      </c>
      <c r="L23" s="110" t="s">
        <v>51</v>
      </c>
    </row>
    <row r="24" spans="1:13" x14ac:dyDescent="0.25">
      <c r="A24" s="81"/>
      <c r="B24" s="86" t="s">
        <v>127</v>
      </c>
      <c r="C24" s="87"/>
      <c r="D24" s="83"/>
      <c r="E24" s="80"/>
      <c r="F24" s="80"/>
      <c r="G24" s="80"/>
      <c r="H24" s="82"/>
      <c r="J24" s="69">
        <v>1</v>
      </c>
      <c r="K24" s="156">
        <f>MIN(C16,$B$42)*IF(D16="Yes",1-70%,1)*IF(E16="Yes",2,1)</f>
        <v>1875.0000000000002</v>
      </c>
      <c r="L24" s="154">
        <f>MIN(IF(E16="No",$B$40,$B$41),C16)*IF(D16="Yes",1-70%,1)-K24</f>
        <v>2625.0000000000009</v>
      </c>
    </row>
    <row r="25" spans="1:13" x14ac:dyDescent="0.25">
      <c r="A25" s="81"/>
      <c r="B25" s="90" t="s">
        <v>120</v>
      </c>
      <c r="C25" s="91" t="s">
        <v>15</v>
      </c>
      <c r="D25" s="89" t="s">
        <v>27</v>
      </c>
      <c r="E25" s="80"/>
      <c r="F25" s="80"/>
      <c r="G25" s="80"/>
      <c r="H25" s="82"/>
      <c r="J25" s="68">
        <v>2</v>
      </c>
      <c r="K25" s="157">
        <f>MIN(C17,$B$42)*IF(D17="Yes",1-70%,1)*IF(E17="Yes",2,1)</f>
        <v>12500</v>
      </c>
      <c r="L25" s="155">
        <f>MIN(IF(E17="No",$B$40,$B$41),C17)*IF(D17="Yes",1-70%,1)-K25</f>
        <v>321500</v>
      </c>
      <c r="M25" s="169" t="s">
        <v>149</v>
      </c>
    </row>
    <row r="26" spans="1:13" x14ac:dyDescent="0.25">
      <c r="A26" s="81"/>
      <c r="B26" s="93">
        <f>B10</f>
        <v>4665</v>
      </c>
      <c r="C26" s="116">
        <v>3.74</v>
      </c>
      <c r="D26" s="85">
        <v>0.16</v>
      </c>
      <c r="E26" s="80"/>
      <c r="F26" s="80"/>
      <c r="G26" s="80"/>
      <c r="H26" s="82"/>
      <c r="J26" s="68" t="s">
        <v>11</v>
      </c>
      <c r="K26" s="157">
        <f>SUM(K24:K25)</f>
        <v>14375</v>
      </c>
      <c r="L26" s="157">
        <f>SUM(L24:L25)</f>
        <v>324125</v>
      </c>
      <c r="M26" s="169"/>
    </row>
    <row r="27" spans="1:13" x14ac:dyDescent="0.25">
      <c r="A27" s="81"/>
      <c r="B27" s="90">
        <f>B11</f>
        <v>7710</v>
      </c>
      <c r="C27" s="91">
        <v>1.21</v>
      </c>
      <c r="D27" s="89">
        <v>0.15</v>
      </c>
      <c r="E27" s="80"/>
      <c r="F27" s="80"/>
      <c r="G27" s="80"/>
      <c r="H27" s="82"/>
    </row>
    <row r="28" spans="1:13" x14ac:dyDescent="0.25">
      <c r="A28" s="81"/>
      <c r="B28" s="80"/>
      <c r="C28" s="80"/>
      <c r="D28" s="80"/>
      <c r="E28" s="80"/>
      <c r="F28" s="80"/>
      <c r="G28" s="80"/>
      <c r="H28" s="82"/>
      <c r="J28" t="s">
        <v>154</v>
      </c>
      <c r="L28" s="113">
        <f>1.1+0.0004*(K14/B39)</f>
        <v>14.431343283582089</v>
      </c>
    </row>
    <row r="29" spans="1:13" x14ac:dyDescent="0.25">
      <c r="A29" s="81"/>
      <c r="B29" s="86"/>
      <c r="C29" s="83"/>
      <c r="D29" s="83" t="s">
        <v>34</v>
      </c>
      <c r="E29" s="80"/>
      <c r="F29" s="87"/>
      <c r="G29" s="83" t="s">
        <v>38</v>
      </c>
      <c r="H29" s="82"/>
    </row>
    <row r="30" spans="1:13" x14ac:dyDescent="0.25">
      <c r="A30" s="81"/>
      <c r="B30" s="162" t="s">
        <v>16</v>
      </c>
      <c r="C30" s="163"/>
      <c r="D30" s="89" t="s">
        <v>128</v>
      </c>
      <c r="E30" s="80"/>
      <c r="F30" s="91" t="s">
        <v>16</v>
      </c>
      <c r="G30" s="89" t="s">
        <v>128</v>
      </c>
      <c r="H30" s="82"/>
      <c r="J30" t="s">
        <v>45</v>
      </c>
      <c r="K30" s="178">
        <f>ROUND(MIN(L28,(K26+(1-K19)*M14+L19+K19*L26)/(L14+(1-K19)*M14+L19+K19*M14)),2)</f>
        <v>1.04</v>
      </c>
    </row>
    <row r="31" spans="1:13" x14ac:dyDescent="0.25">
      <c r="A31" s="81"/>
      <c r="B31" s="164" t="s">
        <v>135</v>
      </c>
      <c r="C31" s="165"/>
      <c r="D31" s="87">
        <v>0.09</v>
      </c>
      <c r="E31" s="80"/>
      <c r="F31" s="87" t="s">
        <v>142</v>
      </c>
      <c r="G31" s="177">
        <v>16750</v>
      </c>
      <c r="H31" s="82"/>
    </row>
    <row r="32" spans="1:13" x14ac:dyDescent="0.25">
      <c r="A32" s="81"/>
      <c r="B32" s="166" t="s">
        <v>136</v>
      </c>
      <c r="C32" s="167"/>
      <c r="D32" s="168">
        <v>0.1</v>
      </c>
      <c r="E32" s="80"/>
      <c r="F32" s="116" t="s">
        <v>143</v>
      </c>
      <c r="G32" s="95">
        <v>20100</v>
      </c>
      <c r="H32" s="82"/>
    </row>
    <row r="33" spans="1:8" x14ac:dyDescent="0.25">
      <c r="A33" s="81"/>
      <c r="B33" s="166" t="s">
        <v>137</v>
      </c>
      <c r="C33" s="167"/>
      <c r="D33" s="116"/>
      <c r="E33" s="80"/>
      <c r="F33" s="116" t="s">
        <v>137</v>
      </c>
      <c r="G33" s="116"/>
      <c r="H33" s="82"/>
    </row>
    <row r="34" spans="1:8" x14ac:dyDescent="0.25">
      <c r="A34" s="81"/>
      <c r="B34" s="166" t="s">
        <v>138</v>
      </c>
      <c r="C34" s="167"/>
      <c r="D34" s="116">
        <v>0.19</v>
      </c>
      <c r="E34" s="80"/>
      <c r="F34" s="116" t="s">
        <v>91</v>
      </c>
      <c r="G34" s="95">
        <v>33500</v>
      </c>
      <c r="H34" s="82"/>
    </row>
    <row r="35" spans="1:8" x14ac:dyDescent="0.25">
      <c r="A35" s="81"/>
      <c r="B35" s="166" t="s">
        <v>139</v>
      </c>
      <c r="C35" s="167"/>
      <c r="D35" s="168">
        <v>0.2</v>
      </c>
      <c r="E35" s="80"/>
      <c r="F35" s="116" t="s">
        <v>144</v>
      </c>
      <c r="G35" s="95">
        <v>36850</v>
      </c>
      <c r="H35" s="82"/>
    </row>
    <row r="36" spans="1:8" x14ac:dyDescent="0.25">
      <c r="A36" s="81"/>
      <c r="B36" s="166" t="s">
        <v>151</v>
      </c>
      <c r="C36" s="167"/>
      <c r="D36" s="116">
        <v>0.22</v>
      </c>
      <c r="E36" s="80"/>
      <c r="F36" s="91" t="s">
        <v>153</v>
      </c>
      <c r="G36" s="98">
        <v>40200</v>
      </c>
      <c r="H36" s="82"/>
    </row>
    <row r="37" spans="1:8" x14ac:dyDescent="0.25">
      <c r="A37" s="81"/>
      <c r="B37" s="162" t="s">
        <v>152</v>
      </c>
      <c r="C37" s="163"/>
      <c r="D37" s="91">
        <v>0.23</v>
      </c>
      <c r="E37" s="80"/>
      <c r="F37" s="80"/>
      <c r="G37" s="80"/>
      <c r="H37" s="82"/>
    </row>
    <row r="38" spans="1:8" x14ac:dyDescent="0.25">
      <c r="A38" s="81"/>
      <c r="B38" s="80"/>
      <c r="C38" s="80"/>
      <c r="D38" s="80"/>
      <c r="E38" s="80"/>
      <c r="F38" s="80"/>
      <c r="G38" s="80"/>
      <c r="H38" s="82"/>
    </row>
    <row r="39" spans="1:8" x14ac:dyDescent="0.25">
      <c r="A39" s="81"/>
      <c r="B39" s="87">
        <v>6.7</v>
      </c>
      <c r="C39" s="171" t="s">
        <v>17</v>
      </c>
      <c r="D39" s="104"/>
      <c r="E39" s="104"/>
      <c r="F39" s="88"/>
      <c r="G39" s="80"/>
      <c r="H39" s="82"/>
    </row>
    <row r="40" spans="1:8" x14ac:dyDescent="0.25">
      <c r="A40" s="81"/>
      <c r="B40" s="117">
        <v>167000</v>
      </c>
      <c r="C40" s="172" t="s">
        <v>145</v>
      </c>
      <c r="D40" s="80"/>
      <c r="E40" s="80"/>
      <c r="F40" s="96"/>
      <c r="G40" s="80"/>
      <c r="H40" s="82"/>
    </row>
    <row r="41" spans="1:8" x14ac:dyDescent="0.25">
      <c r="A41" s="81"/>
      <c r="B41" s="117">
        <v>334000</v>
      </c>
      <c r="C41" s="172" t="s">
        <v>146</v>
      </c>
      <c r="D41" s="80"/>
      <c r="E41" s="80"/>
      <c r="F41" s="96"/>
      <c r="G41" s="80"/>
      <c r="H41" s="82"/>
    </row>
    <row r="42" spans="1:8" x14ac:dyDescent="0.25">
      <c r="A42" s="81"/>
      <c r="B42" s="170">
        <v>6250</v>
      </c>
      <c r="C42" s="173" t="s">
        <v>148</v>
      </c>
      <c r="D42" s="105"/>
      <c r="E42" s="105"/>
      <c r="F42" s="92"/>
      <c r="G42" s="80"/>
      <c r="H42" s="82"/>
    </row>
    <row r="43" spans="1:8" ht="15.75" thickBot="1" x14ac:dyDescent="0.3">
      <c r="A43" s="106"/>
      <c r="B43" s="107"/>
      <c r="C43" s="107"/>
      <c r="D43" s="107"/>
      <c r="E43" s="107"/>
      <c r="F43" s="107"/>
      <c r="G43" s="107"/>
      <c r="H43" s="108"/>
    </row>
  </sheetData>
  <mergeCells count="1">
    <mergeCell ref="G1:H1"/>
  </mergeCells>
  <hyperlinks>
    <hyperlink ref="G1" location="TOC!A1" display="Return to TOC" xr:uid="{9C352FF4-0A77-4BC6-AD54-2CDFEE96449F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91406-7205-4138-97C8-C267C3F6FD51}">
  <dimension ref="A1:R24"/>
  <sheetViews>
    <sheetView workbookViewId="0"/>
  </sheetViews>
  <sheetFormatPr defaultRowHeight="15" x14ac:dyDescent="0.25"/>
  <cols>
    <col min="1" max="1" width="14" bestFit="1" customWidth="1"/>
    <col min="3" max="3" width="10.140625" bestFit="1" customWidth="1"/>
    <col min="8" max="8" width="11.7109375" customWidth="1"/>
    <col min="9" max="9" width="2.7109375" customWidth="1"/>
  </cols>
  <sheetData>
    <row r="1" spans="1:18" x14ac:dyDescent="0.25">
      <c r="A1" s="13" t="s">
        <v>3</v>
      </c>
      <c r="B1" s="14" t="s">
        <v>13</v>
      </c>
      <c r="C1" s="14"/>
      <c r="D1" s="15"/>
      <c r="E1" s="14"/>
      <c r="F1" s="14"/>
      <c r="G1" s="225" t="s">
        <v>8</v>
      </c>
      <c r="H1" s="226"/>
      <c r="I1" s="10"/>
      <c r="J1" s="6" t="s">
        <v>9</v>
      </c>
    </row>
    <row r="2" spans="1:18" x14ac:dyDescent="0.25">
      <c r="A2" s="16" t="s">
        <v>4</v>
      </c>
      <c r="B2" s="17" t="s">
        <v>157</v>
      </c>
      <c r="C2" s="17"/>
      <c r="D2" s="17"/>
      <c r="E2" s="17"/>
      <c r="F2" s="17"/>
      <c r="G2" s="17"/>
      <c r="H2" s="18"/>
      <c r="I2" s="10" t="s">
        <v>171</v>
      </c>
      <c r="J2" t="s">
        <v>235</v>
      </c>
    </row>
    <row r="3" spans="1:18" x14ac:dyDescent="0.25">
      <c r="A3" s="16" t="s">
        <v>5</v>
      </c>
      <c r="B3" s="17" t="s">
        <v>116</v>
      </c>
      <c r="C3" s="17"/>
      <c r="D3" s="17"/>
      <c r="E3" s="17"/>
      <c r="F3" s="17"/>
      <c r="G3" s="17"/>
      <c r="H3" s="18"/>
      <c r="I3" s="10"/>
    </row>
    <row r="4" spans="1:18" x14ac:dyDescent="0.25">
      <c r="A4" s="19"/>
      <c r="B4" s="20"/>
      <c r="C4" s="20"/>
      <c r="D4" s="20"/>
      <c r="E4" s="20"/>
      <c r="F4" s="20"/>
      <c r="G4" s="20"/>
      <c r="H4" s="21"/>
      <c r="I4" s="8"/>
      <c r="J4" s="109" t="s">
        <v>48</v>
      </c>
      <c r="K4" s="121" t="s">
        <v>50</v>
      </c>
      <c r="L4" s="110" t="s">
        <v>51</v>
      </c>
      <c r="M4" s="61" t="s">
        <v>52</v>
      </c>
      <c r="N4" s="58"/>
      <c r="O4" s="58"/>
      <c r="P4" s="58"/>
      <c r="Q4" s="58"/>
      <c r="R4" s="59"/>
    </row>
    <row r="5" spans="1:18" x14ac:dyDescent="0.25">
      <c r="A5" s="22" t="s">
        <v>6</v>
      </c>
      <c r="B5" s="17" t="s">
        <v>158</v>
      </c>
      <c r="C5" s="17"/>
      <c r="D5" s="17"/>
      <c r="E5" s="17"/>
      <c r="F5" s="17"/>
      <c r="G5" s="17"/>
      <c r="H5" s="18"/>
      <c r="I5" s="8"/>
      <c r="J5" s="69">
        <f>B10</f>
        <v>1</v>
      </c>
      <c r="K5" s="156">
        <f>MIN($B$19,E10)</f>
        <v>5000</v>
      </c>
      <c r="L5" s="154">
        <f>E10-K5</f>
        <v>1000</v>
      </c>
      <c r="M5" s="63" t="s">
        <v>169</v>
      </c>
      <c r="R5" s="64"/>
    </row>
    <row r="6" spans="1:18" x14ac:dyDescent="0.25">
      <c r="A6" s="81"/>
      <c r="B6" s="17" t="s">
        <v>159</v>
      </c>
      <c r="C6" s="80"/>
      <c r="D6" s="80"/>
      <c r="E6" s="80"/>
      <c r="F6" s="80"/>
      <c r="G6" s="80"/>
      <c r="H6" s="82"/>
      <c r="J6" s="69">
        <f>B11</f>
        <v>2</v>
      </c>
      <c r="K6" s="156">
        <f>MIN(E11,$B$19)*(1-70%)</f>
        <v>840.00000000000011</v>
      </c>
      <c r="L6" s="154">
        <f>E11*(1-70%)-K6</f>
        <v>0</v>
      </c>
      <c r="M6" s="63" t="s">
        <v>170</v>
      </c>
      <c r="R6" s="64"/>
    </row>
    <row r="7" spans="1:18" x14ac:dyDescent="0.25">
      <c r="A7" s="81"/>
      <c r="B7" s="80" t="s">
        <v>160</v>
      </c>
      <c r="C7" s="80"/>
      <c r="D7" s="80"/>
      <c r="E7" s="80"/>
      <c r="F7" s="80"/>
      <c r="G7" s="80"/>
      <c r="H7" s="82"/>
      <c r="J7" s="69">
        <f>B12</f>
        <v>3</v>
      </c>
      <c r="K7" s="156">
        <f>MIN(E12,$B$19)</f>
        <v>5000</v>
      </c>
      <c r="L7" s="154">
        <f>E12-K7</f>
        <v>13000</v>
      </c>
      <c r="M7" s="63"/>
      <c r="R7" s="64"/>
    </row>
    <row r="8" spans="1:18" x14ac:dyDescent="0.25">
      <c r="A8" s="81"/>
      <c r="B8" s="80"/>
      <c r="C8" s="80"/>
      <c r="D8" s="80"/>
      <c r="E8" s="80"/>
      <c r="F8" s="80"/>
      <c r="G8" s="80"/>
      <c r="H8" s="82"/>
      <c r="J8" s="69">
        <f>B13</f>
        <v>4</v>
      </c>
      <c r="K8" s="156">
        <f>MIN(E13,$B$19)*(1-70%)</f>
        <v>1500.0000000000002</v>
      </c>
      <c r="L8" s="154">
        <f>E13*(1-70%)-K8</f>
        <v>2100</v>
      </c>
      <c r="M8" s="63" t="s">
        <v>170</v>
      </c>
      <c r="R8" s="64"/>
    </row>
    <row r="9" spans="1:18" x14ac:dyDescent="0.25">
      <c r="A9" s="81"/>
      <c r="B9" s="179" t="s">
        <v>48</v>
      </c>
      <c r="C9" s="180" t="s">
        <v>107</v>
      </c>
      <c r="D9" s="180" t="s">
        <v>161</v>
      </c>
      <c r="E9" s="181" t="s">
        <v>11</v>
      </c>
      <c r="F9" s="80"/>
      <c r="G9" s="80"/>
      <c r="H9" s="82"/>
      <c r="J9" s="109" t="s">
        <v>11</v>
      </c>
      <c r="K9" s="175">
        <f>SUM(K5:K8)</f>
        <v>12340</v>
      </c>
      <c r="L9" s="174">
        <f>SUM(L5:L8)</f>
        <v>16100</v>
      </c>
      <c r="M9" s="61"/>
      <c r="N9" s="58"/>
      <c r="O9" s="58"/>
      <c r="P9" s="58"/>
      <c r="Q9" s="58"/>
      <c r="R9" s="59"/>
    </row>
    <row r="10" spans="1:18" x14ac:dyDescent="0.25">
      <c r="A10" s="81"/>
      <c r="B10" s="93">
        <v>1</v>
      </c>
      <c r="C10" s="117">
        <v>2000</v>
      </c>
      <c r="D10" s="117">
        <v>4000</v>
      </c>
      <c r="E10" s="160">
        <f>SUM(C10:D10)</f>
        <v>6000</v>
      </c>
      <c r="F10" s="80"/>
      <c r="G10" s="80"/>
      <c r="H10" s="82"/>
    </row>
    <row r="11" spans="1:18" x14ac:dyDescent="0.25">
      <c r="A11" s="81"/>
      <c r="B11" s="93">
        <v>2</v>
      </c>
      <c r="C11" s="117">
        <v>0</v>
      </c>
      <c r="D11" s="117">
        <v>2800</v>
      </c>
      <c r="E11" s="160">
        <f t="shared" ref="E11:E13" si="0">SUM(C11:D11)</f>
        <v>2800</v>
      </c>
      <c r="F11" s="80"/>
      <c r="G11" s="80"/>
      <c r="H11" s="82"/>
    </row>
    <row r="12" spans="1:18" x14ac:dyDescent="0.25">
      <c r="A12" s="81"/>
      <c r="B12" s="93">
        <v>3</v>
      </c>
      <c r="C12" s="117">
        <v>10000</v>
      </c>
      <c r="D12" s="117">
        <v>8000</v>
      </c>
      <c r="E12" s="160">
        <f t="shared" si="0"/>
        <v>18000</v>
      </c>
      <c r="F12" s="80"/>
      <c r="G12" s="80"/>
      <c r="H12" s="82"/>
    </row>
    <row r="13" spans="1:18" x14ac:dyDescent="0.25">
      <c r="A13" s="81"/>
      <c r="B13" s="90">
        <v>4</v>
      </c>
      <c r="C13" s="118">
        <v>0</v>
      </c>
      <c r="D13" s="118">
        <v>12000</v>
      </c>
      <c r="E13" s="161">
        <f t="shared" si="0"/>
        <v>12000</v>
      </c>
      <c r="F13" s="80"/>
      <c r="G13" s="80"/>
      <c r="H13" s="82"/>
    </row>
    <row r="14" spans="1:18" x14ac:dyDescent="0.25">
      <c r="A14" s="81"/>
      <c r="B14" s="80"/>
      <c r="C14" s="80"/>
      <c r="D14" s="80"/>
      <c r="E14" s="80"/>
      <c r="F14" s="80"/>
      <c r="G14" s="80"/>
      <c r="H14" s="82"/>
      <c r="J14" t="s">
        <v>45</v>
      </c>
      <c r="K14" s="4">
        <f>ROUND((K9+(1-B18)*B16+B17+B18*L9)/(B15+(1-B18)*B16+B17+B18*B16),2)</f>
        <v>0.95</v>
      </c>
    </row>
    <row r="15" spans="1:18" x14ac:dyDescent="0.25">
      <c r="A15" s="81"/>
      <c r="B15" s="182">
        <v>13000</v>
      </c>
      <c r="C15" s="171" t="s">
        <v>162</v>
      </c>
      <c r="D15" s="104"/>
      <c r="E15" s="88"/>
      <c r="F15" s="80"/>
      <c r="G15" s="80"/>
      <c r="H15" s="82"/>
      <c r="J15" t="s">
        <v>174</v>
      </c>
    </row>
    <row r="16" spans="1:18" x14ac:dyDescent="0.25">
      <c r="A16" s="81"/>
      <c r="B16" s="117">
        <v>50000</v>
      </c>
      <c r="C16" s="172" t="s">
        <v>163</v>
      </c>
      <c r="D16" s="80"/>
      <c r="E16" s="96"/>
      <c r="F16" s="80"/>
      <c r="G16" s="80"/>
      <c r="H16" s="82"/>
    </row>
    <row r="17" spans="1:10" x14ac:dyDescent="0.25">
      <c r="A17" s="81"/>
      <c r="B17" s="95">
        <v>100000</v>
      </c>
      <c r="C17" s="172" t="s">
        <v>38</v>
      </c>
      <c r="D17" s="80"/>
      <c r="E17" s="96"/>
      <c r="F17" s="80"/>
      <c r="G17" s="80"/>
      <c r="H17" s="82"/>
      <c r="I17" t="s">
        <v>172</v>
      </c>
      <c r="J17" t="s">
        <v>173</v>
      </c>
    </row>
    <row r="18" spans="1:10" x14ac:dyDescent="0.25">
      <c r="A18" s="81"/>
      <c r="B18" s="168">
        <v>0.2</v>
      </c>
      <c r="C18" s="172" t="s">
        <v>34</v>
      </c>
      <c r="D18" s="80"/>
      <c r="E18" s="96"/>
      <c r="F18" s="80"/>
      <c r="G18" s="80"/>
      <c r="H18" s="82"/>
      <c r="J18" t="s">
        <v>175</v>
      </c>
    </row>
    <row r="19" spans="1:10" x14ac:dyDescent="0.25">
      <c r="A19" s="81"/>
      <c r="B19" s="118">
        <v>5000</v>
      </c>
      <c r="C19" s="173" t="s">
        <v>164</v>
      </c>
      <c r="D19" s="105"/>
      <c r="E19" s="92"/>
      <c r="F19" s="80"/>
      <c r="G19" s="80"/>
      <c r="H19" s="82"/>
      <c r="J19" t="s">
        <v>176</v>
      </c>
    </row>
    <row r="20" spans="1:10" x14ac:dyDescent="0.25">
      <c r="A20" s="81"/>
      <c r="B20" s="80"/>
      <c r="C20" s="80"/>
      <c r="D20" s="80"/>
      <c r="E20" s="80"/>
      <c r="F20" s="80"/>
      <c r="G20" s="80"/>
      <c r="H20" s="82"/>
      <c r="J20" t="s">
        <v>177</v>
      </c>
    </row>
    <row r="21" spans="1:10" x14ac:dyDescent="0.25">
      <c r="A21" s="16" t="s">
        <v>7</v>
      </c>
      <c r="B21" s="80" t="s">
        <v>166</v>
      </c>
      <c r="C21" s="80"/>
      <c r="D21" s="80"/>
      <c r="E21" s="80"/>
      <c r="F21" s="80"/>
      <c r="G21" s="80"/>
      <c r="H21" s="82"/>
      <c r="J21" t="s">
        <v>178</v>
      </c>
    </row>
    <row r="22" spans="1:10" x14ac:dyDescent="0.25">
      <c r="A22" s="81"/>
      <c r="B22" s="80" t="s">
        <v>168</v>
      </c>
      <c r="C22" s="80"/>
      <c r="D22" s="80"/>
      <c r="E22" s="80"/>
      <c r="F22" s="80"/>
      <c r="G22" s="80"/>
      <c r="H22" s="82"/>
    </row>
    <row r="23" spans="1:10" x14ac:dyDescent="0.25">
      <c r="A23" s="81"/>
      <c r="B23" s="80" t="s">
        <v>167</v>
      </c>
      <c r="C23" s="80"/>
      <c r="D23" s="80"/>
      <c r="E23" s="80"/>
      <c r="F23" s="80"/>
      <c r="G23" s="80"/>
      <c r="H23" s="82"/>
    </row>
    <row r="24" spans="1:10" ht="15.75" thickBot="1" x14ac:dyDescent="0.3">
      <c r="A24" s="106"/>
      <c r="B24" s="107"/>
      <c r="C24" s="107"/>
      <c r="D24" s="107"/>
      <c r="E24" s="107"/>
      <c r="F24" s="107"/>
      <c r="G24" s="107"/>
      <c r="H24" s="108"/>
    </row>
  </sheetData>
  <mergeCells count="1">
    <mergeCell ref="G1:H1"/>
  </mergeCells>
  <hyperlinks>
    <hyperlink ref="G1" location="TOC!A1" display="Return to TOC" xr:uid="{753A7E43-91C6-47CD-9E26-40A5D7B51E5F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0C6D9-1ADB-4BED-8402-47F42FB16481}">
  <dimension ref="A1:XFD51"/>
  <sheetViews>
    <sheetView workbookViewId="0"/>
  </sheetViews>
  <sheetFormatPr defaultRowHeight="15" x14ac:dyDescent="0.25"/>
  <cols>
    <col min="1" max="1" width="14" bestFit="1" customWidth="1"/>
    <col min="2" max="2" width="16.85546875" customWidth="1"/>
    <col min="3" max="3" width="10.7109375" customWidth="1"/>
    <col min="5" max="5" width="4.28515625" customWidth="1"/>
    <col min="6" max="6" width="17.5703125" customWidth="1"/>
    <col min="9" max="9" width="2.7109375" customWidth="1"/>
    <col min="10" max="10" width="11" customWidth="1"/>
  </cols>
  <sheetData>
    <row r="1" spans="1:12" x14ac:dyDescent="0.25">
      <c r="A1" s="13" t="s">
        <v>3</v>
      </c>
      <c r="B1" s="14" t="s">
        <v>13</v>
      </c>
      <c r="C1" s="14"/>
      <c r="D1" s="15"/>
      <c r="E1" s="14"/>
      <c r="F1" s="14"/>
      <c r="G1" s="225" t="s">
        <v>8</v>
      </c>
      <c r="H1" s="226"/>
      <c r="I1" s="10"/>
      <c r="J1" s="6" t="s">
        <v>9</v>
      </c>
    </row>
    <row r="2" spans="1:12" x14ac:dyDescent="0.25">
      <c r="A2" s="16" t="s">
        <v>4</v>
      </c>
      <c r="B2" s="17" t="s">
        <v>179</v>
      </c>
      <c r="C2" s="17"/>
      <c r="D2" s="17"/>
      <c r="E2" s="17"/>
      <c r="F2" s="17"/>
      <c r="G2" s="17"/>
      <c r="H2" s="18"/>
      <c r="I2" s="10"/>
      <c r="J2" t="s">
        <v>191</v>
      </c>
    </row>
    <row r="3" spans="1:12" x14ac:dyDescent="0.25">
      <c r="A3" s="16" t="s">
        <v>5</v>
      </c>
      <c r="B3" s="17" t="s">
        <v>116</v>
      </c>
      <c r="C3" s="17"/>
      <c r="D3" s="17"/>
      <c r="E3" s="17"/>
      <c r="F3" s="17"/>
      <c r="G3" s="17"/>
      <c r="H3" s="18"/>
      <c r="I3" s="10"/>
      <c r="J3" t="s">
        <v>190</v>
      </c>
    </row>
    <row r="4" spans="1:12" x14ac:dyDescent="0.25">
      <c r="A4" s="19"/>
      <c r="B4" s="20"/>
      <c r="C4" s="20"/>
      <c r="D4" s="20"/>
      <c r="E4" s="20"/>
      <c r="F4" s="20"/>
      <c r="G4" s="20"/>
      <c r="H4" s="21"/>
      <c r="I4" s="8"/>
    </row>
    <row r="5" spans="1:12" x14ac:dyDescent="0.25">
      <c r="A5" s="22" t="s">
        <v>6</v>
      </c>
      <c r="B5" s="17" t="s">
        <v>189</v>
      </c>
      <c r="C5" s="17"/>
      <c r="D5" s="17"/>
      <c r="E5" s="17"/>
      <c r="F5" s="17"/>
      <c r="G5" s="17"/>
      <c r="H5" s="18"/>
      <c r="I5" s="8"/>
      <c r="J5" s="109" t="s">
        <v>48</v>
      </c>
      <c r="K5" s="121" t="s">
        <v>50</v>
      </c>
      <c r="L5" s="110" t="s">
        <v>51</v>
      </c>
    </row>
    <row r="6" spans="1:12" x14ac:dyDescent="0.25">
      <c r="A6" s="81"/>
      <c r="B6" s="80"/>
      <c r="C6" s="80"/>
      <c r="D6" s="80"/>
      <c r="E6" s="80"/>
      <c r="F6" s="80"/>
      <c r="G6" s="80"/>
      <c r="H6" s="82"/>
      <c r="J6" s="69">
        <f>B17</f>
        <v>1</v>
      </c>
      <c r="K6" s="156">
        <f>MIN($B$10,C17)</f>
        <v>5250</v>
      </c>
      <c r="L6" s="190">
        <f>C17-K6</f>
        <v>29750</v>
      </c>
    </row>
    <row r="7" spans="1:12" x14ac:dyDescent="0.25">
      <c r="A7" s="81"/>
      <c r="B7" s="187">
        <v>45717</v>
      </c>
      <c r="C7" s="171" t="s">
        <v>180</v>
      </c>
      <c r="D7" s="104"/>
      <c r="E7" s="88"/>
      <c r="F7" s="80"/>
      <c r="G7" s="80"/>
      <c r="H7" s="82"/>
      <c r="J7" s="69">
        <f t="shared" ref="J7:J18" si="0">B18</f>
        <v>2</v>
      </c>
      <c r="K7" s="156">
        <f t="shared" ref="K7:K18" si="1">MIN($B$10,C18)</f>
        <v>5250</v>
      </c>
      <c r="L7" s="190">
        <f t="shared" ref="L7:L18" si="2">C18-K7</f>
        <v>71750</v>
      </c>
    </row>
    <row r="8" spans="1:12" x14ac:dyDescent="0.25">
      <c r="A8" s="81"/>
      <c r="B8" s="116">
        <v>5403</v>
      </c>
      <c r="C8" s="172" t="s">
        <v>181</v>
      </c>
      <c r="D8" s="80"/>
      <c r="E8" s="96"/>
      <c r="F8" s="80"/>
      <c r="G8" s="80"/>
      <c r="H8" s="82"/>
      <c r="J8" s="69">
        <f t="shared" si="0"/>
        <v>3</v>
      </c>
      <c r="K8" s="156">
        <f t="shared" si="1"/>
        <v>5250</v>
      </c>
      <c r="L8" s="190">
        <f t="shared" si="2"/>
        <v>750</v>
      </c>
    </row>
    <row r="9" spans="1:12" x14ac:dyDescent="0.25">
      <c r="A9" s="81"/>
      <c r="B9" s="117">
        <v>10000000</v>
      </c>
      <c r="C9" s="172" t="s">
        <v>225</v>
      </c>
      <c r="D9" s="80"/>
      <c r="E9" s="96"/>
      <c r="F9" s="80"/>
      <c r="G9" s="80"/>
      <c r="H9" s="82"/>
      <c r="J9" s="69">
        <f t="shared" si="0"/>
        <v>4</v>
      </c>
      <c r="K9" s="156">
        <f t="shared" si="1"/>
        <v>5250</v>
      </c>
      <c r="L9" s="190">
        <f t="shared" si="2"/>
        <v>1750</v>
      </c>
    </row>
    <row r="10" spans="1:12" x14ac:dyDescent="0.25">
      <c r="A10" s="81"/>
      <c r="B10" s="118">
        <v>5250</v>
      </c>
      <c r="C10" s="173" t="s">
        <v>164</v>
      </c>
      <c r="D10" s="105"/>
      <c r="E10" s="92"/>
      <c r="F10" s="80"/>
      <c r="G10" s="80"/>
      <c r="H10" s="82"/>
      <c r="J10" s="69">
        <f t="shared" si="0"/>
        <v>5</v>
      </c>
      <c r="K10" s="156">
        <f t="shared" si="1"/>
        <v>5250</v>
      </c>
      <c r="L10" s="190">
        <f t="shared" si="2"/>
        <v>10750</v>
      </c>
    </row>
    <row r="11" spans="1:12" x14ac:dyDescent="0.25">
      <c r="A11" s="81"/>
      <c r="B11" s="80"/>
      <c r="C11" s="80"/>
      <c r="D11" s="80"/>
      <c r="E11" s="80"/>
      <c r="F11" s="80"/>
      <c r="G11" s="80"/>
      <c r="H11" s="82"/>
      <c r="J11" s="69">
        <f t="shared" si="0"/>
        <v>6</v>
      </c>
      <c r="K11" s="156">
        <f t="shared" si="1"/>
        <v>5250</v>
      </c>
      <c r="L11" s="190">
        <f t="shared" si="2"/>
        <v>35750</v>
      </c>
    </row>
    <row r="12" spans="1:12" x14ac:dyDescent="0.25">
      <c r="A12" s="81"/>
      <c r="B12" s="80" t="s">
        <v>182</v>
      </c>
      <c r="C12" s="80"/>
      <c r="D12" s="80"/>
      <c r="E12" s="80"/>
      <c r="F12" s="80"/>
      <c r="G12" s="80"/>
      <c r="H12" s="82"/>
      <c r="J12" s="69">
        <f t="shared" si="0"/>
        <v>7</v>
      </c>
      <c r="K12" s="156">
        <f t="shared" si="1"/>
        <v>5250</v>
      </c>
      <c r="L12" s="190">
        <f t="shared" si="2"/>
        <v>9750</v>
      </c>
    </row>
    <row r="13" spans="1:12" x14ac:dyDescent="0.25">
      <c r="A13" s="81"/>
      <c r="B13" s="80"/>
      <c r="C13" s="80"/>
      <c r="D13" s="80"/>
      <c r="E13" s="80"/>
      <c r="F13" s="80"/>
      <c r="G13" s="80"/>
      <c r="H13" s="82"/>
      <c r="J13" s="69">
        <f t="shared" si="0"/>
        <v>8</v>
      </c>
      <c r="K13" s="156">
        <f t="shared" si="1"/>
        <v>5250</v>
      </c>
      <c r="L13" s="190">
        <f t="shared" si="2"/>
        <v>15750</v>
      </c>
    </row>
    <row r="14" spans="1:12" x14ac:dyDescent="0.25">
      <c r="A14" s="81"/>
      <c r="B14" s="80" t="s">
        <v>191</v>
      </c>
      <c r="C14" s="80"/>
      <c r="D14" s="80"/>
      <c r="E14" s="80"/>
      <c r="F14" s="80"/>
      <c r="G14" s="80"/>
      <c r="H14" s="82"/>
      <c r="J14" s="69">
        <f t="shared" si="0"/>
        <v>9</v>
      </c>
      <c r="K14" s="156">
        <f t="shared" si="1"/>
        <v>5250</v>
      </c>
      <c r="L14" s="190">
        <f t="shared" si="2"/>
        <v>1750</v>
      </c>
    </row>
    <row r="15" spans="1:12" x14ac:dyDescent="0.25">
      <c r="A15" s="81"/>
      <c r="B15" s="87"/>
      <c r="C15" s="83" t="s">
        <v>183</v>
      </c>
      <c r="D15" s="80"/>
      <c r="E15" s="80"/>
      <c r="F15" s="80"/>
      <c r="G15" s="80"/>
      <c r="H15" s="82"/>
      <c r="J15" s="69">
        <f t="shared" si="0"/>
        <v>10</v>
      </c>
      <c r="K15" s="156">
        <f t="shared" si="1"/>
        <v>5250</v>
      </c>
      <c r="L15" s="190">
        <f t="shared" si="2"/>
        <v>8750</v>
      </c>
    </row>
    <row r="16" spans="1:12" x14ac:dyDescent="0.25">
      <c r="A16" s="81"/>
      <c r="B16" s="91" t="s">
        <v>48</v>
      </c>
      <c r="C16" s="89" t="s">
        <v>184</v>
      </c>
      <c r="D16" s="80"/>
      <c r="E16" s="80"/>
      <c r="F16" s="80"/>
      <c r="G16" s="80"/>
      <c r="H16" s="82"/>
      <c r="J16" s="69">
        <f t="shared" si="0"/>
        <v>11</v>
      </c>
      <c r="K16" s="156">
        <f t="shared" si="1"/>
        <v>5250</v>
      </c>
      <c r="L16" s="190">
        <f t="shared" si="2"/>
        <v>21750</v>
      </c>
    </row>
    <row r="17" spans="1:12 16384:16384" x14ac:dyDescent="0.25">
      <c r="A17" s="81"/>
      <c r="B17" s="116">
        <v>1</v>
      </c>
      <c r="C17" s="185">
        <v>35000</v>
      </c>
      <c r="D17" s="80"/>
      <c r="E17" s="80"/>
      <c r="F17" s="80"/>
      <c r="G17" s="80"/>
      <c r="H17" s="82"/>
      <c r="J17" s="69">
        <f t="shared" si="0"/>
        <v>12</v>
      </c>
      <c r="K17" s="156">
        <f t="shared" si="1"/>
        <v>5250</v>
      </c>
      <c r="L17" s="190">
        <f t="shared" si="2"/>
        <v>750</v>
      </c>
    </row>
    <row r="18" spans="1:12 16384:16384" x14ac:dyDescent="0.25">
      <c r="A18" s="81"/>
      <c r="B18" s="116">
        <f>B17+1</f>
        <v>2</v>
      </c>
      <c r="C18" s="185">
        <v>77000</v>
      </c>
      <c r="D18" s="80"/>
      <c r="E18" s="80"/>
      <c r="F18" s="80"/>
      <c r="G18" s="80"/>
      <c r="H18" s="82"/>
      <c r="J18" s="68">
        <f t="shared" si="0"/>
        <v>13</v>
      </c>
      <c r="K18" s="157">
        <f t="shared" si="1"/>
        <v>5250</v>
      </c>
      <c r="L18" s="192">
        <f t="shared" si="2"/>
        <v>750</v>
      </c>
    </row>
    <row r="19" spans="1:12 16384:16384" x14ac:dyDescent="0.25">
      <c r="A19" s="81"/>
      <c r="B19" s="116">
        <f t="shared" ref="B19:B27" si="3">B18+1</f>
        <v>3</v>
      </c>
      <c r="C19" s="185">
        <v>6000</v>
      </c>
      <c r="D19" s="80"/>
      <c r="E19" s="80"/>
      <c r="F19" s="80"/>
      <c r="G19" s="80"/>
      <c r="H19" s="82"/>
      <c r="J19" s="109" t="s">
        <v>11</v>
      </c>
      <c r="K19" s="175">
        <f>SUM(K6:K18)</f>
        <v>68250</v>
      </c>
      <c r="L19" s="174">
        <f>SUM(L6:L18)</f>
        <v>209750</v>
      </c>
      <c r="XFD19" s="60"/>
    </row>
    <row r="20" spans="1:12 16384:16384" x14ac:dyDescent="0.25">
      <c r="A20" s="81"/>
      <c r="B20" s="116">
        <f t="shared" si="3"/>
        <v>4</v>
      </c>
      <c r="C20" s="185">
        <v>7000</v>
      </c>
      <c r="D20" s="80"/>
      <c r="E20" s="80"/>
      <c r="F20" s="80"/>
      <c r="G20" s="80"/>
      <c r="H20" s="82"/>
    </row>
    <row r="21" spans="1:12 16384:16384" x14ac:dyDescent="0.25">
      <c r="A21" s="81"/>
      <c r="B21" s="116">
        <f t="shared" si="3"/>
        <v>5</v>
      </c>
      <c r="C21" s="185">
        <v>16000</v>
      </c>
      <c r="D21" s="80"/>
      <c r="E21" s="80"/>
      <c r="F21" s="80"/>
      <c r="G21" s="80"/>
      <c r="H21" s="82"/>
      <c r="J21" t="s">
        <v>194</v>
      </c>
    </row>
    <row r="22" spans="1:12 16384:16384" x14ac:dyDescent="0.25">
      <c r="A22" s="81"/>
      <c r="B22" s="116">
        <f t="shared" si="3"/>
        <v>6</v>
      </c>
      <c r="C22" s="185">
        <v>41000</v>
      </c>
      <c r="D22" s="80"/>
      <c r="E22" s="80"/>
      <c r="F22" s="80"/>
      <c r="G22" s="80"/>
      <c r="H22" s="82"/>
      <c r="J22" t="s">
        <v>195</v>
      </c>
    </row>
    <row r="23" spans="1:12 16384:16384" x14ac:dyDescent="0.25">
      <c r="A23" s="81"/>
      <c r="B23" s="116">
        <f t="shared" si="3"/>
        <v>7</v>
      </c>
      <c r="C23" s="185">
        <v>15000</v>
      </c>
      <c r="D23" s="80"/>
      <c r="E23" s="80"/>
      <c r="F23" s="80"/>
      <c r="G23" s="80"/>
      <c r="H23" s="82"/>
    </row>
    <row r="24" spans="1:12 16384:16384" x14ac:dyDescent="0.25">
      <c r="A24" s="81"/>
      <c r="B24" s="116">
        <f t="shared" si="3"/>
        <v>8</v>
      </c>
      <c r="C24" s="185">
        <v>21000</v>
      </c>
      <c r="D24" s="80"/>
      <c r="E24" s="80"/>
      <c r="F24" s="80"/>
      <c r="G24" s="80"/>
      <c r="H24" s="82"/>
      <c r="J24" t="s">
        <v>197</v>
      </c>
      <c r="K24" s="60">
        <f>K19+F31+(1-70%)*F32</f>
        <v>106250</v>
      </c>
    </row>
    <row r="25" spans="1:12 16384:16384" x14ac:dyDescent="0.25">
      <c r="A25" s="81"/>
      <c r="B25" s="116">
        <f t="shared" si="3"/>
        <v>9</v>
      </c>
      <c r="C25" s="185">
        <v>7000</v>
      </c>
      <c r="D25" s="80"/>
      <c r="E25" s="80"/>
      <c r="F25" s="80"/>
      <c r="G25" s="80"/>
      <c r="H25" s="82"/>
      <c r="J25" t="s">
        <v>196</v>
      </c>
      <c r="K25" s="60">
        <f>L19</f>
        <v>209750</v>
      </c>
    </row>
    <row r="26" spans="1:12 16384:16384" x14ac:dyDescent="0.25">
      <c r="A26" s="81"/>
      <c r="B26" s="116">
        <f t="shared" si="3"/>
        <v>10</v>
      </c>
      <c r="C26" s="185">
        <v>14000</v>
      </c>
      <c r="D26" s="80"/>
      <c r="E26" s="80"/>
      <c r="F26" s="80"/>
      <c r="G26" s="80"/>
      <c r="H26" s="82"/>
    </row>
    <row r="27" spans="1:12 16384:16384" x14ac:dyDescent="0.25">
      <c r="A27" s="81"/>
      <c r="B27" s="116">
        <f t="shared" si="3"/>
        <v>11</v>
      </c>
      <c r="C27" s="185">
        <v>27000</v>
      </c>
      <c r="D27" s="80"/>
      <c r="E27" s="80"/>
      <c r="F27" s="80"/>
      <c r="G27" s="80"/>
      <c r="H27" s="82"/>
      <c r="J27" t="s">
        <v>198</v>
      </c>
    </row>
    <row r="28" spans="1:12 16384:16384" x14ac:dyDescent="0.25">
      <c r="A28" s="81"/>
      <c r="B28" s="116">
        <f>B27+1</f>
        <v>12</v>
      </c>
      <c r="C28" s="185">
        <v>6000</v>
      </c>
      <c r="D28" s="80"/>
      <c r="E28" s="80"/>
      <c r="F28" s="80"/>
      <c r="G28" s="80"/>
      <c r="H28" s="82"/>
      <c r="J28" s="109" t="s">
        <v>119</v>
      </c>
      <c r="K28" s="121" t="s">
        <v>15</v>
      </c>
      <c r="L28" s="110" t="s">
        <v>27</v>
      </c>
    </row>
    <row r="29" spans="1:12 16384:16384" x14ac:dyDescent="0.25">
      <c r="A29" s="81"/>
      <c r="B29" s="91">
        <f>B28+1</f>
        <v>13</v>
      </c>
      <c r="C29" s="186">
        <v>6000</v>
      </c>
      <c r="D29" s="80"/>
      <c r="E29" s="80"/>
      <c r="F29" s="80"/>
      <c r="G29" s="80"/>
      <c r="H29" s="82"/>
      <c r="J29" s="68">
        <f>B41</f>
        <v>5403</v>
      </c>
      <c r="K29" s="68">
        <f>C41</f>
        <v>4.0199999999999996</v>
      </c>
      <c r="L29" s="159">
        <f>D41</f>
        <v>0.14000000000000001</v>
      </c>
    </row>
    <row r="30" spans="1:12 16384:16384" x14ac:dyDescent="0.25">
      <c r="A30" s="81"/>
      <c r="B30" s="80"/>
      <c r="C30" s="80"/>
      <c r="D30" s="80"/>
      <c r="E30" s="80"/>
      <c r="F30" s="80"/>
      <c r="G30" s="80"/>
      <c r="H30" s="82"/>
    </row>
    <row r="31" spans="1:12 16384:16384" x14ac:dyDescent="0.25">
      <c r="A31" s="81"/>
      <c r="B31" s="80" t="s">
        <v>192</v>
      </c>
      <c r="C31" s="80"/>
      <c r="D31" s="80"/>
      <c r="E31" s="80"/>
      <c r="F31" s="183">
        <v>32000</v>
      </c>
      <c r="G31" s="80"/>
      <c r="H31" s="82"/>
      <c r="J31" t="s">
        <v>29</v>
      </c>
      <c r="K31" s="60">
        <f>K29*B9/100</f>
        <v>401999.99999999994</v>
      </c>
    </row>
    <row r="32" spans="1:12 16384:16384" x14ac:dyDescent="0.25">
      <c r="A32" s="81"/>
      <c r="B32" s="80" t="s">
        <v>193</v>
      </c>
      <c r="C32" s="80"/>
      <c r="D32" s="80"/>
      <c r="E32" s="80"/>
      <c r="F32" s="183">
        <v>20000</v>
      </c>
      <c r="G32" s="80"/>
      <c r="H32" s="82"/>
      <c r="J32" t="s">
        <v>31</v>
      </c>
      <c r="K32" s="60">
        <f>K31*L29</f>
        <v>56280</v>
      </c>
    </row>
    <row r="33" spans="1:13" x14ac:dyDescent="0.25">
      <c r="A33" s="81"/>
      <c r="B33" s="80"/>
      <c r="C33" s="80"/>
      <c r="D33" s="80"/>
      <c r="E33" s="80"/>
      <c r="F33" s="80"/>
      <c r="G33" s="80"/>
      <c r="H33" s="82"/>
      <c r="J33" t="s">
        <v>32</v>
      </c>
      <c r="K33" s="60">
        <f>K31-K32</f>
        <v>345719.99999999994</v>
      </c>
    </row>
    <row r="34" spans="1:13" x14ac:dyDescent="0.25">
      <c r="A34" s="16" t="s">
        <v>7</v>
      </c>
      <c r="B34" s="80" t="s">
        <v>186</v>
      </c>
      <c r="C34" s="80"/>
      <c r="D34" s="80"/>
      <c r="E34" s="80"/>
      <c r="F34" s="80"/>
      <c r="G34" s="80"/>
      <c r="H34" s="82"/>
    </row>
    <row r="35" spans="1:13" x14ac:dyDescent="0.25">
      <c r="A35" s="81"/>
      <c r="B35" s="184" t="s">
        <v>185</v>
      </c>
      <c r="C35" s="80"/>
      <c r="D35" s="80"/>
      <c r="E35" s="80"/>
      <c r="F35" s="80"/>
      <c r="G35" s="80"/>
      <c r="H35" s="82"/>
      <c r="J35" t="s">
        <v>202</v>
      </c>
    </row>
    <row r="36" spans="1:13" x14ac:dyDescent="0.25">
      <c r="A36" s="81"/>
      <c r="B36" s="80" t="s">
        <v>187</v>
      </c>
      <c r="C36" s="80"/>
      <c r="D36" s="80"/>
      <c r="E36" s="80"/>
      <c r="F36" s="80"/>
      <c r="G36" s="80"/>
      <c r="H36" s="82"/>
      <c r="J36" t="s">
        <v>85</v>
      </c>
      <c r="K36" s="62">
        <f>G46</f>
        <v>56950</v>
      </c>
    </row>
    <row r="37" spans="1:13" x14ac:dyDescent="0.25">
      <c r="A37" s="81"/>
      <c r="B37" s="80"/>
      <c r="C37" s="80"/>
      <c r="D37" s="80"/>
      <c r="E37" s="80"/>
      <c r="F37" s="80"/>
      <c r="G37" s="80"/>
      <c r="H37" s="82"/>
      <c r="J37" t="s">
        <v>84</v>
      </c>
      <c r="K37" s="113">
        <f>C44</f>
        <v>0.31</v>
      </c>
    </row>
    <row r="38" spans="1:13" x14ac:dyDescent="0.25">
      <c r="A38" s="81"/>
      <c r="B38" s="80" t="s">
        <v>188</v>
      </c>
      <c r="C38" s="80"/>
      <c r="D38" s="80"/>
      <c r="E38" s="80"/>
      <c r="F38" s="80"/>
      <c r="G38" s="80"/>
      <c r="H38" s="82"/>
    </row>
    <row r="39" spans="1:13" x14ac:dyDescent="0.25">
      <c r="A39" s="81"/>
      <c r="B39" s="80"/>
      <c r="C39" s="80"/>
      <c r="D39" s="80"/>
      <c r="E39" s="80"/>
      <c r="F39" s="80"/>
      <c r="G39" s="80"/>
      <c r="H39" s="82"/>
    </row>
    <row r="40" spans="1:13" x14ac:dyDescent="0.25">
      <c r="A40" s="81"/>
      <c r="B40" s="86" t="s">
        <v>14</v>
      </c>
      <c r="C40" s="180" t="s">
        <v>15</v>
      </c>
      <c r="D40" s="181" t="s">
        <v>27</v>
      </c>
      <c r="E40" s="80"/>
      <c r="F40" s="80"/>
      <c r="G40" s="80"/>
      <c r="H40" s="82"/>
    </row>
    <row r="41" spans="1:13" x14ac:dyDescent="0.25">
      <c r="A41" s="81"/>
      <c r="B41" s="90">
        <f>B8</f>
        <v>5403</v>
      </c>
      <c r="C41" s="91">
        <v>4.0199999999999996</v>
      </c>
      <c r="D41" s="89">
        <v>0.14000000000000001</v>
      </c>
      <c r="E41" s="80"/>
      <c r="F41" s="80"/>
      <c r="G41" s="80"/>
      <c r="H41" s="82"/>
    </row>
    <row r="42" spans="1:13" x14ac:dyDescent="0.25">
      <c r="A42" s="81"/>
      <c r="B42" s="80"/>
      <c r="C42" s="80"/>
      <c r="D42" s="80"/>
      <c r="E42" s="80"/>
      <c r="F42" s="80"/>
      <c r="G42" s="80"/>
      <c r="H42" s="82"/>
      <c r="J42" t="s">
        <v>45</v>
      </c>
      <c r="K42">
        <f>ROUND((K24+(1-K37)*K33+K36+K37*K25)/(K32+(1-K37)*K33+K36+K37*K33),2)</f>
        <v>1.02</v>
      </c>
    </row>
    <row r="43" spans="1:13" x14ac:dyDescent="0.25">
      <c r="A43" s="81"/>
      <c r="B43" s="33" t="s">
        <v>16</v>
      </c>
      <c r="C43" s="34" t="s">
        <v>34</v>
      </c>
      <c r="D43" s="17"/>
      <c r="E43" s="80"/>
      <c r="F43" s="33" t="s">
        <v>16</v>
      </c>
      <c r="G43" s="34" t="s">
        <v>38</v>
      </c>
      <c r="H43" s="82"/>
    </row>
    <row r="44" spans="1:13" x14ac:dyDescent="0.25">
      <c r="A44" s="81"/>
      <c r="B44" s="36" t="s">
        <v>37</v>
      </c>
      <c r="C44" s="37">
        <v>0.31</v>
      </c>
      <c r="D44" s="17"/>
      <c r="E44" s="80"/>
      <c r="F44" s="36" t="s">
        <v>39</v>
      </c>
      <c r="G44" s="42">
        <v>50250</v>
      </c>
      <c r="H44" s="82"/>
      <c r="J44" t="s">
        <v>203</v>
      </c>
    </row>
    <row r="45" spans="1:13" x14ac:dyDescent="0.25">
      <c r="A45" s="81"/>
      <c r="B45" s="36" t="s">
        <v>199</v>
      </c>
      <c r="C45" s="38">
        <v>0.32</v>
      </c>
      <c r="D45" s="17"/>
      <c r="E45" s="80"/>
      <c r="F45" s="36" t="s">
        <v>40</v>
      </c>
      <c r="G45" s="42">
        <v>53600</v>
      </c>
      <c r="H45" s="82"/>
      <c r="J45" t="s">
        <v>204</v>
      </c>
      <c r="M45" s="113">
        <f>1.1+0.0004*K31/B50</f>
        <v>25.099999999999998</v>
      </c>
    </row>
    <row r="46" spans="1:13" x14ac:dyDescent="0.25">
      <c r="A46" s="81"/>
      <c r="B46" s="40" t="s">
        <v>200</v>
      </c>
      <c r="C46" s="41">
        <v>0.33</v>
      </c>
      <c r="D46" s="17"/>
      <c r="E46" s="80"/>
      <c r="F46" s="40" t="s">
        <v>41</v>
      </c>
      <c r="G46" s="43">
        <v>56950</v>
      </c>
      <c r="H46" s="82"/>
    </row>
    <row r="47" spans="1:13" x14ac:dyDescent="0.25">
      <c r="A47" s="81"/>
      <c r="B47" s="17"/>
      <c r="C47" s="17"/>
      <c r="D47" s="17"/>
      <c r="E47" s="17"/>
      <c r="F47" s="17"/>
      <c r="G47" s="80"/>
      <c r="H47" s="82"/>
      <c r="J47" t="s">
        <v>45</v>
      </c>
      <c r="K47" s="194">
        <f>MIN(K42,M45)</f>
        <v>1.02</v>
      </c>
    </row>
    <row r="48" spans="1:13" x14ac:dyDescent="0.25">
      <c r="A48" s="81"/>
      <c r="B48" s="77">
        <v>167000</v>
      </c>
      <c r="C48" s="71" t="s">
        <v>42</v>
      </c>
      <c r="D48" s="104"/>
      <c r="E48" s="72"/>
      <c r="F48" s="17"/>
      <c r="G48" s="80"/>
      <c r="H48" s="82"/>
    </row>
    <row r="49" spans="1:8" x14ac:dyDescent="0.25">
      <c r="A49" s="81"/>
      <c r="B49" s="78">
        <v>334000</v>
      </c>
      <c r="C49" s="73" t="s">
        <v>43</v>
      </c>
      <c r="D49" s="80"/>
      <c r="E49" s="74"/>
      <c r="F49" s="17"/>
      <c r="G49" s="80"/>
      <c r="H49" s="82"/>
    </row>
    <row r="50" spans="1:8" x14ac:dyDescent="0.25">
      <c r="A50" s="81"/>
      <c r="B50" s="40">
        <v>6.7</v>
      </c>
      <c r="C50" s="75" t="s">
        <v>17</v>
      </c>
      <c r="D50" s="105"/>
      <c r="E50" s="76"/>
      <c r="F50" s="17"/>
      <c r="G50" s="80"/>
      <c r="H50" s="82"/>
    </row>
    <row r="51" spans="1:8" ht="15.75" thickBot="1" x14ac:dyDescent="0.3">
      <c r="A51" s="106"/>
      <c r="B51" s="107"/>
      <c r="C51" s="107"/>
      <c r="D51" s="107"/>
      <c r="E51" s="107"/>
      <c r="F51" s="107"/>
      <c r="G51" s="107"/>
      <c r="H51" s="108"/>
    </row>
  </sheetData>
  <mergeCells count="1">
    <mergeCell ref="G1:H1"/>
  </mergeCells>
  <hyperlinks>
    <hyperlink ref="G1" location="TOC!A1" display="Return to TOC" xr:uid="{63082F6C-2190-49C9-8E8C-2C48CF0807D5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AC9F5-B3D0-4D27-BCAC-6CB8F182BDA9}">
  <dimension ref="A1:O51"/>
  <sheetViews>
    <sheetView workbookViewId="0"/>
  </sheetViews>
  <sheetFormatPr defaultRowHeight="15" x14ac:dyDescent="0.25"/>
  <cols>
    <col min="1" max="1" width="14" bestFit="1" customWidth="1"/>
    <col min="2" max="2" width="15.140625" customWidth="1"/>
    <col min="3" max="3" width="10.85546875" bestFit="1" customWidth="1"/>
    <col min="4" max="4" width="9.85546875" bestFit="1" customWidth="1"/>
    <col min="5" max="5" width="12.42578125" customWidth="1"/>
    <col min="6" max="6" width="15.42578125" bestFit="1" customWidth="1"/>
    <col min="8" max="8" width="3.42578125" customWidth="1"/>
    <col min="9" max="9" width="2.7109375" customWidth="1"/>
    <col min="10" max="10" width="11.140625" customWidth="1"/>
  </cols>
  <sheetData>
    <row r="1" spans="1:12" x14ac:dyDescent="0.25">
      <c r="A1" s="13" t="s">
        <v>3</v>
      </c>
      <c r="B1" s="14" t="s">
        <v>13</v>
      </c>
      <c r="C1" s="14"/>
      <c r="D1" s="15"/>
      <c r="E1" s="14"/>
      <c r="F1" s="14"/>
      <c r="G1" s="225" t="s">
        <v>8</v>
      </c>
      <c r="H1" s="226"/>
      <c r="I1" s="10"/>
      <c r="J1" s="6" t="s">
        <v>9</v>
      </c>
    </row>
    <row r="2" spans="1:12" x14ac:dyDescent="0.25">
      <c r="A2" s="16" t="s">
        <v>4</v>
      </c>
      <c r="B2" s="17" t="s">
        <v>205</v>
      </c>
      <c r="C2" s="17"/>
      <c r="D2" s="17"/>
      <c r="E2" s="17"/>
      <c r="F2" s="17"/>
      <c r="G2" s="17"/>
      <c r="H2" s="18"/>
      <c r="I2" s="10"/>
      <c r="J2" t="s">
        <v>110</v>
      </c>
    </row>
    <row r="3" spans="1:12" x14ac:dyDescent="0.25">
      <c r="A3" s="16" t="s">
        <v>5</v>
      </c>
      <c r="B3" s="17" t="s">
        <v>19</v>
      </c>
      <c r="C3" s="17"/>
      <c r="D3" s="17"/>
      <c r="E3" s="17"/>
      <c r="F3" s="17"/>
      <c r="G3" s="17"/>
      <c r="H3" s="18"/>
      <c r="I3" s="10"/>
      <c r="J3" t="s">
        <v>221</v>
      </c>
    </row>
    <row r="4" spans="1:12" x14ac:dyDescent="0.25">
      <c r="A4" s="19"/>
      <c r="B4" s="20"/>
      <c r="C4" s="20"/>
      <c r="D4" s="20"/>
      <c r="E4" s="20"/>
      <c r="F4" s="20"/>
      <c r="G4" s="20"/>
      <c r="H4" s="21"/>
      <c r="I4" s="8"/>
    </row>
    <row r="5" spans="1:12" x14ac:dyDescent="0.25">
      <c r="A5" s="22" t="s">
        <v>6</v>
      </c>
      <c r="B5" s="17" t="s">
        <v>206</v>
      </c>
      <c r="C5" s="17"/>
      <c r="D5" s="17"/>
      <c r="E5" s="17"/>
      <c r="F5" s="17"/>
      <c r="G5" s="17"/>
      <c r="H5" s="18"/>
      <c r="I5" s="8"/>
      <c r="J5" t="s">
        <v>222</v>
      </c>
    </row>
    <row r="6" spans="1:12" x14ac:dyDescent="0.25">
      <c r="A6" s="81"/>
      <c r="B6" s="17" t="s">
        <v>207</v>
      </c>
      <c r="C6" s="80"/>
      <c r="D6" s="80"/>
      <c r="E6" s="80"/>
      <c r="F6" s="80"/>
      <c r="G6" s="80"/>
      <c r="H6" s="82"/>
      <c r="J6" s="109" t="s">
        <v>127</v>
      </c>
      <c r="K6" s="193" t="s">
        <v>15</v>
      </c>
      <c r="L6" s="110" t="s">
        <v>223</v>
      </c>
    </row>
    <row r="7" spans="1:12" x14ac:dyDescent="0.25">
      <c r="A7" s="81"/>
      <c r="B7" s="17" t="s">
        <v>208</v>
      </c>
      <c r="C7" s="80"/>
      <c r="D7" s="80"/>
      <c r="E7" s="80"/>
      <c r="F7" s="80"/>
      <c r="G7" s="80"/>
      <c r="H7" s="82"/>
      <c r="J7" s="68">
        <v>8044</v>
      </c>
      <c r="K7" s="199">
        <f>C41</f>
        <v>1.63</v>
      </c>
      <c r="L7" s="153">
        <f>D41</f>
        <v>0.17</v>
      </c>
    </row>
    <row r="8" spans="1:12" x14ac:dyDescent="0.25">
      <c r="A8" s="81"/>
      <c r="B8" s="184" t="s">
        <v>209</v>
      </c>
      <c r="C8" s="80"/>
      <c r="D8" s="80"/>
      <c r="E8" s="80"/>
      <c r="F8" s="80"/>
      <c r="G8" s="80"/>
      <c r="H8" s="82"/>
    </row>
    <row r="9" spans="1:12" x14ac:dyDescent="0.25">
      <c r="A9" s="81"/>
      <c r="B9" s="17" t="s">
        <v>210</v>
      </c>
      <c r="C9" s="80"/>
      <c r="D9" s="80"/>
      <c r="E9" s="80"/>
      <c r="F9" s="80"/>
      <c r="G9" s="80"/>
      <c r="H9" s="82"/>
      <c r="J9" t="s">
        <v>226</v>
      </c>
    </row>
    <row r="10" spans="1:12" x14ac:dyDescent="0.25">
      <c r="A10" s="81"/>
      <c r="B10" s="80"/>
      <c r="C10" s="80"/>
      <c r="D10" s="80"/>
      <c r="E10" s="80"/>
      <c r="F10" s="80"/>
      <c r="G10" s="80"/>
      <c r="H10" s="82"/>
    </row>
    <row r="11" spans="1:12" x14ac:dyDescent="0.25">
      <c r="A11" s="81"/>
      <c r="B11" s="200">
        <v>6</v>
      </c>
      <c r="C11" s="171" t="s">
        <v>211</v>
      </c>
      <c r="D11" s="104"/>
      <c r="E11" s="104"/>
      <c r="F11" s="88"/>
      <c r="G11" s="80"/>
      <c r="H11" s="82"/>
      <c r="J11" t="s">
        <v>29</v>
      </c>
      <c r="K11" s="60">
        <f>SUM(C17:C19)/100*K7</f>
        <v>73350</v>
      </c>
    </row>
    <row r="12" spans="1:12" x14ac:dyDescent="0.25">
      <c r="A12" s="81"/>
      <c r="B12" s="118">
        <v>5250</v>
      </c>
      <c r="C12" s="173" t="s">
        <v>148</v>
      </c>
      <c r="D12" s="105"/>
      <c r="E12" s="105"/>
      <c r="F12" s="92"/>
      <c r="G12" s="80"/>
      <c r="H12" s="82"/>
      <c r="J12" t="s">
        <v>31</v>
      </c>
      <c r="K12" s="60">
        <f>K11*L7</f>
        <v>12469.5</v>
      </c>
    </row>
    <row r="13" spans="1:12" x14ac:dyDescent="0.25">
      <c r="A13" s="81"/>
      <c r="B13" s="183"/>
      <c r="C13" s="80"/>
      <c r="D13" s="80"/>
      <c r="E13" s="80"/>
      <c r="F13" s="80"/>
      <c r="G13" s="80"/>
      <c r="H13" s="82"/>
      <c r="J13" t="s">
        <v>224</v>
      </c>
      <c r="K13" s="60">
        <f>K11-K12</f>
        <v>60880.5</v>
      </c>
    </row>
    <row r="14" spans="1:12" x14ac:dyDescent="0.25">
      <c r="A14" s="81"/>
      <c r="B14" s="84" t="s">
        <v>212</v>
      </c>
      <c r="C14" s="80"/>
      <c r="D14" s="80"/>
      <c r="E14" s="80"/>
      <c r="F14" s="80"/>
      <c r="G14" s="80"/>
      <c r="H14" s="82"/>
    </row>
    <row r="15" spans="1:12" x14ac:dyDescent="0.25">
      <c r="A15" s="81"/>
      <c r="B15" s="179" t="s">
        <v>213</v>
      </c>
      <c r="C15" s="198" t="s">
        <v>63</v>
      </c>
      <c r="D15" s="181" t="s">
        <v>2</v>
      </c>
      <c r="E15" s="80"/>
      <c r="F15" s="80"/>
      <c r="G15" s="80"/>
      <c r="H15" s="82"/>
      <c r="J15" t="s">
        <v>202</v>
      </c>
    </row>
    <row r="16" spans="1:12" x14ac:dyDescent="0.25">
      <c r="A16" s="81"/>
      <c r="B16" s="201">
        <v>44013</v>
      </c>
      <c r="C16" s="188">
        <v>1000000</v>
      </c>
      <c r="D16" s="85" t="s">
        <v>68</v>
      </c>
      <c r="E16" s="80"/>
      <c r="F16" s="80"/>
      <c r="G16" s="80"/>
      <c r="H16" s="82"/>
      <c r="J16" t="s">
        <v>85</v>
      </c>
      <c r="K16" s="62">
        <f>G46</f>
        <v>23450</v>
      </c>
    </row>
    <row r="17" spans="1:15" x14ac:dyDescent="0.25">
      <c r="A17" s="81"/>
      <c r="B17" s="201">
        <v>44378</v>
      </c>
      <c r="C17" s="188">
        <v>1250000</v>
      </c>
      <c r="D17" s="85" t="s">
        <v>68</v>
      </c>
      <c r="E17" s="80"/>
      <c r="F17" s="80"/>
      <c r="G17" s="80"/>
      <c r="H17" s="82"/>
      <c r="J17" t="s">
        <v>84</v>
      </c>
      <c r="K17">
        <f>C46</f>
        <v>0.13</v>
      </c>
    </row>
    <row r="18" spans="1:15" x14ac:dyDescent="0.25">
      <c r="A18" s="81"/>
      <c r="B18" s="201">
        <v>44743</v>
      </c>
      <c r="C18" s="188">
        <v>1500000</v>
      </c>
      <c r="D18" s="85" t="s">
        <v>68</v>
      </c>
      <c r="E18" s="80"/>
      <c r="F18" s="80"/>
      <c r="G18" s="80"/>
      <c r="H18" s="82"/>
    </row>
    <row r="19" spans="1:15" x14ac:dyDescent="0.25">
      <c r="A19" s="81"/>
      <c r="B19" s="201">
        <v>45108</v>
      </c>
      <c r="C19" s="188">
        <v>1750000</v>
      </c>
      <c r="D19" s="85" t="s">
        <v>68</v>
      </c>
      <c r="E19" s="80"/>
      <c r="F19" s="80"/>
      <c r="G19" s="80"/>
      <c r="H19" s="82"/>
      <c r="J19" t="s">
        <v>231</v>
      </c>
    </row>
    <row r="20" spans="1:15" x14ac:dyDescent="0.25">
      <c r="A20" s="81"/>
      <c r="B20" s="201">
        <v>45474</v>
      </c>
      <c r="C20" s="188">
        <v>2000000</v>
      </c>
      <c r="D20" s="85" t="s">
        <v>69</v>
      </c>
      <c r="E20" s="80"/>
      <c r="F20" s="80"/>
      <c r="G20" s="80"/>
      <c r="H20" s="82"/>
      <c r="J20" t="s">
        <v>232</v>
      </c>
    </row>
    <row r="21" spans="1:15" x14ac:dyDescent="0.25">
      <c r="A21" s="81"/>
      <c r="B21" s="202">
        <v>45839</v>
      </c>
      <c r="C21" s="203">
        <v>2500000</v>
      </c>
      <c r="D21" s="89" t="s">
        <v>69</v>
      </c>
      <c r="E21" s="80"/>
      <c r="F21" s="80"/>
      <c r="G21" s="80"/>
      <c r="H21" s="82"/>
    </row>
    <row r="22" spans="1:15" x14ac:dyDescent="0.25">
      <c r="A22" s="81"/>
      <c r="B22" s="80"/>
      <c r="C22" s="80"/>
      <c r="D22" s="80"/>
      <c r="E22" s="80"/>
      <c r="F22" s="80"/>
      <c r="G22" s="80"/>
      <c r="H22" s="82"/>
      <c r="J22" s="109" t="s">
        <v>106</v>
      </c>
      <c r="K22" s="121" t="s">
        <v>50</v>
      </c>
      <c r="L22" s="110" t="s">
        <v>51</v>
      </c>
      <c r="M22" s="58" t="s">
        <v>52</v>
      </c>
      <c r="N22" s="58"/>
      <c r="O22" s="59"/>
    </row>
    <row r="23" spans="1:15" x14ac:dyDescent="0.25">
      <c r="A23" s="81"/>
      <c r="B23" s="84" t="s">
        <v>214</v>
      </c>
      <c r="C23" s="80"/>
      <c r="D23" s="80"/>
      <c r="E23" s="80"/>
      <c r="F23" s="80"/>
      <c r="G23" s="80"/>
      <c r="H23" s="82"/>
      <c r="J23" s="69">
        <f>B25</f>
        <v>1</v>
      </c>
      <c r="K23" s="158">
        <v>0</v>
      </c>
      <c r="L23" s="152">
        <v>0</v>
      </c>
      <c r="M23" s="195" t="s">
        <v>96</v>
      </c>
      <c r="N23" s="196"/>
      <c r="O23" s="197"/>
    </row>
    <row r="24" spans="1:15" x14ac:dyDescent="0.25">
      <c r="A24" s="81"/>
      <c r="B24" s="179" t="s">
        <v>106</v>
      </c>
      <c r="C24" s="180" t="s">
        <v>215</v>
      </c>
      <c r="D24" s="180" t="s">
        <v>65</v>
      </c>
      <c r="E24" s="100" t="s">
        <v>216</v>
      </c>
      <c r="F24" s="101"/>
      <c r="G24" s="102"/>
      <c r="H24" s="82"/>
      <c r="J24" s="69">
        <f t="shared" ref="J24:J32" si="0">B26</f>
        <v>2</v>
      </c>
      <c r="K24" s="158">
        <v>0</v>
      </c>
      <c r="L24" s="152">
        <v>0</v>
      </c>
      <c r="M24" s="63" t="s">
        <v>96</v>
      </c>
      <c r="O24" s="64"/>
    </row>
    <row r="25" spans="1:15" x14ac:dyDescent="0.25">
      <c r="A25" s="81"/>
      <c r="B25" s="93">
        <v>1</v>
      </c>
      <c r="C25" s="94">
        <v>43678</v>
      </c>
      <c r="D25" s="117">
        <v>150000</v>
      </c>
      <c r="E25" s="172" t="s">
        <v>219</v>
      </c>
      <c r="F25" s="80"/>
      <c r="G25" s="96"/>
      <c r="H25" s="82"/>
      <c r="J25" s="69">
        <f t="shared" si="0"/>
        <v>3</v>
      </c>
      <c r="K25" s="156">
        <f>MIN($B$12,D27)*IF(E27="Medical Only",1-70%,1)</f>
        <v>1575.0000000000002</v>
      </c>
      <c r="L25" s="154">
        <f>MIN(D27,$B$48)*IF(E27="Medical Only",1-70%,1)-K25</f>
        <v>825.00000000000023</v>
      </c>
      <c r="M25" s="63"/>
      <c r="O25" s="64"/>
    </row>
    <row r="26" spans="1:15" x14ac:dyDescent="0.25">
      <c r="A26" s="81"/>
      <c r="B26" s="93">
        <f>B25+1</f>
        <v>2</v>
      </c>
      <c r="C26" s="94">
        <v>44075</v>
      </c>
      <c r="D26" s="117">
        <v>10000</v>
      </c>
      <c r="E26" s="172" t="s">
        <v>73</v>
      </c>
      <c r="F26" s="80"/>
      <c r="G26" s="96"/>
      <c r="H26" s="82"/>
      <c r="J26" s="69">
        <f t="shared" si="0"/>
        <v>4</v>
      </c>
      <c r="K26" s="156">
        <f t="shared" ref="K26:K31" si="1">MIN($B$12,D28)*IF(E28="Medical Only",1-70%,1)</f>
        <v>5250</v>
      </c>
      <c r="L26" s="154">
        <f t="shared" ref="L26:L31" si="2">MIN(D28,$B$48)*IF(E28="Medical Only",1-70%,1)-K26</f>
        <v>170250</v>
      </c>
      <c r="M26" s="63"/>
      <c r="O26" s="64"/>
    </row>
    <row r="27" spans="1:15" x14ac:dyDescent="0.25">
      <c r="A27" s="81"/>
      <c r="B27" s="93">
        <f t="shared" ref="B27:B34" si="3">B26+1</f>
        <v>3</v>
      </c>
      <c r="C27" s="94">
        <v>44378</v>
      </c>
      <c r="D27" s="117">
        <v>8000</v>
      </c>
      <c r="E27" s="172" t="s">
        <v>73</v>
      </c>
      <c r="F27" s="80"/>
      <c r="G27" s="96"/>
      <c r="H27" s="82"/>
      <c r="J27" s="69">
        <f t="shared" si="0"/>
        <v>5</v>
      </c>
      <c r="K27" s="156">
        <f>2*MIN($B$12,D29)*IF(E29="Medical Only",1-70%,1)</f>
        <v>10500</v>
      </c>
      <c r="L27" s="154">
        <f>MIN(D29,$B$49)*IF(E29="Medical Only",1-70%,1)-K27</f>
        <v>340500</v>
      </c>
      <c r="M27" s="63" t="s">
        <v>233</v>
      </c>
      <c r="O27" s="64"/>
    </row>
    <row r="28" spans="1:15" x14ac:dyDescent="0.25">
      <c r="A28" s="81"/>
      <c r="B28" s="93">
        <f t="shared" si="3"/>
        <v>4</v>
      </c>
      <c r="C28" s="94">
        <v>44682</v>
      </c>
      <c r="D28" s="117">
        <v>250000</v>
      </c>
      <c r="E28" s="172" t="s">
        <v>219</v>
      </c>
      <c r="F28" s="80"/>
      <c r="G28" s="96"/>
      <c r="H28" s="82"/>
      <c r="J28" s="69">
        <f t="shared" si="0"/>
        <v>6</v>
      </c>
      <c r="K28" s="156">
        <f t="shared" si="1"/>
        <v>1200.0000000000002</v>
      </c>
      <c r="L28" s="154">
        <f t="shared" si="2"/>
        <v>0</v>
      </c>
      <c r="M28" s="63"/>
      <c r="O28" s="64"/>
    </row>
    <row r="29" spans="1:15" x14ac:dyDescent="0.25">
      <c r="A29" s="81"/>
      <c r="B29" s="93">
        <f t="shared" si="3"/>
        <v>5</v>
      </c>
      <c r="C29" s="94">
        <v>44986</v>
      </c>
      <c r="D29" s="117">
        <v>400000</v>
      </c>
      <c r="E29" s="172" t="s">
        <v>220</v>
      </c>
      <c r="F29" s="80"/>
      <c r="G29" s="96"/>
      <c r="H29" s="82"/>
      <c r="J29" s="69">
        <f t="shared" si="0"/>
        <v>7</v>
      </c>
      <c r="K29" s="156">
        <f>MIN($B$12,D31)*IF(E31="Medical Only",1-70%,1)</f>
        <v>5250</v>
      </c>
      <c r="L29" s="154">
        <f t="shared" si="2"/>
        <v>22750</v>
      </c>
      <c r="M29" s="63"/>
      <c r="O29" s="64"/>
    </row>
    <row r="30" spans="1:15" x14ac:dyDescent="0.25">
      <c r="A30" s="81"/>
      <c r="B30" s="93">
        <f t="shared" si="3"/>
        <v>6</v>
      </c>
      <c r="C30" s="94">
        <v>45017</v>
      </c>
      <c r="D30" s="117">
        <v>4000</v>
      </c>
      <c r="E30" s="172" t="s">
        <v>73</v>
      </c>
      <c r="F30" s="80"/>
      <c r="G30" s="96"/>
      <c r="H30" s="82"/>
      <c r="J30" s="69">
        <f t="shared" si="0"/>
        <v>8</v>
      </c>
      <c r="K30" s="156">
        <f t="shared" si="1"/>
        <v>5250</v>
      </c>
      <c r="L30" s="154">
        <f t="shared" si="2"/>
        <v>6750</v>
      </c>
      <c r="M30" s="63"/>
      <c r="O30" s="64"/>
    </row>
    <row r="31" spans="1:15" x14ac:dyDescent="0.25">
      <c r="A31" s="81"/>
      <c r="B31" s="93">
        <f t="shared" si="3"/>
        <v>7</v>
      </c>
      <c r="C31" s="94">
        <v>45108</v>
      </c>
      <c r="D31" s="117">
        <v>28000</v>
      </c>
      <c r="E31" s="172" t="s">
        <v>219</v>
      </c>
      <c r="F31" s="80"/>
      <c r="G31" s="96"/>
      <c r="H31" s="82"/>
      <c r="J31" s="69">
        <f t="shared" si="0"/>
        <v>9</v>
      </c>
      <c r="K31" s="156">
        <f t="shared" si="1"/>
        <v>1575.0000000000002</v>
      </c>
      <c r="L31" s="154">
        <f t="shared" si="2"/>
        <v>1725.0000000000002</v>
      </c>
      <c r="M31" s="63"/>
      <c r="O31" s="64"/>
    </row>
    <row r="32" spans="1:15" x14ac:dyDescent="0.25">
      <c r="A32" s="81"/>
      <c r="B32" s="93">
        <f t="shared" si="3"/>
        <v>8</v>
      </c>
      <c r="C32" s="94">
        <v>45323</v>
      </c>
      <c r="D32" s="117">
        <v>12000</v>
      </c>
      <c r="E32" s="172" t="s">
        <v>219</v>
      </c>
      <c r="F32" s="80"/>
      <c r="G32" s="96"/>
      <c r="H32" s="82"/>
      <c r="J32" s="69">
        <f t="shared" si="0"/>
        <v>10</v>
      </c>
      <c r="K32" s="158">
        <v>0</v>
      </c>
      <c r="L32" s="152">
        <v>0</v>
      </c>
      <c r="M32" s="63" t="s">
        <v>96</v>
      </c>
      <c r="O32" s="64"/>
    </row>
    <row r="33" spans="1:15" x14ac:dyDescent="0.25">
      <c r="A33" s="81"/>
      <c r="B33" s="93">
        <f t="shared" si="3"/>
        <v>9</v>
      </c>
      <c r="C33" s="94">
        <v>45413</v>
      </c>
      <c r="D33" s="117">
        <v>11000</v>
      </c>
      <c r="E33" s="172" t="s">
        <v>73</v>
      </c>
      <c r="F33" s="80"/>
      <c r="G33" s="96"/>
      <c r="H33" s="82"/>
      <c r="J33" s="109" t="s">
        <v>11</v>
      </c>
      <c r="K33" s="175">
        <f>SUM(K23:K32)</f>
        <v>30600</v>
      </c>
      <c r="L33" s="174">
        <f>SUM(L23:L32)</f>
        <v>542800</v>
      </c>
      <c r="M33" s="61"/>
      <c r="N33" s="58"/>
      <c r="O33" s="59"/>
    </row>
    <row r="34" spans="1:15" x14ac:dyDescent="0.25">
      <c r="A34" s="81"/>
      <c r="B34" s="90">
        <f t="shared" si="3"/>
        <v>10</v>
      </c>
      <c r="C34" s="97">
        <v>45689</v>
      </c>
      <c r="D34" s="118">
        <v>18000</v>
      </c>
      <c r="E34" s="173" t="s">
        <v>73</v>
      </c>
      <c r="F34" s="105"/>
      <c r="G34" s="92"/>
      <c r="H34" s="82"/>
    </row>
    <row r="35" spans="1:15" x14ac:dyDescent="0.25">
      <c r="A35" s="81"/>
      <c r="B35" s="80"/>
      <c r="C35" s="80"/>
      <c r="D35" s="80"/>
      <c r="E35" s="80"/>
      <c r="F35" s="80"/>
      <c r="G35" s="80"/>
      <c r="H35" s="82"/>
      <c r="J35" s="169" t="s">
        <v>234</v>
      </c>
    </row>
    <row r="36" spans="1:15" x14ac:dyDescent="0.25">
      <c r="A36" s="16" t="s">
        <v>7</v>
      </c>
      <c r="B36" s="80" t="s">
        <v>217</v>
      </c>
      <c r="C36" s="80"/>
      <c r="D36" s="80"/>
      <c r="E36" s="80"/>
      <c r="F36" s="80"/>
      <c r="G36" s="80"/>
      <c r="H36" s="82"/>
    </row>
    <row r="37" spans="1:15" x14ac:dyDescent="0.25">
      <c r="A37" s="81"/>
      <c r="B37" s="80"/>
      <c r="C37" s="80"/>
      <c r="D37" s="80"/>
      <c r="E37" s="80"/>
      <c r="F37" s="80"/>
      <c r="G37" s="80"/>
      <c r="H37" s="82"/>
    </row>
    <row r="38" spans="1:15" x14ac:dyDescent="0.25">
      <c r="A38" s="81"/>
      <c r="B38" s="80" t="s">
        <v>218</v>
      </c>
      <c r="C38" s="80"/>
      <c r="D38" s="80"/>
      <c r="E38" s="80"/>
      <c r="F38" s="80"/>
      <c r="G38" s="80"/>
      <c r="H38" s="82"/>
    </row>
    <row r="39" spans="1:15" x14ac:dyDescent="0.25">
      <c r="A39" s="81"/>
      <c r="B39" s="80"/>
      <c r="C39" s="80"/>
      <c r="D39" s="80"/>
      <c r="E39" s="80"/>
      <c r="F39" s="80"/>
      <c r="G39" s="80"/>
      <c r="H39" s="82"/>
      <c r="J39" t="s">
        <v>201</v>
      </c>
      <c r="K39">
        <f>ROUND((K33+(1-K17)*K13+K16+K17*L33)/(K12+(1-K17)*K13+K16+K17*K13),2)</f>
        <v>1.83</v>
      </c>
    </row>
    <row r="40" spans="1:15" x14ac:dyDescent="0.25">
      <c r="A40" s="81"/>
      <c r="B40" s="179" t="s">
        <v>14</v>
      </c>
      <c r="C40" s="198" t="s">
        <v>15</v>
      </c>
      <c r="D40" s="181" t="s">
        <v>27</v>
      </c>
      <c r="E40" s="80"/>
      <c r="F40" s="80"/>
      <c r="G40" s="80"/>
      <c r="H40" s="82"/>
    </row>
    <row r="41" spans="1:15" x14ac:dyDescent="0.25">
      <c r="A41" s="81"/>
      <c r="B41" s="179">
        <v>8044</v>
      </c>
      <c r="C41" s="198">
        <v>1.63</v>
      </c>
      <c r="D41" s="181">
        <v>0.17</v>
      </c>
      <c r="E41" s="80"/>
      <c r="F41" s="80"/>
      <c r="G41" s="80"/>
      <c r="H41" s="82"/>
      <c r="J41" t="s">
        <v>236</v>
      </c>
    </row>
    <row r="42" spans="1:15" x14ac:dyDescent="0.25">
      <c r="A42" s="81"/>
      <c r="B42" s="80"/>
      <c r="C42" s="80"/>
      <c r="D42" s="80"/>
      <c r="E42" s="80"/>
      <c r="F42" s="80"/>
      <c r="G42" s="80"/>
      <c r="H42" s="82"/>
      <c r="J42" t="s">
        <v>237</v>
      </c>
      <c r="K42" s="113">
        <f>1.1+0.0004*K11/B50</f>
        <v>5.4147058823529406</v>
      </c>
    </row>
    <row r="43" spans="1:15" x14ac:dyDescent="0.25">
      <c r="A43" s="81"/>
      <c r="B43" s="33" t="s">
        <v>16</v>
      </c>
      <c r="C43" s="34" t="s">
        <v>34</v>
      </c>
      <c r="D43" s="17"/>
      <c r="E43" s="80"/>
      <c r="F43" s="33" t="s">
        <v>16</v>
      </c>
      <c r="G43" s="34" t="s">
        <v>38</v>
      </c>
      <c r="H43" s="82"/>
    </row>
    <row r="44" spans="1:15" x14ac:dyDescent="0.25">
      <c r="A44" s="81"/>
      <c r="B44" s="36" t="s">
        <v>227</v>
      </c>
      <c r="C44" s="37">
        <v>0.11</v>
      </c>
      <c r="D44" s="17"/>
      <c r="E44" s="80"/>
      <c r="F44" s="36" t="s">
        <v>142</v>
      </c>
      <c r="G44" s="42">
        <v>16750</v>
      </c>
      <c r="H44" s="82"/>
      <c r="J44" t="s">
        <v>45</v>
      </c>
      <c r="K44" s="194">
        <f>MIN(K42,K39)</f>
        <v>1.83</v>
      </c>
    </row>
    <row r="45" spans="1:15" x14ac:dyDescent="0.25">
      <c r="A45" s="81"/>
      <c r="B45" s="36" t="s">
        <v>228</v>
      </c>
      <c r="C45" s="38">
        <v>0.12</v>
      </c>
      <c r="D45" s="17"/>
      <c r="E45" s="80"/>
      <c r="F45" s="36" t="s">
        <v>143</v>
      </c>
      <c r="G45" s="42">
        <v>20100</v>
      </c>
      <c r="H45" s="82"/>
    </row>
    <row r="46" spans="1:15" x14ac:dyDescent="0.25">
      <c r="A46" s="81"/>
      <c r="B46" s="40" t="s">
        <v>229</v>
      </c>
      <c r="C46" s="41">
        <v>0.13</v>
      </c>
      <c r="D46" s="17"/>
      <c r="E46" s="80"/>
      <c r="F46" s="40" t="s">
        <v>230</v>
      </c>
      <c r="G46" s="43">
        <v>23450</v>
      </c>
      <c r="H46" s="82"/>
    </row>
    <row r="47" spans="1:15" x14ac:dyDescent="0.25">
      <c r="A47" s="81"/>
      <c r="B47" s="17"/>
      <c r="C47" s="17"/>
      <c r="D47" s="17"/>
      <c r="E47" s="17"/>
      <c r="F47" s="17"/>
      <c r="G47" s="80"/>
      <c r="H47" s="82"/>
    </row>
    <row r="48" spans="1:15" x14ac:dyDescent="0.25">
      <c r="A48" s="81"/>
      <c r="B48" s="77">
        <v>175500</v>
      </c>
      <c r="C48" s="71" t="s">
        <v>42</v>
      </c>
      <c r="D48" s="104"/>
      <c r="E48" s="72"/>
      <c r="F48" s="17"/>
      <c r="G48" s="80"/>
      <c r="H48" s="82"/>
    </row>
    <row r="49" spans="1:8" x14ac:dyDescent="0.25">
      <c r="A49" s="81"/>
      <c r="B49" s="78">
        <v>351000</v>
      </c>
      <c r="C49" s="73" t="s">
        <v>43</v>
      </c>
      <c r="D49" s="80"/>
      <c r="E49" s="74"/>
      <c r="F49" s="17"/>
      <c r="G49" s="80"/>
      <c r="H49" s="82"/>
    </row>
    <row r="50" spans="1:8" x14ac:dyDescent="0.25">
      <c r="A50" s="81"/>
      <c r="B50" s="40">
        <v>6.8</v>
      </c>
      <c r="C50" s="75" t="s">
        <v>17</v>
      </c>
      <c r="D50" s="105"/>
      <c r="E50" s="76"/>
      <c r="F50" s="17"/>
      <c r="G50" s="80"/>
      <c r="H50" s="82"/>
    </row>
    <row r="51" spans="1:8" ht="15.75" thickBot="1" x14ac:dyDescent="0.3">
      <c r="A51" s="106"/>
      <c r="B51" s="107"/>
      <c r="C51" s="107"/>
      <c r="D51" s="107"/>
      <c r="E51" s="107"/>
      <c r="F51" s="107"/>
      <c r="G51" s="107"/>
      <c r="H51" s="108"/>
    </row>
  </sheetData>
  <mergeCells count="1">
    <mergeCell ref="G1:H1"/>
  </mergeCells>
  <hyperlinks>
    <hyperlink ref="G1" location="TOC!A1" display="Return to TOC" xr:uid="{1777EE99-5A0A-436A-AA5C-9072C9866EAB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0DB45-1E0F-45AA-BFB6-10A5F47DB2C7}">
  <dimension ref="A1:M58"/>
  <sheetViews>
    <sheetView workbookViewId="0"/>
  </sheetViews>
  <sheetFormatPr defaultRowHeight="15" x14ac:dyDescent="0.25"/>
  <cols>
    <col min="1" max="1" width="14" bestFit="1" customWidth="1"/>
    <col min="2" max="2" width="15.85546875" customWidth="1"/>
    <col min="3" max="3" width="10" bestFit="1" customWidth="1"/>
    <col min="4" max="4" width="11.140625" bestFit="1" customWidth="1"/>
    <col min="5" max="5" width="15.42578125" bestFit="1" customWidth="1"/>
    <col min="6" max="6" width="6.85546875" bestFit="1" customWidth="1"/>
    <col min="8" max="8" width="5.85546875" customWidth="1"/>
    <col min="9" max="9" width="3.42578125" bestFit="1" customWidth="1"/>
    <col min="12" max="12" width="9.7109375" bestFit="1" customWidth="1"/>
  </cols>
  <sheetData>
    <row r="1" spans="1:12" x14ac:dyDescent="0.25">
      <c r="A1" s="13" t="s">
        <v>3</v>
      </c>
      <c r="B1" s="14" t="s">
        <v>13</v>
      </c>
      <c r="C1" s="14"/>
      <c r="D1" s="15"/>
      <c r="E1" s="14"/>
      <c r="F1" s="14"/>
      <c r="G1" s="225" t="s">
        <v>8</v>
      </c>
      <c r="H1" s="226"/>
      <c r="I1" s="10"/>
      <c r="J1" s="6" t="s">
        <v>9</v>
      </c>
    </row>
    <row r="2" spans="1:12" x14ac:dyDescent="0.25">
      <c r="A2" s="16" t="s">
        <v>4</v>
      </c>
      <c r="B2" s="17" t="s">
        <v>238</v>
      </c>
      <c r="C2" s="17"/>
      <c r="D2" s="17"/>
      <c r="E2" s="17"/>
      <c r="F2" s="17"/>
      <c r="G2" s="17"/>
      <c r="H2" s="18"/>
      <c r="I2" s="10" t="s">
        <v>171</v>
      </c>
      <c r="J2" t="s">
        <v>268</v>
      </c>
    </row>
    <row r="3" spans="1:12" x14ac:dyDescent="0.25">
      <c r="A3" s="16" t="s">
        <v>5</v>
      </c>
      <c r="B3" s="17" t="s">
        <v>116</v>
      </c>
      <c r="C3" s="17"/>
      <c r="D3" s="17"/>
      <c r="E3" s="17"/>
      <c r="F3" s="17"/>
      <c r="G3" s="17"/>
      <c r="H3" s="18"/>
      <c r="I3" s="10"/>
      <c r="J3" t="s">
        <v>269</v>
      </c>
    </row>
    <row r="4" spans="1:12" x14ac:dyDescent="0.25">
      <c r="A4" s="19"/>
      <c r="B4" s="20"/>
      <c r="C4" s="20"/>
      <c r="D4" s="20"/>
      <c r="E4" s="20"/>
      <c r="F4" s="20"/>
      <c r="G4" s="20"/>
      <c r="H4" s="21"/>
      <c r="I4" s="8"/>
    </row>
    <row r="5" spans="1:12" x14ac:dyDescent="0.25">
      <c r="A5" s="22" t="s">
        <v>6</v>
      </c>
      <c r="B5" s="17" t="s">
        <v>239</v>
      </c>
      <c r="C5" s="17"/>
      <c r="D5" s="17"/>
      <c r="E5" s="17"/>
      <c r="F5" s="17"/>
      <c r="G5" s="17"/>
      <c r="H5" s="18"/>
      <c r="I5" s="8"/>
      <c r="J5" t="s">
        <v>266</v>
      </c>
    </row>
    <row r="6" spans="1:12" x14ac:dyDescent="0.25">
      <c r="A6" s="81"/>
      <c r="B6" s="17" t="s">
        <v>240</v>
      </c>
      <c r="C6" s="80"/>
      <c r="D6" s="80"/>
      <c r="E6" s="80"/>
      <c r="F6" s="80"/>
      <c r="G6" s="80"/>
      <c r="H6" s="82"/>
      <c r="J6" t="s">
        <v>265</v>
      </c>
    </row>
    <row r="7" spans="1:12" x14ac:dyDescent="0.25">
      <c r="A7" s="81"/>
      <c r="B7" s="17" t="s">
        <v>241</v>
      </c>
      <c r="C7" s="80"/>
      <c r="D7" s="80"/>
      <c r="E7" s="80"/>
      <c r="F7" s="80"/>
      <c r="G7" s="80"/>
      <c r="H7" s="82"/>
      <c r="J7" t="s">
        <v>267</v>
      </c>
    </row>
    <row r="8" spans="1:12" x14ac:dyDescent="0.25">
      <c r="A8" s="81"/>
      <c r="B8" s="80"/>
      <c r="C8" s="80"/>
      <c r="D8" s="80"/>
      <c r="E8" s="80"/>
      <c r="F8" s="80"/>
      <c r="G8" s="80"/>
      <c r="H8" s="82"/>
    </row>
    <row r="9" spans="1:12" x14ac:dyDescent="0.25">
      <c r="A9" s="81"/>
      <c r="B9" s="126" t="s">
        <v>62</v>
      </c>
      <c r="C9" s="209" t="s">
        <v>242</v>
      </c>
      <c r="D9" s="164" t="s">
        <v>244</v>
      </c>
      <c r="E9" s="165"/>
      <c r="F9" s="80"/>
      <c r="G9" s="80"/>
      <c r="H9" s="82"/>
      <c r="J9" s="109" t="s">
        <v>270</v>
      </c>
      <c r="K9" s="193" t="s">
        <v>271</v>
      </c>
      <c r="L9" s="110" t="s">
        <v>272</v>
      </c>
    </row>
    <row r="10" spans="1:12" x14ac:dyDescent="0.25">
      <c r="A10" s="81"/>
      <c r="B10" s="39" t="s">
        <v>67</v>
      </c>
      <c r="C10" s="210" t="s">
        <v>243</v>
      </c>
      <c r="D10" s="180" t="s">
        <v>245</v>
      </c>
      <c r="E10" s="181" t="s">
        <v>246</v>
      </c>
      <c r="F10" s="80"/>
      <c r="G10" s="80"/>
      <c r="H10" s="82"/>
      <c r="J10" s="69" t="s">
        <v>248</v>
      </c>
      <c r="K10" s="189">
        <f>SUM(D12:D13)</f>
        <v>10000</v>
      </c>
      <c r="L10" s="154">
        <f>AVERAGE(D12:D14)</f>
        <v>4666.666666666667</v>
      </c>
    </row>
    <row r="11" spans="1:12" x14ac:dyDescent="0.25">
      <c r="A11" s="81"/>
      <c r="B11" s="211">
        <v>45292</v>
      </c>
      <c r="C11" s="209">
        <v>12</v>
      </c>
      <c r="D11" s="212">
        <v>3000</v>
      </c>
      <c r="E11" s="182">
        <v>3000</v>
      </c>
      <c r="F11" s="80"/>
      <c r="G11" s="80"/>
      <c r="H11" s="82"/>
      <c r="J11" s="68" t="s">
        <v>249</v>
      </c>
      <c r="K11" s="191">
        <f>SUM(E12:E13)</f>
        <v>9000</v>
      </c>
      <c r="L11" s="155">
        <f>AVERAGE(E12:E14)</f>
        <v>5333.333333333333</v>
      </c>
    </row>
    <row r="12" spans="1:12" x14ac:dyDescent="0.25">
      <c r="A12" s="81"/>
      <c r="B12" s="201">
        <v>44927</v>
      </c>
      <c r="C12" s="213">
        <v>12</v>
      </c>
      <c r="D12" s="214">
        <v>5000</v>
      </c>
      <c r="E12" s="117">
        <v>4000</v>
      </c>
      <c r="F12" s="80"/>
      <c r="G12" s="80"/>
      <c r="H12" s="82"/>
    </row>
    <row r="13" spans="1:12" x14ac:dyDescent="0.25">
      <c r="A13" s="81"/>
      <c r="B13" s="201">
        <v>44562</v>
      </c>
      <c r="C13" s="213">
        <v>12</v>
      </c>
      <c r="D13" s="214">
        <v>5000</v>
      </c>
      <c r="E13" s="117">
        <v>5000</v>
      </c>
      <c r="F13" s="80"/>
      <c r="G13" s="80"/>
      <c r="H13" s="82"/>
      <c r="J13" s="1" t="s">
        <v>273</v>
      </c>
    </row>
    <row r="14" spans="1:12" x14ac:dyDescent="0.25">
      <c r="A14" s="81"/>
      <c r="B14" s="201">
        <v>44197</v>
      </c>
      <c r="C14" s="213">
        <v>12</v>
      </c>
      <c r="D14" s="214">
        <v>4000</v>
      </c>
      <c r="E14" s="117">
        <v>7000</v>
      </c>
      <c r="F14" s="80"/>
      <c r="G14" s="80"/>
      <c r="H14" s="82"/>
      <c r="J14" s="1" t="s">
        <v>274</v>
      </c>
    </row>
    <row r="15" spans="1:12" x14ac:dyDescent="0.25">
      <c r="A15" s="81"/>
      <c r="B15" s="202">
        <v>43831</v>
      </c>
      <c r="C15" s="210">
        <v>12</v>
      </c>
      <c r="D15" s="215">
        <v>10000</v>
      </c>
      <c r="E15" s="118">
        <v>10000</v>
      </c>
      <c r="F15" s="80"/>
      <c r="G15" s="80"/>
      <c r="H15" s="82"/>
      <c r="J15" s="1"/>
    </row>
    <row r="16" spans="1:12" x14ac:dyDescent="0.25">
      <c r="A16" s="81"/>
      <c r="B16" s="213"/>
      <c r="C16" s="213"/>
      <c r="D16" s="213"/>
      <c r="E16" s="213"/>
      <c r="F16" s="80"/>
      <c r="G16" s="80"/>
      <c r="H16" s="82"/>
      <c r="J16" s="1" t="s">
        <v>275</v>
      </c>
    </row>
    <row r="17" spans="1:13" x14ac:dyDescent="0.25">
      <c r="A17" s="81"/>
      <c r="B17" s="216" t="s">
        <v>131</v>
      </c>
      <c r="C17" s="209"/>
      <c r="D17" s="182">
        <v>19600</v>
      </c>
      <c r="E17" s="217">
        <v>18200</v>
      </c>
      <c r="F17" s="80"/>
      <c r="G17" s="80"/>
      <c r="H17" s="82"/>
      <c r="J17" s="1" t="s">
        <v>276</v>
      </c>
    </row>
    <row r="18" spans="1:13" x14ac:dyDescent="0.25">
      <c r="A18" s="81"/>
      <c r="B18" s="218" t="s">
        <v>163</v>
      </c>
      <c r="C18" s="210"/>
      <c r="D18" s="118">
        <v>16072</v>
      </c>
      <c r="E18" s="161">
        <v>16744</v>
      </c>
      <c r="F18" s="80"/>
      <c r="G18" s="80"/>
      <c r="H18" s="82"/>
      <c r="J18" s="1"/>
    </row>
    <row r="19" spans="1:13" x14ac:dyDescent="0.25">
      <c r="A19" s="81"/>
      <c r="B19" s="80"/>
      <c r="C19" s="80"/>
      <c r="D19" s="80"/>
      <c r="E19" s="80"/>
      <c r="F19" s="80"/>
      <c r="G19" s="80"/>
      <c r="H19" s="82"/>
      <c r="I19" t="s">
        <v>172</v>
      </c>
      <c r="J19" t="s">
        <v>288</v>
      </c>
    </row>
    <row r="20" spans="1:13" x14ac:dyDescent="0.25">
      <c r="A20" s="81"/>
      <c r="B20" s="84" t="s">
        <v>214</v>
      </c>
      <c r="C20" s="80"/>
      <c r="D20" s="80"/>
      <c r="E20" s="80"/>
      <c r="F20" s="80"/>
      <c r="G20" s="80"/>
      <c r="H20" s="82"/>
    </row>
    <row r="21" spans="1:13" x14ac:dyDescent="0.25">
      <c r="A21" s="81"/>
      <c r="B21" s="179" t="s">
        <v>247</v>
      </c>
      <c r="C21" s="180" t="s">
        <v>215</v>
      </c>
      <c r="D21" s="180" t="s">
        <v>65</v>
      </c>
      <c r="E21" s="181" t="s">
        <v>216</v>
      </c>
      <c r="F21" s="80"/>
      <c r="G21" s="80"/>
      <c r="H21" s="82"/>
      <c r="J21" s="4" t="s">
        <v>247</v>
      </c>
      <c r="K21" s="4" t="s">
        <v>248</v>
      </c>
      <c r="L21" s="4" t="s">
        <v>249</v>
      </c>
    </row>
    <row r="22" spans="1:13" x14ac:dyDescent="0.25">
      <c r="A22" s="81"/>
      <c r="B22" s="93" t="s">
        <v>248</v>
      </c>
      <c r="C22" s="94">
        <v>44743</v>
      </c>
      <c r="D22" s="117">
        <v>8000</v>
      </c>
      <c r="E22" s="85" t="s">
        <v>73</v>
      </c>
      <c r="F22" s="80"/>
      <c r="G22" s="80"/>
      <c r="H22" s="82"/>
      <c r="J22" s="4" t="s">
        <v>286</v>
      </c>
      <c r="K22" s="205">
        <f>F51</f>
        <v>16750</v>
      </c>
      <c r="L22" s="205">
        <f>F51</f>
        <v>16750</v>
      </c>
    </row>
    <row r="23" spans="1:13" x14ac:dyDescent="0.25">
      <c r="A23" s="81"/>
      <c r="B23" s="93" t="s">
        <v>248</v>
      </c>
      <c r="C23" s="94">
        <v>44317</v>
      </c>
      <c r="D23" s="117">
        <v>160000</v>
      </c>
      <c r="E23" s="85" t="s">
        <v>219</v>
      </c>
      <c r="F23" s="80"/>
      <c r="G23" s="80"/>
      <c r="H23" s="82"/>
      <c r="J23" s="4" t="s">
        <v>287</v>
      </c>
      <c r="K23" s="4">
        <f>C53</f>
        <v>0.09</v>
      </c>
      <c r="L23" s="114">
        <f>C52</f>
        <v>0.08</v>
      </c>
    </row>
    <row r="24" spans="1:13" x14ac:dyDescent="0.25">
      <c r="A24" s="81"/>
      <c r="B24" s="93" t="s">
        <v>248</v>
      </c>
      <c r="C24" s="94">
        <v>43891</v>
      </c>
      <c r="D24" s="117">
        <v>400000</v>
      </c>
      <c r="E24" s="85" t="s">
        <v>250</v>
      </c>
      <c r="F24" s="80"/>
      <c r="G24" s="80"/>
      <c r="H24" s="82"/>
      <c r="J24" s="4" t="s">
        <v>289</v>
      </c>
      <c r="K24" s="60">
        <f>D17-D18</f>
        <v>3528</v>
      </c>
      <c r="L24" s="60">
        <f>E17-E18</f>
        <v>1456</v>
      </c>
    </row>
    <row r="25" spans="1:13" x14ac:dyDescent="0.25">
      <c r="A25" s="81"/>
      <c r="B25" s="93" t="s">
        <v>249</v>
      </c>
      <c r="C25" s="94">
        <v>45323</v>
      </c>
      <c r="D25" s="117">
        <v>10000</v>
      </c>
      <c r="E25" s="85" t="s">
        <v>73</v>
      </c>
      <c r="F25" s="80"/>
      <c r="G25" s="80"/>
      <c r="H25" s="82"/>
    </row>
    <row r="26" spans="1:13" x14ac:dyDescent="0.25">
      <c r="A26" s="81"/>
      <c r="B26" s="93" t="s">
        <v>249</v>
      </c>
      <c r="C26" s="94">
        <v>44986</v>
      </c>
      <c r="D26" s="117">
        <v>185000</v>
      </c>
      <c r="E26" s="85" t="s">
        <v>252</v>
      </c>
      <c r="F26" s="80"/>
      <c r="G26" s="80"/>
      <c r="H26" s="82"/>
    </row>
    <row r="27" spans="1:13" x14ac:dyDescent="0.25">
      <c r="A27" s="81"/>
      <c r="B27" s="93" t="s">
        <v>249</v>
      </c>
      <c r="C27" s="94">
        <v>44805</v>
      </c>
      <c r="D27" s="117">
        <v>428000</v>
      </c>
      <c r="E27" s="85" t="s">
        <v>253</v>
      </c>
      <c r="F27" s="80"/>
      <c r="G27" s="80"/>
      <c r="H27" s="82"/>
    </row>
    <row r="28" spans="1:13" x14ac:dyDescent="0.25">
      <c r="A28" s="81"/>
      <c r="B28" s="90" t="s">
        <v>249</v>
      </c>
      <c r="C28" s="97">
        <v>44348</v>
      </c>
      <c r="D28" s="118">
        <v>170000</v>
      </c>
      <c r="E28" s="89" t="s">
        <v>73</v>
      </c>
      <c r="F28" s="80"/>
      <c r="G28" s="80"/>
      <c r="H28" s="82"/>
    </row>
    <row r="29" spans="1:13" x14ac:dyDescent="0.25">
      <c r="A29" s="81"/>
      <c r="B29" s="80"/>
      <c r="C29" s="80"/>
      <c r="D29" s="80"/>
      <c r="E29" s="80"/>
      <c r="F29" s="80"/>
      <c r="G29" s="80"/>
      <c r="H29" s="82"/>
      <c r="J29" s="204" t="s">
        <v>245</v>
      </c>
    </row>
    <row r="30" spans="1:13" x14ac:dyDescent="0.25">
      <c r="A30" s="81"/>
      <c r="B30" s="80" t="s">
        <v>251</v>
      </c>
      <c r="C30" s="80"/>
      <c r="D30" s="80"/>
      <c r="E30" s="80"/>
      <c r="F30" s="80"/>
      <c r="G30" s="80"/>
      <c r="H30" s="82"/>
      <c r="J30" s="1" t="s">
        <v>293</v>
      </c>
    </row>
    <row r="31" spans="1:13" x14ac:dyDescent="0.25">
      <c r="A31" s="81"/>
      <c r="B31" s="80" t="s">
        <v>254</v>
      </c>
      <c r="C31" s="80"/>
      <c r="D31" s="80"/>
      <c r="E31" s="80"/>
      <c r="F31" s="80"/>
      <c r="G31" s="80"/>
      <c r="H31" s="82"/>
      <c r="J31" s="1" t="s">
        <v>48</v>
      </c>
      <c r="K31" t="s">
        <v>50</v>
      </c>
      <c r="L31" t="s">
        <v>51</v>
      </c>
      <c r="M31" t="s">
        <v>52</v>
      </c>
    </row>
    <row r="32" spans="1:13" x14ac:dyDescent="0.25">
      <c r="A32" s="81"/>
      <c r="B32" s="80"/>
      <c r="C32" s="80"/>
      <c r="D32" s="80"/>
      <c r="E32" s="80"/>
      <c r="F32" s="80"/>
      <c r="G32" s="80"/>
      <c r="H32" s="82"/>
      <c r="J32">
        <v>1</v>
      </c>
      <c r="K32" s="123">
        <f>MIN($B$45,D22)*(1-70%)</f>
        <v>1650.0000000000002</v>
      </c>
      <c r="L32" s="60">
        <f>(1-70%)*D22-K32</f>
        <v>750.00000000000023</v>
      </c>
      <c r="M32" t="s">
        <v>278</v>
      </c>
    </row>
    <row r="33" spans="1:13" x14ac:dyDescent="0.25">
      <c r="A33" s="81"/>
      <c r="B33" s="80" t="s">
        <v>255</v>
      </c>
      <c r="C33" s="80"/>
      <c r="D33" s="80"/>
      <c r="E33" s="80"/>
      <c r="F33" s="80"/>
      <c r="G33" s="80"/>
      <c r="H33" s="82"/>
      <c r="J33">
        <v>2</v>
      </c>
      <c r="K33" s="123">
        <f>MIN($B$45,D23)</f>
        <v>5500</v>
      </c>
      <c r="L33" s="60">
        <f>MIN(B46,D23)-K33</f>
        <v>154500</v>
      </c>
      <c r="M33" t="s">
        <v>281</v>
      </c>
    </row>
    <row r="34" spans="1:13" x14ac:dyDescent="0.25">
      <c r="A34" s="81"/>
      <c r="B34" s="184" t="s">
        <v>256</v>
      </c>
      <c r="C34" s="80"/>
      <c r="D34" s="80"/>
      <c r="E34" s="80"/>
      <c r="F34" s="80"/>
      <c r="G34" s="80"/>
      <c r="H34" s="82"/>
      <c r="J34" t="s">
        <v>11</v>
      </c>
      <c r="K34" s="123">
        <f>SUM(K32:K33)</f>
        <v>7150</v>
      </c>
      <c r="L34" s="123">
        <f>SUM(L32:L33)</f>
        <v>155250</v>
      </c>
    </row>
    <row r="35" spans="1:13" x14ac:dyDescent="0.25">
      <c r="A35" s="81"/>
      <c r="B35" s="80"/>
      <c r="C35" s="80"/>
      <c r="D35" s="80"/>
      <c r="E35" s="80"/>
      <c r="F35" s="80"/>
      <c r="G35" s="80"/>
      <c r="H35" s="82"/>
    </row>
    <row r="36" spans="1:13" x14ac:dyDescent="0.25">
      <c r="A36" s="16" t="s">
        <v>7</v>
      </c>
      <c r="B36" s="80" t="s">
        <v>257</v>
      </c>
      <c r="C36" s="80"/>
      <c r="D36" s="80"/>
      <c r="E36" s="80"/>
      <c r="F36" s="80"/>
      <c r="G36" s="80"/>
      <c r="H36" s="82"/>
      <c r="J36" t="s">
        <v>45</v>
      </c>
      <c r="K36">
        <f>ROUND((K34+(1-K23)*D18+K22+K23*L34)/(K24+(1-K23)*D18+K22+K23*D18),2)</f>
        <v>1.44</v>
      </c>
    </row>
    <row r="37" spans="1:13" x14ac:dyDescent="0.25">
      <c r="A37" s="81"/>
      <c r="B37" s="80" t="s">
        <v>258</v>
      </c>
      <c r="C37" s="80"/>
      <c r="D37" s="80"/>
      <c r="E37" s="80"/>
      <c r="F37" s="80"/>
      <c r="G37" s="80"/>
      <c r="H37" s="82"/>
    </row>
    <row r="38" spans="1:13" x14ac:dyDescent="0.25">
      <c r="A38" s="81"/>
      <c r="B38" s="219" t="s">
        <v>259</v>
      </c>
      <c r="C38" s="80"/>
      <c r="D38" s="80"/>
      <c r="E38" s="80"/>
      <c r="F38" s="80"/>
      <c r="G38" s="80"/>
      <c r="H38" s="82"/>
      <c r="J38" t="s">
        <v>203</v>
      </c>
    </row>
    <row r="39" spans="1:13" x14ac:dyDescent="0.25">
      <c r="A39" s="81"/>
      <c r="B39" s="80"/>
      <c r="C39" s="80"/>
      <c r="D39" s="80"/>
      <c r="E39" s="80"/>
      <c r="F39" s="80"/>
      <c r="G39" s="80"/>
      <c r="H39" s="82"/>
      <c r="J39" t="s">
        <v>290</v>
      </c>
      <c r="L39" s="114">
        <f>1.1 + 0.0004*D17/B48</f>
        <v>2.2529411764705882</v>
      </c>
    </row>
    <row r="40" spans="1:13" x14ac:dyDescent="0.25">
      <c r="A40" s="81"/>
      <c r="B40" s="80" t="s">
        <v>260</v>
      </c>
      <c r="C40" s="80"/>
      <c r="D40" s="80"/>
      <c r="E40" s="80"/>
      <c r="F40" s="80"/>
      <c r="G40" s="80"/>
      <c r="H40" s="82"/>
    </row>
    <row r="41" spans="1:13" x14ac:dyDescent="0.25">
      <c r="A41" s="81"/>
      <c r="B41" s="80"/>
      <c r="C41" s="80"/>
      <c r="D41" s="80"/>
      <c r="E41" s="80"/>
      <c r="F41" s="80"/>
      <c r="G41" s="80"/>
      <c r="H41" s="82"/>
      <c r="J41" t="s">
        <v>291</v>
      </c>
      <c r="L41" s="206">
        <f>MIN(K36,L39)</f>
        <v>1.44</v>
      </c>
    </row>
    <row r="42" spans="1:13" x14ac:dyDescent="0.25">
      <c r="A42" s="81"/>
      <c r="B42" s="179" t="s">
        <v>261</v>
      </c>
      <c r="C42" s="198" t="s">
        <v>263</v>
      </c>
      <c r="D42" s="181" t="s">
        <v>264</v>
      </c>
      <c r="E42" s="80"/>
      <c r="F42" s="80"/>
      <c r="G42" s="80"/>
      <c r="H42" s="82"/>
    </row>
    <row r="43" spans="1:13" x14ac:dyDescent="0.25">
      <c r="A43" s="81"/>
      <c r="B43" s="90" t="s">
        <v>262</v>
      </c>
      <c r="C43" s="220">
        <v>10000</v>
      </c>
      <c r="D43" s="221">
        <v>5000</v>
      </c>
      <c r="E43" s="80"/>
      <c r="F43" s="80"/>
      <c r="G43" s="80"/>
      <c r="H43" s="82"/>
      <c r="J43" s="204" t="s">
        <v>246</v>
      </c>
    </row>
    <row r="44" spans="1:13" x14ac:dyDescent="0.25">
      <c r="A44" s="81"/>
      <c r="B44" s="80"/>
      <c r="C44" s="80"/>
      <c r="D44" s="80"/>
      <c r="E44" s="80"/>
      <c r="F44" s="80"/>
      <c r="G44" s="80"/>
      <c r="H44" s="82"/>
      <c r="J44" t="s">
        <v>292</v>
      </c>
    </row>
    <row r="45" spans="1:13" x14ac:dyDescent="0.25">
      <c r="A45" s="81"/>
      <c r="B45" s="222">
        <v>5500</v>
      </c>
      <c r="C45" s="104" t="s">
        <v>277</v>
      </c>
      <c r="D45" s="104"/>
      <c r="E45" s="88"/>
      <c r="F45" s="80"/>
      <c r="G45" s="80"/>
      <c r="H45" s="82"/>
      <c r="J45" t="s">
        <v>48</v>
      </c>
      <c r="K45" t="s">
        <v>50</v>
      </c>
      <c r="L45" t="s">
        <v>51</v>
      </c>
      <c r="M45" t="s">
        <v>52</v>
      </c>
    </row>
    <row r="46" spans="1:13" x14ac:dyDescent="0.25">
      <c r="A46" s="81"/>
      <c r="B46" s="117">
        <v>175500</v>
      </c>
      <c r="C46" s="207" t="s">
        <v>279</v>
      </c>
      <c r="D46" s="80"/>
      <c r="E46" s="96"/>
      <c r="F46" s="80"/>
      <c r="G46" s="80"/>
      <c r="H46" s="82"/>
      <c r="J46">
        <v>2</v>
      </c>
      <c r="K46" s="123">
        <f>MIN(B45,D26)</f>
        <v>5500</v>
      </c>
      <c r="L46" s="60">
        <f>MIN(B46,D26)-K46</f>
        <v>170000</v>
      </c>
      <c r="M46" t="s">
        <v>297</v>
      </c>
    </row>
    <row r="47" spans="1:13" x14ac:dyDescent="0.25">
      <c r="A47" s="81"/>
      <c r="B47" s="117">
        <v>351000</v>
      </c>
      <c r="C47" s="207" t="s">
        <v>280</v>
      </c>
      <c r="D47" s="80"/>
      <c r="E47" s="96"/>
      <c r="F47" s="80"/>
      <c r="G47" s="80"/>
      <c r="H47" s="82"/>
      <c r="J47">
        <v>3</v>
      </c>
      <c r="K47" s="123">
        <f>2*MIN(B45,D27)</f>
        <v>11000</v>
      </c>
      <c r="L47" s="60">
        <f>MIN(B47,D27)-K47</f>
        <v>340000</v>
      </c>
      <c r="M47" t="s">
        <v>294</v>
      </c>
    </row>
    <row r="48" spans="1:13" x14ac:dyDescent="0.25">
      <c r="A48" s="81"/>
      <c r="B48" s="40">
        <v>6.8</v>
      </c>
      <c r="C48" s="208" t="s">
        <v>17</v>
      </c>
      <c r="D48" s="105"/>
      <c r="E48" s="92"/>
      <c r="F48" s="80"/>
      <c r="G48" s="80"/>
      <c r="H48" s="82"/>
      <c r="J48">
        <v>4</v>
      </c>
      <c r="K48" s="123">
        <f>MIN(B45,D28)*(1-70%)</f>
        <v>1650.0000000000002</v>
      </c>
      <c r="L48" s="60">
        <f>MIN(B46,D28)*(1-70%)-K48</f>
        <v>49350.000000000007</v>
      </c>
      <c r="M48" t="s">
        <v>295</v>
      </c>
    </row>
    <row r="49" spans="1:13" x14ac:dyDescent="0.25">
      <c r="A49" s="81"/>
      <c r="B49" s="80"/>
      <c r="C49" s="80"/>
      <c r="D49" s="80"/>
      <c r="E49" s="80"/>
      <c r="F49" s="80"/>
      <c r="G49" s="80"/>
      <c r="H49" s="82"/>
      <c r="J49" t="s">
        <v>11</v>
      </c>
      <c r="K49" s="123">
        <f>SUM(K46:K48)</f>
        <v>18150</v>
      </c>
      <c r="L49" s="123">
        <f>SUM(L46:L48)</f>
        <v>559350</v>
      </c>
    </row>
    <row r="50" spans="1:13" x14ac:dyDescent="0.25">
      <c r="A50" s="81"/>
      <c r="B50" s="33" t="s">
        <v>16</v>
      </c>
      <c r="C50" s="34" t="s">
        <v>34</v>
      </c>
      <c r="D50" s="17"/>
      <c r="E50" s="33" t="s">
        <v>16</v>
      </c>
      <c r="F50" s="34" t="s">
        <v>38</v>
      </c>
      <c r="G50" s="80"/>
      <c r="H50" s="82"/>
    </row>
    <row r="51" spans="1:13" x14ac:dyDescent="0.25">
      <c r="A51" s="81"/>
      <c r="B51" s="36" t="s">
        <v>282</v>
      </c>
      <c r="C51" s="37">
        <v>7.0000000000000007E-2</v>
      </c>
      <c r="D51" s="17"/>
      <c r="E51" s="36" t="s">
        <v>142</v>
      </c>
      <c r="F51" s="42">
        <v>16750</v>
      </c>
      <c r="G51" s="80"/>
      <c r="H51" s="82"/>
      <c r="J51" t="s">
        <v>296</v>
      </c>
      <c r="M51" s="60">
        <f>3*B46+120%*E17</f>
        <v>548340</v>
      </c>
    </row>
    <row r="52" spans="1:13" x14ac:dyDescent="0.25">
      <c r="A52" s="81"/>
      <c r="B52" s="36" t="s">
        <v>283</v>
      </c>
      <c r="C52" s="38">
        <v>0.08</v>
      </c>
      <c r="D52" s="17"/>
      <c r="E52" s="36" t="s">
        <v>143</v>
      </c>
      <c r="F52" s="42">
        <v>20100</v>
      </c>
      <c r="G52" s="80"/>
      <c r="H52" s="82"/>
    </row>
    <row r="53" spans="1:13" x14ac:dyDescent="0.25">
      <c r="A53" s="81"/>
      <c r="B53" s="40" t="s">
        <v>284</v>
      </c>
      <c r="C53" s="41">
        <v>0.09</v>
      </c>
      <c r="D53" s="17"/>
      <c r="E53" s="40" t="s">
        <v>285</v>
      </c>
      <c r="F53" s="43">
        <v>23450</v>
      </c>
      <c r="G53" s="80"/>
      <c r="H53" s="82"/>
      <c r="J53" t="s">
        <v>45</v>
      </c>
      <c r="K53">
        <f>ROUND((K49+(1-L23)*E18+L22+L23*L49)/(L24+(1-L23)*E18+L22+L23*E18),2)</f>
        <v>2.72</v>
      </c>
    </row>
    <row r="54" spans="1:13" ht="15.75" thickBot="1" x14ac:dyDescent="0.3">
      <c r="A54" s="106"/>
      <c r="B54" s="107"/>
      <c r="C54" s="107"/>
      <c r="D54" s="107"/>
      <c r="E54" s="107"/>
      <c r="F54" s="107"/>
      <c r="G54" s="107"/>
      <c r="H54" s="108"/>
    </row>
    <row r="55" spans="1:13" x14ac:dyDescent="0.25">
      <c r="J55" t="s">
        <v>203</v>
      </c>
    </row>
    <row r="56" spans="1:13" x14ac:dyDescent="0.25">
      <c r="J56" t="s">
        <v>290</v>
      </c>
      <c r="L56" s="114">
        <f>1.1+0.0004*E17/B48</f>
        <v>2.1705882352941179</v>
      </c>
    </row>
    <row r="58" spans="1:13" x14ac:dyDescent="0.25">
      <c r="J58" t="s">
        <v>298</v>
      </c>
      <c r="L58" s="206">
        <f>MIN(K53,L56)</f>
        <v>2.1705882352941179</v>
      </c>
    </row>
  </sheetData>
  <mergeCells count="1">
    <mergeCell ref="G1:H1"/>
  </mergeCells>
  <hyperlinks>
    <hyperlink ref="G1" location="TOC!A1" display="Return to TOC" xr:uid="{35539620-A70A-4C0D-8B73-C48DDD06D8CA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TOC</vt:lpstr>
      <vt:lpstr>NCCI-Experience1</vt:lpstr>
      <vt:lpstr>NCCI-Experience2</vt:lpstr>
      <vt:lpstr>NCCI-Experience3</vt:lpstr>
      <vt:lpstr>NCCI-Experience4</vt:lpstr>
      <vt:lpstr>NCCI-Experience5</vt:lpstr>
      <vt:lpstr>NCCI-Experience6</vt:lpstr>
      <vt:lpstr>NCCI-Experience7</vt:lpstr>
      <vt:lpstr>NCCI-Experience8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2024-06-07T10:48:15Z</dcterms:modified>
</cp:coreProperties>
</file>