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4209BB6F-E3F0-46FB-BBE9-6175BEA5CF59}" xr6:coauthVersionLast="47" xr6:coauthVersionMax="47" xr10:uidLastSave="{00000000-0000-0000-0000-000000000000}"/>
  <bookViews>
    <workbookView xWindow="-108" yWindow="-108" windowWidth="23256" windowHeight="12576" xr2:uid="{43A4E4BA-D1D1-43EE-86A3-A1B772ABC5AA}"/>
  </bookViews>
  <sheets>
    <sheet name="TOC" sheetId="2" r:id="rId1"/>
    <sheet name="NCCI_Circular1" sheetId="3" r:id="rId2"/>
    <sheet name="NCCI_Circular2" sheetId="4" r:id="rId3"/>
    <sheet name="NCCI_Circular3" sheetId="1" r:id="rId4"/>
    <sheet name="NCCI_Circular4" sheetId="5" r:id="rId5"/>
    <sheet name="NCCI_Informational1" sheetId="6" r:id="rId6"/>
    <sheet name="NCCI_Informational2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6" l="1"/>
  <c r="K17" i="7"/>
  <c r="K11" i="7"/>
  <c r="K14" i="7"/>
  <c r="K12" i="7"/>
  <c r="K15" i="7"/>
  <c r="K13" i="7"/>
  <c r="K10" i="7"/>
  <c r="K9" i="7"/>
  <c r="K8" i="7"/>
  <c r="K7" i="7"/>
  <c r="K6" i="7"/>
  <c r="N13" i="6" l="1"/>
  <c r="L9" i="6"/>
  <c r="M9" i="6" s="1"/>
  <c r="N8" i="6" s="1"/>
  <c r="O8" i="6" s="1"/>
  <c r="L10" i="6"/>
  <c r="M10" i="6" s="1"/>
  <c r="N9" i="6" s="1"/>
  <c r="O9" i="6" s="1"/>
  <c r="P9" i="6" s="1"/>
  <c r="L11" i="6"/>
  <c r="M11" i="6" s="1"/>
  <c r="N10" i="6" s="1"/>
  <c r="O10" i="6" s="1"/>
  <c r="P10" i="6" s="1"/>
  <c r="L12" i="6"/>
  <c r="M12" i="6" s="1"/>
  <c r="N11" i="6" s="1"/>
  <c r="O11" i="6" s="1"/>
  <c r="P11" i="6" s="1"/>
  <c r="L13" i="6"/>
  <c r="M13" i="6" s="1"/>
  <c r="N12" i="6" s="1"/>
  <c r="L8" i="6"/>
  <c r="K13" i="6"/>
  <c r="K12" i="6"/>
  <c r="K11" i="6"/>
  <c r="K10" i="6"/>
  <c r="K9" i="6"/>
  <c r="K8" i="6"/>
  <c r="J34" i="5"/>
  <c r="J28" i="5"/>
  <c r="J31" i="5"/>
  <c r="K23" i="5"/>
  <c r="K22" i="5"/>
  <c r="K21" i="5"/>
  <c r="O13" i="6" l="1"/>
  <c r="P13" i="6" s="1"/>
  <c r="O12" i="6"/>
  <c r="P12" i="6" s="1"/>
  <c r="K15" i="5"/>
  <c r="K14" i="5"/>
  <c r="K9" i="5"/>
  <c r="K7" i="5"/>
  <c r="K5" i="5"/>
  <c r="K4" i="5"/>
  <c r="K11" i="5" s="1"/>
  <c r="K3" i="5"/>
  <c r="K10" i="5" s="1"/>
  <c r="K6" i="5" l="1"/>
  <c r="K8" i="5"/>
  <c r="K16" i="5" s="1"/>
  <c r="K12" i="5"/>
  <c r="K13" i="5" s="1"/>
  <c r="K17" i="5" l="1"/>
  <c r="J15" i="1"/>
  <c r="J14" i="1"/>
  <c r="J9" i="1"/>
  <c r="M7" i="4"/>
  <c r="M8" i="4"/>
  <c r="M9" i="4"/>
  <c r="M6" i="4"/>
  <c r="M10" i="4" s="1"/>
  <c r="L7" i="4"/>
  <c r="L8" i="4"/>
  <c r="L9" i="4"/>
  <c r="L6" i="4"/>
  <c r="K7" i="4"/>
  <c r="K8" i="4"/>
  <c r="K9" i="4"/>
  <c r="K6" i="4"/>
  <c r="M9" i="3"/>
  <c r="M8" i="3"/>
  <c r="M7" i="3"/>
  <c r="M6" i="3"/>
  <c r="L9" i="3"/>
  <c r="N9" i="3" s="1"/>
  <c r="L8" i="3"/>
  <c r="N8" i="3" s="1"/>
  <c r="L7" i="3"/>
  <c r="L6" i="3"/>
  <c r="L10" i="3" s="1"/>
  <c r="N7" i="3" l="1"/>
  <c r="N6" i="3"/>
  <c r="N10" i="3" l="1"/>
  <c r="O10" i="3" s="1"/>
  <c r="J7" i="1" l="1"/>
  <c r="J5" i="1"/>
  <c r="J3" i="1"/>
  <c r="J10" i="1" s="1"/>
  <c r="J12" i="1" l="1"/>
  <c r="J4" i="1"/>
  <c r="J11" i="1" s="1"/>
  <c r="J8" i="1"/>
  <c r="J17" i="1" s="1"/>
  <c r="J6" i="1"/>
  <c r="J16" i="1" l="1"/>
  <c r="J13" i="1"/>
</calcChain>
</file>

<file path=xl/sharedStrings.xml><?xml version="1.0" encoding="utf-8"?>
<sst xmlns="http://schemas.openxmlformats.org/spreadsheetml/2006/main" count="406" uniqueCount="253">
  <si>
    <t>Problem Set 1 – Solutions</t>
  </si>
  <si>
    <t>Question</t>
  </si>
  <si>
    <t>Sheet</t>
  </si>
  <si>
    <t>Type</t>
  </si>
  <si>
    <t>Exam 8: NCCI – Retrospective Rating</t>
  </si>
  <si>
    <t>Reading:</t>
  </si>
  <si>
    <t>Return to TOC</t>
  </si>
  <si>
    <t>Solution</t>
  </si>
  <si>
    <t>Model:</t>
  </si>
  <si>
    <t>Problem Type:</t>
  </si>
  <si>
    <t>Given</t>
  </si>
  <si>
    <t>Find</t>
  </si>
  <si>
    <t>NCCI.Circular</t>
  </si>
  <si>
    <t>Source text</t>
  </si>
  <si>
    <t>Standard Premium</t>
  </si>
  <si>
    <t>Loss Conversion Factor</t>
  </si>
  <si>
    <t>Tax Multiplier</t>
  </si>
  <si>
    <t>Expense Ratio</t>
  </si>
  <si>
    <t>Excess Loss Factor</t>
  </si>
  <si>
    <t>Minimum Retrospective Premium Factor</t>
  </si>
  <si>
    <t>Maximum Retrospective Premium Factor</t>
  </si>
  <si>
    <t>Item</t>
  </si>
  <si>
    <t>Value</t>
  </si>
  <si>
    <t>Description</t>
  </si>
  <si>
    <t xml:space="preserve">1.) </t>
  </si>
  <si>
    <t>2.)</t>
  </si>
  <si>
    <t>3.)</t>
  </si>
  <si>
    <t xml:space="preserve">The following information about a retrospectively rated policy </t>
  </si>
  <si>
    <t>in State X and Hazard Group A.</t>
  </si>
  <si>
    <t>4.)</t>
  </si>
  <si>
    <t>5.)</t>
  </si>
  <si>
    <t>Excess Loss Factor (given)</t>
  </si>
  <si>
    <t>6.)</t>
  </si>
  <si>
    <t>Expected Unlimited Losses</t>
  </si>
  <si>
    <t>Expected Unlimited Loss Ratio</t>
  </si>
  <si>
    <t>Expected Limited Loss Ratio</t>
  </si>
  <si>
    <t>7.)</t>
  </si>
  <si>
    <t>The policy is not subject to experience rating.</t>
  </si>
  <si>
    <t>Calculate the policy excess ratio</t>
  </si>
  <si>
    <t>Calculate the expected number of claims</t>
  </si>
  <si>
    <t>NCCI_Circular1</t>
  </si>
  <si>
    <t>NCCI_Informational2</t>
  </si>
  <si>
    <t>Experience Modification Factor</t>
  </si>
  <si>
    <t>State</t>
  </si>
  <si>
    <t>Hazard</t>
  </si>
  <si>
    <t>Group</t>
  </si>
  <si>
    <t>Manual</t>
  </si>
  <si>
    <t>Premium</t>
  </si>
  <si>
    <t>Excess Ratio</t>
  </si>
  <si>
    <t>at Loss Limit</t>
  </si>
  <si>
    <t>W</t>
  </si>
  <si>
    <t>X</t>
  </si>
  <si>
    <t>Y</t>
  </si>
  <si>
    <t>Z</t>
  </si>
  <si>
    <t>A</t>
  </si>
  <si>
    <t>C</t>
  </si>
  <si>
    <t>G</t>
  </si>
  <si>
    <t>B</t>
  </si>
  <si>
    <t>The following information is available for a retrospectively rated policy</t>
  </si>
  <si>
    <t>that is also subject to experience rating.</t>
  </si>
  <si>
    <t>to use when rating this policy under the NCCI Retospective rating plan.</t>
  </si>
  <si>
    <t>Modified</t>
  </si>
  <si>
    <t>Expected</t>
  </si>
  <si>
    <t>Loss</t>
  </si>
  <si>
    <t>at Loss</t>
  </si>
  <si>
    <t>Limit</t>
  </si>
  <si>
    <t>Excess</t>
  </si>
  <si>
    <t>Policy</t>
  </si>
  <si>
    <t>Ratio</t>
  </si>
  <si>
    <t>(1)</t>
  </si>
  <si>
    <t>(2)</t>
  </si>
  <si>
    <t>(3)</t>
  </si>
  <si>
    <t>(4)</t>
  </si>
  <si>
    <t>(5)</t>
  </si>
  <si>
    <t>(6)</t>
  </si>
  <si>
    <t>Total</t>
  </si>
  <si>
    <t>Calculations</t>
  </si>
  <si>
    <t>(3) = Manual Premium * Unlimited ELR * Experience Modification Factor</t>
  </si>
  <si>
    <t>(5) = (3) * (4)</t>
  </si>
  <si>
    <t>[Tot (3)] = sum (3)</t>
  </si>
  <si>
    <t>[Tot (5)] = sum (5)</t>
  </si>
  <si>
    <t>(6) = [Tot (5)] / [Tot (3)]</t>
  </si>
  <si>
    <t>Table of Policy Excess Ratio Ranges</t>
  </si>
  <si>
    <t>Excess Ratio Range</t>
  </si>
  <si>
    <t>0.146 - 0.181</t>
  </si>
  <si>
    <t>0.182 - 0.221</t>
  </si>
  <si>
    <t>0.222 - 0.269</t>
  </si>
  <si>
    <t>0.270 - 0.316</t>
  </si>
  <si>
    <t>0.317 - 0.358</t>
  </si>
  <si>
    <t>0.359 - 0.420</t>
  </si>
  <si>
    <t>0.421 - 0.484</t>
  </si>
  <si>
    <t>Sub-table</t>
  </si>
  <si>
    <t>The policy excess ratio of 0.287 translates to sub-table 10.</t>
  </si>
  <si>
    <t>Average Cost</t>
  </si>
  <si>
    <t>per Case</t>
  </si>
  <si>
    <t>Using this information and the table below, calculate the expected</t>
  </si>
  <si>
    <t>claim count group for this policy.</t>
  </si>
  <si>
    <t xml:space="preserve">Expected </t>
  </si>
  <si>
    <t>Number</t>
  </si>
  <si>
    <t>of Claims</t>
  </si>
  <si>
    <t>(5) = (3) / (4)</t>
  </si>
  <si>
    <t>The total expected number of claims is 25.38 which translates to</t>
  </si>
  <si>
    <t>Claim Count</t>
  </si>
  <si>
    <t xml:space="preserve">Number </t>
  </si>
  <si>
    <t>15.7 - 17.3</t>
  </si>
  <si>
    <t>17.4 - 19.1</t>
  </si>
  <si>
    <t>19.2 - 21.1</t>
  </si>
  <si>
    <t>21.2 - 23.4</t>
  </si>
  <si>
    <t>23.5 - 26.0</t>
  </si>
  <si>
    <t>26.1 - 29.0</t>
  </si>
  <si>
    <t>29.1 - 32.4</t>
  </si>
  <si>
    <t>expected claim count group 46.</t>
  </si>
  <si>
    <t>Policy Excess Ratio (backed into, yields sub-table 8)</t>
  </si>
  <si>
    <t>Average Cost per Case</t>
  </si>
  <si>
    <t>Expected Number of Claims, yields group 62</t>
  </si>
  <si>
    <t>8.)</t>
  </si>
  <si>
    <t>9.)</t>
  </si>
  <si>
    <t>10.)</t>
  </si>
  <si>
    <t>11.)</t>
  </si>
  <si>
    <t>12.)</t>
  </si>
  <si>
    <t>13.)</t>
  </si>
  <si>
    <t>14.)</t>
  </si>
  <si>
    <t>15.)</t>
  </si>
  <si>
    <t>Expense, Profit &amp; Contingency excluding Taxes</t>
  </si>
  <si>
    <t>Expected Loss plus Expense Ratio</t>
  </si>
  <si>
    <t>Loss &amp; Expense in Converted Losses</t>
  </si>
  <si>
    <t>Expense, Profit &amp; Contingency in Basic Premium</t>
  </si>
  <si>
    <t>Minimum Retrospective Premium excl. Taxes</t>
  </si>
  <si>
    <t>Maximum Retrospective Premium excl. Taxes</t>
  </si>
  <si>
    <t>Table of Aggregate Loss Factors Value Difference</t>
  </si>
  <si>
    <t>Table of Aggregate Loss Factors Entry Difference</t>
  </si>
  <si>
    <t>Determine the following:</t>
  </si>
  <si>
    <t>a.) Table of Aggregate Loss Factors Value Difference.</t>
  </si>
  <si>
    <t>b.) Table of Aggregate Loss Factors Entry Difference.</t>
  </si>
  <si>
    <t>These items aren't necessary to arrive at the solution but are included in case you're memorizing the 21-step process.</t>
  </si>
  <si>
    <t>(2) = (1) * (3)</t>
  </si>
  <si>
    <t>Standard Premium (given)</t>
  </si>
  <si>
    <t>Expected Unlimited Loss Ratio (given)</t>
  </si>
  <si>
    <t>(4) = (5) / (3)</t>
  </si>
  <si>
    <t>(6) = (3) - (5)</t>
  </si>
  <si>
    <t>(8) = (1) * Expense Ratio</t>
  </si>
  <si>
    <t>(9) = Expected Unlimited Loss Ratio + Expense Ratio</t>
  </si>
  <si>
    <t>(10) = (3) * Loss Conversion Factor</t>
  </si>
  <si>
    <t>(11) = (9) - (10)</t>
  </si>
  <si>
    <t>(12) = Minimum Retrospective Premium Factor / Tax Multiplier</t>
  </si>
  <si>
    <t>(13) = Maximum Retrospective Premium Factor / Tax Multiplier</t>
  </si>
  <si>
    <t>(14) = [ (9) - (12) ] / [ (6) * Loss Conversion Factor ], rounded to 4 decimal places</t>
  </si>
  <si>
    <t>(15) = [ (13) - (12) ] / [ (6) * Loss Conversion Factor ], rounded to 2 decimal places</t>
  </si>
  <si>
    <t xml:space="preserve">Calculate the Table of Aggregate Loss Factors Value and </t>
  </si>
  <si>
    <t>Entry Differences</t>
  </si>
  <si>
    <t>The following information about a retrospectively rated policy:</t>
  </si>
  <si>
    <t>Average Cost per Case for State/Hazard Group</t>
  </si>
  <si>
    <t>a.) Calculate the expense and contingency in the basic premium.</t>
  </si>
  <si>
    <t>b.) Calculate the converted net insurance charge.</t>
  </si>
  <si>
    <t>c.) Calculate the basic premium.</t>
  </si>
  <si>
    <t>Loss Limit</t>
  </si>
  <si>
    <t>Expected unlimited losses</t>
  </si>
  <si>
    <t>Expected unlimited loss ratio (given)</t>
  </si>
  <si>
    <t>Excess Loss Factor = ELPPF * Expected Unlimited Loss Ratio</t>
  </si>
  <si>
    <t>Policy Excess Ratio (given, this is the ELPPF. Corresponds to sub-table 6)</t>
  </si>
  <si>
    <t>16.)</t>
  </si>
  <si>
    <t>17.)</t>
  </si>
  <si>
    <t>18.)</t>
  </si>
  <si>
    <t>19.)</t>
  </si>
  <si>
    <t>20.)</t>
  </si>
  <si>
    <t>21.)</t>
  </si>
  <si>
    <t>Expected Loss Plus Expense Ratio</t>
  </si>
  <si>
    <t>Table of Aggregate Loss Factors Value Difference*</t>
  </si>
  <si>
    <t>Table of Aggregate Loss Factors Entry Difference**</t>
  </si>
  <si>
    <t>Ratio of Losses for Minimum Retrospective Premium to Expected Limited Losses</t>
  </si>
  <si>
    <t>Ratio of Losses for Maximum Retrospective Premium to Expected Limited Losses</t>
  </si>
  <si>
    <r>
      <t xml:space="preserve">Table of Aggregate Loss Factors – Aggregate </t>
    </r>
    <r>
      <rPr>
        <b/>
        <u/>
        <sz val="11"/>
        <color theme="1"/>
        <rFont val="Calibri"/>
        <family val="2"/>
        <scheme val="minor"/>
      </rPr>
      <t>Excess</t>
    </r>
    <r>
      <rPr>
        <sz val="11"/>
        <color theme="1"/>
        <rFont val="Calibri"/>
        <family val="2"/>
        <scheme val="minor"/>
      </rPr>
      <t xml:space="preserve"> Loss Factor for (17.)</t>
    </r>
  </si>
  <si>
    <r>
      <t xml:space="preserve">Table of Aggregate Loss Factors – Aggregate </t>
    </r>
    <r>
      <rPr>
        <b/>
        <u/>
        <sz val="11"/>
        <color theme="1"/>
        <rFont val="Calibri"/>
        <family val="2"/>
        <scheme val="minor"/>
      </rPr>
      <t>Minimum</t>
    </r>
    <r>
      <rPr>
        <sz val="11"/>
        <color theme="1"/>
        <rFont val="Calibri"/>
        <family val="2"/>
        <scheme val="minor"/>
      </rPr>
      <t xml:space="preserve"> Loss Factor for (16.)</t>
    </r>
  </si>
  <si>
    <t>Net Aggregate Loss Factor</t>
  </si>
  <si>
    <t>Basic Premium Factor</t>
  </si>
  <si>
    <t>Extract from the Table of Expected Claim Count Groups in Appendix A</t>
  </si>
  <si>
    <t>Expected Claim Count Group</t>
  </si>
  <si>
    <t>Extract from the Table of Policy Excess Ratio Ranges in Appendix A</t>
  </si>
  <si>
    <t>0.078 – 0.110</t>
  </si>
  <si>
    <t>0.111 – 0.145</t>
  </si>
  <si>
    <t>0.146 – 0.181</t>
  </si>
  <si>
    <t>Extract from Table of Aggregate Loss Factors: Sub-Table 6</t>
  </si>
  <si>
    <t>Aggregate Excess Loss Factors by Expected Claim Count Group</t>
  </si>
  <si>
    <t>Entry Ratio</t>
  </si>
  <si>
    <t>…</t>
  </si>
  <si>
    <t xml:space="preserve">Expected Claim </t>
  </si>
  <si>
    <t>Count Group</t>
  </si>
  <si>
    <t xml:space="preserve">Expected Number </t>
  </si>
  <si>
    <t>Perform a Table M search and calculate the basic premium</t>
  </si>
  <si>
    <t>Excess Loss Pure Premium Factor at Loss Limit</t>
  </si>
  <si>
    <t>Expected Number of Claims (corresponds to claim count group 36)</t>
  </si>
  <si>
    <t>The basic premium factor is not negative so it is okay that the net aggregate loss factor is negative.</t>
  </si>
  <si>
    <t>b.)</t>
  </si>
  <si>
    <t>The converted net insurance charge is the net aggregate loss factor multiplied by the standard premium</t>
  </si>
  <si>
    <t>c.)</t>
  </si>
  <si>
    <t>The expense and contingency in the basic premium is 11.) multiplied by the standard premium</t>
  </si>
  <si>
    <t>The basic premium is the net converted insurance charge plus the expense and contingency in basic premium.</t>
  </si>
  <si>
    <t>66.1 - 75.2</t>
  </si>
  <si>
    <t>75.3 - 85.9</t>
  </si>
  <si>
    <t>96.0 - 98.5</t>
  </si>
  <si>
    <t>98.6 - 114</t>
  </si>
  <si>
    <t>Discretize a distribution for use in Panjer's algorithm</t>
  </si>
  <si>
    <t>NCCI.InformationalExhibits</t>
  </si>
  <si>
    <t>the interval [0, 5].</t>
  </si>
  <si>
    <t>Using the evaluation points 0, 1, 2, 3, 4, 5, calculate the probability</t>
  </si>
  <si>
    <t>density function for a discrete version of this distribution for use in</t>
  </si>
  <si>
    <t>Panjer's recursive algorithm.</t>
  </si>
  <si>
    <t>It's helpful to recall (or derive) the formula for the excess ratio for a uniform distribution on [0, b].</t>
  </si>
  <si>
    <t>CDF</t>
  </si>
  <si>
    <t>PDF</t>
  </si>
  <si>
    <t>PDF Panjer</t>
  </si>
  <si>
    <t xml:space="preserve">Remember: Panjer's algorithm cannot be used on distributions which include 0. </t>
  </si>
  <si>
    <r>
      <t>So we condition on x</t>
    </r>
    <r>
      <rPr>
        <b/>
        <i/>
        <vertAlign val="subscript"/>
        <sz val="11"/>
        <color theme="4"/>
        <rFont val="Calibri"/>
        <family val="2"/>
        <scheme val="minor"/>
      </rPr>
      <t>i</t>
    </r>
    <r>
      <rPr>
        <b/>
        <i/>
        <sz val="11"/>
        <color theme="4"/>
        <rFont val="Calibri"/>
        <family val="2"/>
        <scheme val="minor"/>
      </rPr>
      <t xml:space="preserve"> &gt; 0 </t>
    </r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</si>
  <si>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</si>
  <si>
    <r>
      <t>XS(x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</si>
  <si>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>LEV</t>
    </r>
    <r>
      <rPr>
        <vertAlign val="subscript"/>
        <sz val="11"/>
        <color theme="1"/>
        <rFont val="Calibri"/>
        <family val="2"/>
        <scheme val="minor"/>
      </rPr>
      <t>i</t>
    </r>
  </si>
  <si>
    <r>
      <t>LIL</t>
    </r>
    <r>
      <rPr>
        <vertAlign val="subscript"/>
        <sz val="11"/>
        <color theme="1"/>
        <rFont val="Calibri"/>
        <family val="2"/>
        <scheme val="minor"/>
      </rPr>
      <t>i</t>
    </r>
  </si>
  <si>
    <t xml:space="preserve">Produce an aggregate loss distribution from the claim count and </t>
  </si>
  <si>
    <t>severity distributions</t>
  </si>
  <si>
    <t>Count Distribution</t>
  </si>
  <si>
    <t># Claims</t>
  </si>
  <si>
    <t>Probability</t>
  </si>
  <si>
    <t>Severity Distribution</t>
  </si>
  <si>
    <t>Loss Amount</t>
  </si>
  <si>
    <t xml:space="preserve">Produce the aggregate loss distribution from the claim count and </t>
  </si>
  <si>
    <t>severity distributions.</t>
  </si>
  <si>
    <t>We need to combine the two distributions together by considering all possible aggregate loss sizes in increasing order.</t>
  </si>
  <si>
    <t>Aggregate Loss Distribution</t>
  </si>
  <si>
    <t>Total Losses</t>
  </si>
  <si>
    <t>Calculation</t>
  </si>
  <si>
    <t>Notes</t>
  </si>
  <si>
    <t>No claims</t>
  </si>
  <si>
    <t>1x $2,000 claim</t>
  </si>
  <si>
    <t>2x $2,000 claims</t>
  </si>
  <si>
    <t>1x $5,000 claim</t>
  </si>
  <si>
    <t>3x $2,000 claims</t>
  </si>
  <si>
    <t>1x $2,000 and 1x $5,000 claims</t>
  </si>
  <si>
    <t>2x $2,000 and 1x $5,000 claims</t>
  </si>
  <si>
    <t>2x $5,000 claims</t>
  </si>
  <si>
    <t>1x $2,000 and 2x $5,000 claims</t>
  </si>
  <si>
    <t>3x $5,000 claims</t>
  </si>
  <si>
    <t>3 choose 2 ways to assign</t>
  </si>
  <si>
    <t>2 choose 1 ways to assign</t>
  </si>
  <si>
    <t>a.)</t>
  </si>
  <si>
    <t>Use this information and the table below, to determine the appropriate sub-table</t>
  </si>
  <si>
    <t>NCCI_Circular2</t>
  </si>
  <si>
    <t>NCCI_Circular3</t>
  </si>
  <si>
    <t>Calculate the Table of Aggregate Loss Factors Value and Entry Differences</t>
  </si>
  <si>
    <t>NCCI_Circular4</t>
  </si>
  <si>
    <t>NCCI_Informational1</t>
  </si>
  <si>
    <t>Produce an aggregate loss distribution from the claim count and severity distributions</t>
  </si>
  <si>
    <t>Per-claim accident severity is modeled using a uniform distribution on</t>
  </si>
  <si>
    <t>Average severity, E[X]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</si>
</sst>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0.000"/>
    <numFmt numFmtId="165" formatCode="0.0%"/>
    <numFmt numFmtId="166" formatCode="0.0000"/>
    <numFmt numFmtId="167" formatCode="0.00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i/>
      <vertAlign val="subscript"/>
      <sz val="11"/>
      <color theme="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indexed="64"/>
      </top>
      <bottom style="thin">
        <color theme="2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indexed="64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/>
      <right/>
      <top style="thin">
        <color theme="2" tint="-9.9948118533890809E-2"/>
      </top>
      <bottom style="thin">
        <color indexed="64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/>
      <bottom style="thin">
        <color theme="2" tint="-0.2499465926084170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7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0" xfId="0" applyFill="1"/>
    <xf numFmtId="0" fontId="0" fillId="2" borderId="6" xfId="0" applyFill="1" applyBorder="1"/>
    <xf numFmtId="6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" xfId="0" applyFill="1" applyBorder="1"/>
    <xf numFmtId="0" fontId="0" fillId="2" borderId="15" xfId="0" applyFill="1" applyBorder="1"/>
    <xf numFmtId="0" fontId="0" fillId="2" borderId="14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4" xfId="0" quotePrefix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15" xfId="0" quotePrefix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quotePrefix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0" fillId="0" borderId="20" xfId="0" applyNumberForma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14" xfId="0" applyBorder="1" applyAlignment="1">
      <alignment horizontal="center"/>
    </xf>
    <xf numFmtId="0" fontId="0" fillId="2" borderId="0" xfId="0" applyFill="1" applyAlignment="1">
      <alignment horizontal="centerContinuous"/>
    </xf>
    <xf numFmtId="0" fontId="0" fillId="2" borderId="23" xfId="0" applyFill="1" applyBorder="1" applyAlignment="1">
      <alignment horizontal="center"/>
    </xf>
    <xf numFmtId="0" fontId="1" fillId="2" borderId="0" xfId="0" applyFont="1" applyFill="1" applyAlignment="1">
      <alignment horizontal="centerContinuous"/>
    </xf>
    <xf numFmtId="0" fontId="0" fillId="2" borderId="0" xfId="0" applyFill="1" applyAlignment="1">
      <alignment horizontal="left"/>
    </xf>
    <xf numFmtId="3" fontId="0" fillId="2" borderId="13" xfId="0" applyNumberFormat="1" applyFill="1" applyBorder="1" applyAlignment="1">
      <alignment horizontal="center"/>
    </xf>
    <xf numFmtId="3" fontId="0" fillId="2" borderId="19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0" fontId="8" fillId="0" borderId="0" xfId="0" applyFont="1"/>
    <xf numFmtId="2" fontId="0" fillId="0" borderId="13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9" fillId="2" borderId="0" xfId="0" applyFont="1" applyFill="1"/>
    <xf numFmtId="0" fontId="1" fillId="0" borderId="0" xfId="0" applyFont="1"/>
    <xf numFmtId="6" fontId="0" fillId="2" borderId="16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2" fontId="9" fillId="2" borderId="0" xfId="0" applyNumberFormat="1" applyFont="1" applyFill="1" applyAlignment="1">
      <alignment horizontal="center"/>
    </xf>
    <xf numFmtId="9" fontId="0" fillId="0" borderId="0" xfId="2" applyFont="1" applyAlignment="1">
      <alignment horizontal="center"/>
    </xf>
    <xf numFmtId="0" fontId="0" fillId="0" borderId="0" xfId="0" applyProtection="1">
      <protection locked="0"/>
    </xf>
    <xf numFmtId="0" fontId="6" fillId="2" borderId="0" xfId="0" applyFont="1" applyFill="1"/>
    <xf numFmtId="0" fontId="0" fillId="2" borderId="11" xfId="0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0" fontId="0" fillId="2" borderId="14" xfId="0" applyFill="1" applyBorder="1" applyAlignment="1">
      <alignment horizontal="centerContinuous"/>
    </xf>
    <xf numFmtId="0" fontId="0" fillId="2" borderId="15" xfId="0" applyFill="1" applyBorder="1" applyAlignment="1">
      <alignment horizontal="centerContinuous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Continuous"/>
    </xf>
    <xf numFmtId="0" fontId="0" fillId="2" borderId="44" xfId="0" applyFill="1" applyBorder="1" applyAlignment="1">
      <alignment horizontal="centerContinuous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Continuous"/>
    </xf>
    <xf numFmtId="0" fontId="0" fillId="2" borderId="26" xfId="0" applyFill="1" applyBorder="1" applyAlignment="1">
      <alignment horizontal="centerContinuous"/>
    </xf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Continuous"/>
    </xf>
    <xf numFmtId="0" fontId="0" fillId="2" borderId="29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0" fontId="0" fillId="2" borderId="30" xfId="0" applyFill="1" applyBorder="1" applyAlignment="1">
      <alignment horizontal="center"/>
    </xf>
    <xf numFmtId="0" fontId="0" fillId="2" borderId="31" xfId="0" applyFill="1" applyBorder="1" applyAlignment="1">
      <alignment horizontal="centerContinuous"/>
    </xf>
    <xf numFmtId="0" fontId="0" fillId="2" borderId="32" xfId="0" applyFill="1" applyBorder="1" applyAlignment="1">
      <alignment horizontal="centerContinuous"/>
    </xf>
    <xf numFmtId="0" fontId="8" fillId="2" borderId="21" xfId="0" applyFont="1" applyFill="1" applyBorder="1" applyAlignment="1">
      <alignment horizontal="centerContinuous"/>
    </xf>
    <xf numFmtId="0" fontId="8" fillId="2" borderId="22" xfId="0" applyFont="1" applyFill="1" applyBorder="1" applyAlignment="1">
      <alignment horizontal="centerContinuous"/>
    </xf>
    <xf numFmtId="0" fontId="8" fillId="2" borderId="23" xfId="0" applyFont="1" applyFill="1" applyBorder="1" applyAlignment="1">
      <alignment horizontal="centerContinuous"/>
    </xf>
    <xf numFmtId="0" fontId="0" fillId="2" borderId="22" xfId="0" applyFill="1" applyBorder="1" applyAlignment="1">
      <alignment horizontal="center"/>
    </xf>
    <xf numFmtId="166" fontId="0" fillId="2" borderId="34" xfId="0" applyNumberFormat="1" applyFill="1" applyBorder="1" applyAlignment="1">
      <alignment horizontal="center"/>
    </xf>
    <xf numFmtId="166" fontId="0" fillId="2" borderId="37" xfId="0" applyNumberFormat="1" applyFill="1" applyBorder="1" applyAlignment="1">
      <alignment horizontal="center"/>
    </xf>
    <xf numFmtId="2" fontId="0" fillId="2" borderId="36" xfId="0" applyNumberFormat="1" applyFill="1" applyBorder="1" applyAlignment="1">
      <alignment horizontal="center"/>
    </xf>
    <xf numFmtId="166" fontId="0" fillId="2" borderId="40" xfId="0" applyNumberFormat="1" applyFill="1" applyBorder="1" applyAlignment="1">
      <alignment horizontal="center" vertical="top"/>
    </xf>
    <xf numFmtId="0" fontId="8" fillId="2" borderId="0" xfId="0" applyFont="1" applyFill="1" applyAlignment="1">
      <alignment horizontal="centerContinuous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top"/>
    </xf>
    <xf numFmtId="6" fontId="0" fillId="2" borderId="20" xfId="0" applyNumberFormat="1" applyFill="1" applyBorder="1" applyAlignment="1">
      <alignment horizontal="center"/>
    </xf>
    <xf numFmtId="165" fontId="0" fillId="2" borderId="20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8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0" fontId="10" fillId="0" borderId="0" xfId="0" applyFont="1"/>
    <xf numFmtId="167" fontId="0" fillId="0" borderId="0" xfId="0" applyNumberFormat="1"/>
    <xf numFmtId="6" fontId="0" fillId="3" borderId="0" xfId="0" applyNumberFormat="1" applyFill="1"/>
    <xf numFmtId="2" fontId="0" fillId="2" borderId="39" xfId="0" applyNumberFormat="1" applyFill="1" applyBorder="1" applyAlignment="1">
      <alignment horizontal="center" vertical="top"/>
    </xf>
    <xf numFmtId="166" fontId="0" fillId="2" borderId="33" xfId="0" applyNumberFormat="1" applyFill="1" applyBorder="1" applyAlignment="1">
      <alignment horizontal="center"/>
    </xf>
    <xf numFmtId="166" fontId="0" fillId="2" borderId="35" xfId="0" applyNumberFormat="1" applyFill="1" applyBorder="1" applyAlignment="1">
      <alignment horizontal="center"/>
    </xf>
    <xf numFmtId="166" fontId="0" fillId="2" borderId="36" xfId="0" applyNumberFormat="1" applyFill="1" applyBorder="1" applyAlignment="1">
      <alignment horizontal="center"/>
    </xf>
    <xf numFmtId="166" fontId="0" fillId="2" borderId="38" xfId="0" applyNumberFormat="1" applyFill="1" applyBorder="1" applyAlignment="1">
      <alignment horizontal="center"/>
    </xf>
    <xf numFmtId="166" fontId="0" fillId="2" borderId="37" xfId="0" applyNumberFormat="1" applyFill="1" applyBorder="1" applyAlignment="1">
      <alignment horizontal="center" vertical="center"/>
    </xf>
    <xf numFmtId="166" fontId="0" fillId="2" borderId="36" xfId="0" applyNumberFormat="1" applyFill="1" applyBorder="1" applyAlignment="1">
      <alignment horizontal="center" vertical="center"/>
    </xf>
    <xf numFmtId="166" fontId="0" fillId="2" borderId="38" xfId="0" applyNumberFormat="1" applyFill="1" applyBorder="1" applyAlignment="1">
      <alignment horizontal="center" vertical="center"/>
    </xf>
    <xf numFmtId="166" fontId="0" fillId="2" borderId="39" xfId="0" applyNumberFormat="1" applyFill="1" applyBorder="1" applyAlignment="1">
      <alignment horizontal="center" vertical="top"/>
    </xf>
    <xf numFmtId="166" fontId="0" fillId="2" borderId="41" xfId="0" applyNumberFormat="1" applyFill="1" applyBorder="1" applyAlignment="1">
      <alignment horizontal="center" vertical="top"/>
    </xf>
    <xf numFmtId="2" fontId="0" fillId="2" borderId="33" xfId="0" applyNumberFormat="1" applyFill="1" applyBorder="1" applyAlignment="1">
      <alignment horizontal="center"/>
    </xf>
    <xf numFmtId="2" fontId="0" fillId="2" borderId="36" xfId="0" applyNumberFormat="1" applyFill="1" applyBorder="1" applyAlignment="1">
      <alignment horizontal="center" vertical="center"/>
    </xf>
    <xf numFmtId="0" fontId="0" fillId="2" borderId="8" xfId="0" applyFill="1" applyBorder="1" applyProtection="1">
      <protection locked="0"/>
    </xf>
    <xf numFmtId="0" fontId="0" fillId="0" borderId="2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8" fillId="2" borderId="0" xfId="0" applyFont="1" applyFill="1" applyAlignment="1" applyProtection="1">
      <alignment horizontal="centerContinuous"/>
      <protection locked="0"/>
    </xf>
    <xf numFmtId="0" fontId="0" fillId="2" borderId="10" xfId="0" applyFill="1" applyBorder="1" applyAlignment="1" applyProtection="1">
      <alignment horizontal="center"/>
      <protection locked="0"/>
    </xf>
    <xf numFmtId="9" fontId="0" fillId="2" borderId="19" xfId="0" applyNumberFormat="1" applyFill="1" applyBorder="1" applyAlignment="1">
      <alignment horizontal="center"/>
    </xf>
    <xf numFmtId="6" fontId="0" fillId="2" borderId="17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6" fontId="0" fillId="3" borderId="11" xfId="0" applyNumberFormat="1" applyFill="1" applyBorder="1" applyAlignment="1">
      <alignment horizontal="center"/>
    </xf>
    <xf numFmtId="0" fontId="0" fillId="0" borderId="13" xfId="0" applyBorder="1"/>
    <xf numFmtId="6" fontId="0" fillId="3" borderId="18" xfId="0" applyNumberFormat="1" applyFill="1" applyBorder="1" applyAlignment="1">
      <alignment horizontal="center"/>
    </xf>
    <xf numFmtId="0" fontId="0" fillId="0" borderId="19" xfId="0" applyBorder="1"/>
    <xf numFmtId="6" fontId="0" fillId="3" borderId="14" xfId="0" applyNumberFormat="1" applyFill="1" applyBorder="1" applyAlignment="1">
      <alignment horizontal="center"/>
    </xf>
    <xf numFmtId="0" fontId="0" fillId="0" borderId="15" xfId="0" applyBorder="1"/>
    <xf numFmtId="10" fontId="0" fillId="3" borderId="16" xfId="2" applyNumberFormat="1" applyFont="1" applyFill="1" applyBorder="1" applyAlignment="1">
      <alignment horizontal="center"/>
    </xf>
    <xf numFmtId="10" fontId="0" fillId="3" borderId="20" xfId="2" applyNumberFormat="1" applyFont="1" applyFill="1" applyBorder="1" applyAlignment="1">
      <alignment horizontal="center"/>
    </xf>
    <xf numFmtId="10" fontId="0" fillId="3" borderId="17" xfId="2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1" applyFill="1" applyBorder="1" applyAlignment="1" applyProtection="1">
      <alignment horizontal="right"/>
      <protection locked="0"/>
    </xf>
    <xf numFmtId="0" fontId="4" fillId="2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23976-5FBD-4AF3-9E23-573CDB9D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</xdr:colOff>
      <xdr:row>2</xdr:row>
      <xdr:rowOff>23812</xdr:rowOff>
    </xdr:from>
    <xdr:ext cx="2504660" cy="3233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BA20CD4-EB81-3C8C-946F-8AB7452D2534}"/>
                </a:ext>
              </a:extLst>
            </xdr:cNvPr>
            <xdr:cNvSpPr txBox="1"/>
          </xdr:nvSpPr>
          <xdr:spPr>
            <a:xfrm>
              <a:off x="5457825" y="404812"/>
              <a:ext cx="2504660" cy="323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𝑎𝑡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𝑋𝑆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BA20CD4-EB81-3C8C-946F-8AB7452D2534}"/>
                </a:ext>
              </a:extLst>
            </xdr:cNvPr>
            <xdr:cNvSpPr txBox="1"/>
          </xdr:nvSpPr>
          <xdr:spPr>
            <a:xfrm>
              <a:off x="5457825" y="404812"/>
              <a:ext cx="2504660" cy="323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𝑎𝑡 𝑥_𝑖=𝑋𝑆(𝑥_𝑖 )=(1−𝑥_𝑖/𝑏)^2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E5B10-EFF7-441F-BCE8-3F06A538F43E}">
  <dimension ref="A5:C1048576"/>
  <sheetViews>
    <sheetView showGridLines="0" tabSelected="1" workbookViewId="0"/>
  </sheetViews>
  <sheetFormatPr defaultRowHeight="14.4" x14ac:dyDescent="0.3"/>
  <cols>
    <col min="2" max="2" width="22.6640625" style="1" customWidth="1"/>
    <col min="3" max="3" width="64" customWidth="1"/>
  </cols>
  <sheetData>
    <row r="5" spans="1:3" ht="15" customHeight="1" x14ac:dyDescent="0.3">
      <c r="A5" s="173" t="s">
        <v>4</v>
      </c>
      <c r="B5" s="173"/>
      <c r="C5" s="173"/>
    </row>
    <row r="6" spans="1:3" ht="15" customHeight="1" x14ac:dyDescent="0.3">
      <c r="A6" s="173"/>
      <c r="B6" s="173"/>
      <c r="C6" s="173"/>
    </row>
    <row r="7" spans="1:3" ht="15" customHeight="1" x14ac:dyDescent="0.3"/>
    <row r="8" spans="1:3" ht="15" customHeight="1" x14ac:dyDescent="0.35">
      <c r="A8" s="174" t="s">
        <v>0</v>
      </c>
      <c r="B8" s="174"/>
      <c r="C8" s="174"/>
    </row>
    <row r="9" spans="1:3" ht="21" x14ac:dyDescent="0.4">
      <c r="A9" s="2"/>
      <c r="B9" s="2"/>
      <c r="C9" s="2"/>
    </row>
    <row r="10" spans="1:3" x14ac:dyDescent="0.3">
      <c r="A10" s="3" t="s">
        <v>1</v>
      </c>
      <c r="B10" s="3" t="s">
        <v>2</v>
      </c>
      <c r="C10" s="3" t="s">
        <v>3</v>
      </c>
    </row>
    <row r="11" spans="1:3" x14ac:dyDescent="0.3">
      <c r="A11" s="4">
        <v>1</v>
      </c>
      <c r="B11" s="1" t="s">
        <v>40</v>
      </c>
      <c r="C11" t="s">
        <v>38</v>
      </c>
    </row>
    <row r="12" spans="1:3" x14ac:dyDescent="0.3">
      <c r="A12" s="4">
        <v>2</v>
      </c>
      <c r="B12" s="1" t="s">
        <v>245</v>
      </c>
      <c r="C12" t="s">
        <v>39</v>
      </c>
    </row>
    <row r="13" spans="1:3" x14ac:dyDescent="0.3">
      <c r="A13" s="4">
        <v>3</v>
      </c>
      <c r="B13" s="1" t="s">
        <v>246</v>
      </c>
      <c r="C13" t="s">
        <v>247</v>
      </c>
    </row>
    <row r="14" spans="1:3" x14ac:dyDescent="0.3">
      <c r="A14" s="4">
        <v>4</v>
      </c>
      <c r="B14" s="1" t="s">
        <v>248</v>
      </c>
      <c r="C14" t="s">
        <v>188</v>
      </c>
    </row>
    <row r="15" spans="1:3" x14ac:dyDescent="0.3">
      <c r="A15" s="4">
        <v>5</v>
      </c>
      <c r="B15" s="1" t="s">
        <v>249</v>
      </c>
      <c r="C15" t="s">
        <v>201</v>
      </c>
    </row>
    <row r="16" spans="1:3" x14ac:dyDescent="0.3">
      <c r="A16" s="4">
        <v>6</v>
      </c>
      <c r="B16" s="1" t="s">
        <v>41</v>
      </c>
      <c r="C16" t="s">
        <v>250</v>
      </c>
    </row>
    <row r="17" spans="1:1" x14ac:dyDescent="0.3">
      <c r="A17" s="4"/>
    </row>
    <row r="18" spans="1:1" x14ac:dyDescent="0.3">
      <c r="A18" s="4"/>
    </row>
    <row r="19" spans="1:1" x14ac:dyDescent="0.3">
      <c r="A19" s="5"/>
    </row>
    <row r="20" spans="1:1" x14ac:dyDescent="0.3">
      <c r="A20" s="5"/>
    </row>
    <row r="21" spans="1:1" x14ac:dyDescent="0.3">
      <c r="A21" s="5"/>
    </row>
    <row r="22" spans="1:1" x14ac:dyDescent="0.3">
      <c r="A22" s="5"/>
    </row>
    <row r="23" spans="1:1" x14ac:dyDescent="0.3">
      <c r="A23" s="5"/>
    </row>
    <row r="24" spans="1:1" x14ac:dyDescent="0.3">
      <c r="A24" s="5"/>
    </row>
    <row r="25" spans="1:1" x14ac:dyDescent="0.3">
      <c r="A25" s="5"/>
    </row>
    <row r="26" spans="1:1" x14ac:dyDescent="0.3">
      <c r="A26" s="5"/>
    </row>
    <row r="27" spans="1:1" x14ac:dyDescent="0.3">
      <c r="A27" s="5"/>
    </row>
    <row r="28" spans="1:1" x14ac:dyDescent="0.3">
      <c r="A28" s="5"/>
    </row>
    <row r="29" spans="1:1" x14ac:dyDescent="0.3">
      <c r="A29" s="5"/>
    </row>
    <row r="30" spans="1:1" x14ac:dyDescent="0.3">
      <c r="A30" s="5"/>
    </row>
    <row r="31" spans="1:1" x14ac:dyDescent="0.3">
      <c r="A31" s="5"/>
    </row>
    <row r="32" spans="1:1" x14ac:dyDescent="0.3">
      <c r="A32" s="5"/>
    </row>
    <row r="33" spans="1:1" x14ac:dyDescent="0.3">
      <c r="A33" s="5"/>
    </row>
    <row r="34" spans="1:1" x14ac:dyDescent="0.3">
      <c r="A34" s="5"/>
    </row>
    <row r="35" spans="1:1" x14ac:dyDescent="0.3">
      <c r="A35" s="5"/>
    </row>
    <row r="36" spans="1:1" x14ac:dyDescent="0.3">
      <c r="A36" s="5"/>
    </row>
    <row r="37" spans="1:1" x14ac:dyDescent="0.3">
      <c r="A37" s="5"/>
    </row>
    <row r="38" spans="1:1" x14ac:dyDescent="0.3">
      <c r="A38" s="5"/>
    </row>
    <row r="39" spans="1:1" x14ac:dyDescent="0.3">
      <c r="A39" s="5"/>
    </row>
    <row r="40" spans="1:1" x14ac:dyDescent="0.3">
      <c r="A40" s="5"/>
    </row>
    <row r="41" spans="1:1" x14ac:dyDescent="0.3">
      <c r="A41" s="5"/>
    </row>
    <row r="42" spans="1:1" x14ac:dyDescent="0.3">
      <c r="A42" s="5"/>
    </row>
    <row r="43" spans="1:1" x14ac:dyDescent="0.3">
      <c r="A43" s="5"/>
    </row>
    <row r="44" spans="1:1" x14ac:dyDescent="0.3">
      <c r="A44" s="5"/>
    </row>
    <row r="45" spans="1:1" x14ac:dyDescent="0.3">
      <c r="A45" s="5"/>
    </row>
    <row r="46" spans="1:1" x14ac:dyDescent="0.3">
      <c r="A46" s="5"/>
    </row>
    <row r="47" spans="1:1" x14ac:dyDescent="0.3">
      <c r="A47" s="5"/>
    </row>
    <row r="48" spans="1:1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048576" spans="2:2" x14ac:dyDescent="0.3">
      <c r="B1048576"/>
    </row>
  </sheetData>
  <sheetProtection formatCells="0" formatColumns="0" formatRows="0"/>
  <mergeCells count="2">
    <mergeCell ref="A5:C6"/>
    <mergeCell ref="A8:C8"/>
  </mergeCells>
  <hyperlinks>
    <hyperlink ref="A11" location="'NCCI_Circular1'!A1" display="1" xr:uid="{9307E981-4145-43E3-8579-20D30744395F}"/>
    <hyperlink ref="A12" location="'NCCI_Circular2'!A1" display="2" xr:uid="{47692B96-B5C9-491E-8D98-A9DDB0368383}"/>
    <hyperlink ref="A13" location="'NCCI_Circular3'!A1" display="3" xr:uid="{2EB534A0-605B-4B3B-87F0-CAE7FD579195}"/>
    <hyperlink ref="A14" location="'NCCI_Circular4'!A1" display="4" xr:uid="{D260CD7C-A44E-4DF5-8C5C-64B77928FD99}"/>
    <hyperlink ref="A15" location="'NCCI_Informational1'!A1" display="5" xr:uid="{DDDF5A97-C318-43D5-87C0-9CF5DC6EBA17}"/>
    <hyperlink ref="A16" location="'NCCI_Informational2'!A1" display="6" xr:uid="{26295F45-7ED0-45F8-96B4-A6E5EB1EA594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EC9-CF72-49B6-8A8E-3EF97153F3AD}">
  <dimension ref="A1:O30"/>
  <sheetViews>
    <sheetView workbookViewId="0"/>
  </sheetViews>
  <sheetFormatPr defaultRowHeight="14.4" x14ac:dyDescent="0.3"/>
  <cols>
    <col min="1" max="1" width="14" bestFit="1" customWidth="1"/>
    <col min="2" max="2" width="10.5546875" customWidth="1"/>
    <col min="3" max="3" width="18.109375" customWidth="1"/>
    <col min="5" max="5" width="11.6640625" bestFit="1" customWidth="1"/>
    <col min="6" max="6" width="11.6640625" customWidth="1"/>
    <col min="7" max="7" width="11.88671875" customWidth="1"/>
    <col min="8" max="9" width="3.6640625" customWidth="1"/>
    <col min="12" max="12" width="10" bestFit="1" customWidth="1"/>
    <col min="13" max="13" width="11.109375" bestFit="1" customWidth="1"/>
    <col min="14" max="14" width="10" bestFit="1" customWidth="1"/>
  </cols>
  <sheetData>
    <row r="1" spans="1:15" x14ac:dyDescent="0.3">
      <c r="A1" s="6" t="s">
        <v>5</v>
      </c>
      <c r="B1" s="7" t="s">
        <v>12</v>
      </c>
      <c r="C1" s="7"/>
      <c r="D1" s="8"/>
      <c r="E1" s="8"/>
      <c r="F1" s="8"/>
      <c r="G1" s="175" t="s">
        <v>6</v>
      </c>
      <c r="H1" s="176"/>
      <c r="I1" s="9"/>
      <c r="J1" s="10" t="s">
        <v>7</v>
      </c>
    </row>
    <row r="2" spans="1:15" x14ac:dyDescent="0.3">
      <c r="A2" s="11" t="s">
        <v>8</v>
      </c>
      <c r="B2" s="21" t="s">
        <v>13</v>
      </c>
      <c r="C2" s="21"/>
      <c r="D2" s="21"/>
      <c r="E2" s="21"/>
      <c r="F2" s="21"/>
      <c r="G2" s="21"/>
      <c r="H2" s="12"/>
      <c r="J2" s="55"/>
      <c r="K2" s="55"/>
      <c r="L2" s="66" t="s">
        <v>61</v>
      </c>
      <c r="M2" s="56" t="s">
        <v>48</v>
      </c>
      <c r="N2" s="66" t="s">
        <v>62</v>
      </c>
      <c r="O2" s="57" t="s">
        <v>67</v>
      </c>
    </row>
    <row r="3" spans="1:15" x14ac:dyDescent="0.3">
      <c r="A3" s="11" t="s">
        <v>9</v>
      </c>
      <c r="B3" s="21" t="s">
        <v>38</v>
      </c>
      <c r="C3" s="21"/>
      <c r="D3" s="21"/>
      <c r="E3" s="21"/>
      <c r="F3" s="21"/>
      <c r="G3" s="21"/>
      <c r="H3" s="12"/>
      <c r="J3" s="58"/>
      <c r="K3" s="58" t="s">
        <v>44</v>
      </c>
      <c r="L3" s="67" t="s">
        <v>62</v>
      </c>
      <c r="M3" s="5" t="s">
        <v>64</v>
      </c>
      <c r="N3" s="67" t="s">
        <v>66</v>
      </c>
      <c r="O3" s="59" t="s">
        <v>66</v>
      </c>
    </row>
    <row r="4" spans="1:15" x14ac:dyDescent="0.3">
      <c r="A4" s="13"/>
      <c r="B4" s="22"/>
      <c r="C4" s="22"/>
      <c r="D4" s="22"/>
      <c r="E4" s="22"/>
      <c r="F4" s="22"/>
      <c r="G4" s="22"/>
      <c r="H4" s="14"/>
      <c r="J4" s="58" t="s">
        <v>43</v>
      </c>
      <c r="K4" s="58" t="s">
        <v>45</v>
      </c>
      <c r="L4" s="67" t="s">
        <v>63</v>
      </c>
      <c r="M4" s="5" t="s">
        <v>65</v>
      </c>
      <c r="N4" s="67" t="s">
        <v>63</v>
      </c>
      <c r="O4" s="59" t="s">
        <v>68</v>
      </c>
    </row>
    <row r="5" spans="1:15" x14ac:dyDescent="0.3">
      <c r="A5" s="15" t="s">
        <v>10</v>
      </c>
      <c r="B5" s="21" t="s">
        <v>58</v>
      </c>
      <c r="C5" s="16"/>
      <c r="D5" s="16"/>
      <c r="E5" s="16"/>
      <c r="F5" s="16"/>
      <c r="G5" s="16"/>
      <c r="H5" s="17"/>
      <c r="J5" s="60" t="s">
        <v>69</v>
      </c>
      <c r="K5" s="60" t="s">
        <v>70</v>
      </c>
      <c r="L5" s="68" t="s">
        <v>71</v>
      </c>
      <c r="M5" s="61" t="s">
        <v>72</v>
      </c>
      <c r="N5" s="68" t="s">
        <v>73</v>
      </c>
      <c r="O5" s="62" t="s">
        <v>74</v>
      </c>
    </row>
    <row r="6" spans="1:15" x14ac:dyDescent="0.3">
      <c r="A6" s="23"/>
      <c r="B6" s="21" t="s">
        <v>59</v>
      </c>
      <c r="C6" s="16"/>
      <c r="D6" s="16"/>
      <c r="E6" s="16"/>
      <c r="F6" s="16"/>
      <c r="G6" s="16"/>
      <c r="H6" s="17"/>
      <c r="J6" s="35" t="s">
        <v>50</v>
      </c>
      <c r="K6" s="35" t="s">
        <v>54</v>
      </c>
      <c r="L6" s="69">
        <f>D13*$B$9*$B$8</f>
        <v>75514.880000000005</v>
      </c>
      <c r="M6" s="36">
        <f>E13</f>
        <v>0.21</v>
      </c>
      <c r="N6" s="69">
        <f>L6*M6</f>
        <v>15858.1248</v>
      </c>
      <c r="O6" s="38"/>
    </row>
    <row r="7" spans="1:15" x14ac:dyDescent="0.3">
      <c r="A7" s="23"/>
      <c r="B7" s="16"/>
      <c r="C7" s="16"/>
      <c r="D7" s="16"/>
      <c r="E7" s="16"/>
      <c r="F7" s="16"/>
      <c r="G7" s="16"/>
      <c r="H7" s="17"/>
      <c r="J7" s="39" t="s">
        <v>51</v>
      </c>
      <c r="K7" s="39" t="s">
        <v>55</v>
      </c>
      <c r="L7" s="70">
        <f>D14*$B$9*$B$8</f>
        <v>61355.840000000004</v>
      </c>
      <c r="M7" s="40">
        <f t="shared" ref="M7:M9" si="0">E14</f>
        <v>0.24</v>
      </c>
      <c r="N7" s="70">
        <f t="shared" ref="N7:N9" si="1">L7*M7</f>
        <v>14725.401600000001</v>
      </c>
      <c r="O7" s="42"/>
    </row>
    <row r="8" spans="1:15" x14ac:dyDescent="0.3">
      <c r="A8" s="23"/>
      <c r="B8" s="47">
        <v>1.1200000000000001</v>
      </c>
      <c r="C8" s="28" t="s">
        <v>42</v>
      </c>
      <c r="D8" s="28"/>
      <c r="E8" s="29"/>
      <c r="F8" s="16"/>
      <c r="G8" s="16"/>
      <c r="H8" s="17"/>
      <c r="J8" s="39" t="s">
        <v>52</v>
      </c>
      <c r="K8" s="39" t="s">
        <v>56</v>
      </c>
      <c r="L8" s="70">
        <f>D15*$B$9*$B$8</f>
        <v>37757.440000000002</v>
      </c>
      <c r="M8" s="40">
        <f t="shared" si="0"/>
        <v>0.13</v>
      </c>
      <c r="N8" s="70">
        <f t="shared" si="1"/>
        <v>4908.4672</v>
      </c>
      <c r="O8" s="42"/>
    </row>
    <row r="9" spans="1:15" x14ac:dyDescent="0.3">
      <c r="A9" s="23"/>
      <c r="B9" s="53">
        <v>0.60199999999999998</v>
      </c>
      <c r="C9" s="30" t="s">
        <v>34</v>
      </c>
      <c r="D9" s="30"/>
      <c r="E9" s="31"/>
      <c r="F9" s="16"/>
      <c r="G9" s="16"/>
      <c r="H9" s="17"/>
      <c r="J9" s="43" t="s">
        <v>53</v>
      </c>
      <c r="K9" s="43" t="s">
        <v>57</v>
      </c>
      <c r="L9" s="71">
        <f>D16*$B$9*$B$8</f>
        <v>202272.00000000003</v>
      </c>
      <c r="M9" s="44">
        <f t="shared" si="0"/>
        <v>0.36</v>
      </c>
      <c r="N9" s="71">
        <f t="shared" si="1"/>
        <v>72817.920000000013</v>
      </c>
      <c r="O9" s="46"/>
    </row>
    <row r="10" spans="1:15" x14ac:dyDescent="0.3">
      <c r="A10" s="23"/>
      <c r="B10" s="16"/>
      <c r="C10" s="16"/>
      <c r="D10" s="16"/>
      <c r="E10" s="16"/>
      <c r="F10" s="16"/>
      <c r="G10" s="16"/>
      <c r="H10" s="17"/>
      <c r="J10" s="74" t="s">
        <v>75</v>
      </c>
      <c r="K10" s="64"/>
      <c r="L10" s="72">
        <f>SUM(L6:L9)</f>
        <v>376900.16000000003</v>
      </c>
      <c r="M10" s="64"/>
      <c r="N10" s="72">
        <f>SUM(N6:N9)</f>
        <v>108309.91360000001</v>
      </c>
      <c r="O10" s="65">
        <f>ROUND(N10/L10,3)</f>
        <v>0.28699999999999998</v>
      </c>
    </row>
    <row r="11" spans="1:15" x14ac:dyDescent="0.3">
      <c r="A11" s="23"/>
      <c r="B11" s="35"/>
      <c r="C11" s="47" t="s">
        <v>44</v>
      </c>
      <c r="D11" s="47" t="s">
        <v>46</v>
      </c>
      <c r="E11" s="38" t="s">
        <v>48</v>
      </c>
      <c r="F11" s="40"/>
      <c r="G11" s="16"/>
      <c r="H11" s="17"/>
    </row>
    <row r="12" spans="1:15" x14ac:dyDescent="0.3">
      <c r="A12" s="23"/>
      <c r="B12" s="43" t="s">
        <v>43</v>
      </c>
      <c r="C12" s="48" t="s">
        <v>45</v>
      </c>
      <c r="D12" s="48" t="s">
        <v>47</v>
      </c>
      <c r="E12" s="46" t="s">
        <v>49</v>
      </c>
      <c r="F12" s="40"/>
      <c r="G12" s="16"/>
      <c r="H12" s="17"/>
      <c r="J12" s="75" t="s">
        <v>76</v>
      </c>
    </row>
    <row r="13" spans="1:15" x14ac:dyDescent="0.3">
      <c r="A13" s="23"/>
      <c r="B13" s="35" t="s">
        <v>50</v>
      </c>
      <c r="C13" s="47" t="s">
        <v>54</v>
      </c>
      <c r="D13" s="50">
        <v>112000</v>
      </c>
      <c r="E13" s="38">
        <v>0.21</v>
      </c>
      <c r="F13" s="40"/>
      <c r="G13" s="16"/>
      <c r="H13" s="17"/>
      <c r="J13" t="s">
        <v>77</v>
      </c>
    </row>
    <row r="14" spans="1:15" x14ac:dyDescent="0.3">
      <c r="A14" s="23"/>
      <c r="B14" s="39" t="s">
        <v>51</v>
      </c>
      <c r="C14" s="49" t="s">
        <v>55</v>
      </c>
      <c r="D14" s="51">
        <v>91000</v>
      </c>
      <c r="E14" s="42">
        <v>0.24</v>
      </c>
      <c r="F14" s="40"/>
      <c r="G14" s="16"/>
      <c r="H14" s="17"/>
      <c r="J14" t="s">
        <v>79</v>
      </c>
    </row>
    <row r="15" spans="1:15" x14ac:dyDescent="0.3">
      <c r="A15" s="23"/>
      <c r="B15" s="39" t="s">
        <v>52</v>
      </c>
      <c r="C15" s="49" t="s">
        <v>56</v>
      </c>
      <c r="D15" s="51">
        <v>56000</v>
      </c>
      <c r="E15" s="42">
        <v>0.13</v>
      </c>
      <c r="F15" s="40"/>
      <c r="G15" s="16"/>
      <c r="H15" s="17"/>
      <c r="J15" t="s">
        <v>78</v>
      </c>
    </row>
    <row r="16" spans="1:15" x14ac:dyDescent="0.3">
      <c r="A16" s="23"/>
      <c r="B16" s="43" t="s">
        <v>53</v>
      </c>
      <c r="C16" s="48" t="s">
        <v>57</v>
      </c>
      <c r="D16" s="52">
        <v>300000</v>
      </c>
      <c r="E16" s="46">
        <v>0.36</v>
      </c>
      <c r="F16" s="40"/>
      <c r="G16" s="16"/>
      <c r="H16" s="17"/>
      <c r="J16" t="s">
        <v>80</v>
      </c>
    </row>
    <row r="17" spans="1:10" x14ac:dyDescent="0.3">
      <c r="A17" s="23"/>
      <c r="B17" s="16"/>
      <c r="C17" s="16"/>
      <c r="D17" s="16"/>
      <c r="E17" s="16"/>
      <c r="F17" s="16"/>
      <c r="G17" s="16"/>
      <c r="H17" s="17"/>
      <c r="J17" t="s">
        <v>81</v>
      </c>
    </row>
    <row r="18" spans="1:10" x14ac:dyDescent="0.3">
      <c r="A18" s="15" t="s">
        <v>11</v>
      </c>
      <c r="B18" s="16" t="s">
        <v>244</v>
      </c>
      <c r="C18" s="16"/>
      <c r="D18" s="16"/>
      <c r="E18" s="16"/>
      <c r="F18" s="16"/>
      <c r="G18" s="16"/>
      <c r="H18" s="17"/>
    </row>
    <row r="19" spans="1:10" x14ac:dyDescent="0.3">
      <c r="A19" s="23"/>
      <c r="B19" s="16" t="s">
        <v>60</v>
      </c>
      <c r="C19" s="16"/>
      <c r="D19" s="16"/>
      <c r="E19" s="16"/>
      <c r="F19" s="16"/>
      <c r="G19" s="16"/>
      <c r="H19" s="17"/>
      <c r="J19" t="s">
        <v>92</v>
      </c>
    </row>
    <row r="20" spans="1:10" x14ac:dyDescent="0.3">
      <c r="A20" s="23"/>
      <c r="B20" s="16"/>
      <c r="C20" s="16"/>
      <c r="D20" s="16"/>
      <c r="E20" s="16"/>
      <c r="F20" s="16"/>
      <c r="G20" s="16"/>
      <c r="H20" s="17"/>
    </row>
    <row r="21" spans="1:10" x14ac:dyDescent="0.3">
      <c r="A21" s="23"/>
      <c r="B21" s="79" t="s">
        <v>82</v>
      </c>
      <c r="C21" s="77"/>
      <c r="D21" s="16"/>
      <c r="E21" s="16"/>
      <c r="F21" s="16"/>
      <c r="G21" s="16"/>
      <c r="H21" s="17"/>
    </row>
    <row r="22" spans="1:10" x14ac:dyDescent="0.3">
      <c r="A22" s="23"/>
      <c r="B22" s="73" t="s">
        <v>91</v>
      </c>
      <c r="C22" s="78" t="s">
        <v>83</v>
      </c>
      <c r="D22" s="16"/>
      <c r="E22" s="16"/>
      <c r="F22" s="16"/>
      <c r="G22" s="16"/>
      <c r="H22" s="17"/>
    </row>
    <row r="23" spans="1:10" x14ac:dyDescent="0.3">
      <c r="A23" s="23"/>
      <c r="B23" s="49">
        <v>7</v>
      </c>
      <c r="C23" s="42" t="s">
        <v>84</v>
      </c>
      <c r="D23" s="16"/>
      <c r="E23" s="16"/>
      <c r="F23" s="16"/>
      <c r="G23" s="16"/>
      <c r="H23" s="17"/>
    </row>
    <row r="24" spans="1:10" x14ac:dyDescent="0.3">
      <c r="A24" s="23"/>
      <c r="B24" s="49">
        <v>8</v>
      </c>
      <c r="C24" s="42" t="s">
        <v>85</v>
      </c>
      <c r="D24" s="16"/>
      <c r="E24" s="16"/>
      <c r="F24" s="16"/>
      <c r="G24" s="16"/>
      <c r="H24" s="17"/>
    </row>
    <row r="25" spans="1:10" x14ac:dyDescent="0.3">
      <c r="A25" s="23"/>
      <c r="B25" s="49">
        <v>9</v>
      </c>
      <c r="C25" s="42" t="s">
        <v>86</v>
      </c>
      <c r="D25" s="16"/>
      <c r="E25" s="16"/>
      <c r="F25" s="16"/>
      <c r="G25" s="16"/>
      <c r="H25" s="17"/>
    </row>
    <row r="26" spans="1:10" x14ac:dyDescent="0.3">
      <c r="A26" s="23"/>
      <c r="B26" s="49">
        <v>10</v>
      </c>
      <c r="C26" s="42" t="s">
        <v>87</v>
      </c>
      <c r="D26" s="16"/>
      <c r="E26" s="16"/>
      <c r="F26" s="16"/>
      <c r="G26" s="16"/>
      <c r="H26" s="17"/>
    </row>
    <row r="27" spans="1:10" x14ac:dyDescent="0.3">
      <c r="A27" s="23"/>
      <c r="B27" s="49">
        <v>11</v>
      </c>
      <c r="C27" s="42" t="s">
        <v>88</v>
      </c>
      <c r="D27" s="16"/>
      <c r="E27" s="16"/>
      <c r="F27" s="16"/>
      <c r="G27" s="16"/>
      <c r="H27" s="17"/>
    </row>
    <row r="28" spans="1:10" x14ac:dyDescent="0.3">
      <c r="A28" s="23"/>
      <c r="B28" s="49">
        <v>12</v>
      </c>
      <c r="C28" s="42" t="s">
        <v>89</v>
      </c>
      <c r="D28" s="16"/>
      <c r="E28" s="16"/>
      <c r="F28" s="16"/>
      <c r="G28" s="16"/>
      <c r="H28" s="17"/>
    </row>
    <row r="29" spans="1:10" x14ac:dyDescent="0.3">
      <c r="A29" s="23"/>
      <c r="B29" s="48">
        <v>13</v>
      </c>
      <c r="C29" s="46" t="s">
        <v>90</v>
      </c>
      <c r="D29" s="16"/>
      <c r="E29" s="16"/>
      <c r="F29" s="16"/>
      <c r="G29" s="16"/>
      <c r="H29" s="17"/>
    </row>
    <row r="30" spans="1:10" ht="15" thickBot="1" x14ac:dyDescent="0.35">
      <c r="A30" s="24"/>
      <c r="B30" s="25"/>
      <c r="C30" s="25"/>
      <c r="D30" s="25"/>
      <c r="E30" s="25"/>
      <c r="F30" s="25"/>
      <c r="G30" s="25"/>
      <c r="H30" s="26"/>
    </row>
  </sheetData>
  <mergeCells count="1">
    <mergeCell ref="G1:H1"/>
  </mergeCells>
  <hyperlinks>
    <hyperlink ref="G1" location="TOC!A1" display="Return to TOC" xr:uid="{F86FEEA0-D69A-469A-961D-1EC6EB23E8C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8EBA5-627A-45EA-9A58-ED72B5DBAD44}">
  <dimension ref="A1:M31"/>
  <sheetViews>
    <sheetView workbookViewId="0"/>
  </sheetViews>
  <sheetFormatPr defaultRowHeight="14.4" x14ac:dyDescent="0.3"/>
  <cols>
    <col min="1" max="1" width="14" bestFit="1" customWidth="1"/>
    <col min="2" max="2" width="12.33203125" customWidth="1"/>
    <col min="3" max="3" width="10.44140625" customWidth="1"/>
    <col min="5" max="5" width="12.5546875" bestFit="1" customWidth="1"/>
    <col min="7" max="7" width="12.44140625" customWidth="1"/>
    <col min="8" max="8" width="3.6640625" customWidth="1"/>
    <col min="12" max="12" width="11.6640625" bestFit="1" customWidth="1"/>
  </cols>
  <sheetData>
    <row r="1" spans="1:13" x14ac:dyDescent="0.3">
      <c r="A1" s="6" t="s">
        <v>5</v>
      </c>
      <c r="B1" s="7" t="s">
        <v>12</v>
      </c>
      <c r="C1" s="7"/>
      <c r="D1" s="8"/>
      <c r="E1" s="8"/>
      <c r="F1" s="175" t="s">
        <v>6</v>
      </c>
      <c r="G1" s="176"/>
      <c r="H1" s="9"/>
      <c r="I1" s="10" t="s">
        <v>7</v>
      </c>
    </row>
    <row r="2" spans="1:13" x14ac:dyDescent="0.3">
      <c r="A2" s="11" t="s">
        <v>8</v>
      </c>
      <c r="B2" s="21" t="s">
        <v>13</v>
      </c>
      <c r="C2" s="21"/>
      <c r="D2" s="21"/>
      <c r="E2" s="21"/>
      <c r="F2" s="21"/>
      <c r="G2" s="12"/>
      <c r="I2" s="55"/>
      <c r="J2" s="56"/>
      <c r="K2" s="56" t="s">
        <v>61</v>
      </c>
      <c r="L2" s="56"/>
      <c r="M2" s="57" t="s">
        <v>97</v>
      </c>
    </row>
    <row r="3" spans="1:13" x14ac:dyDescent="0.3">
      <c r="A3" s="11" t="s">
        <v>9</v>
      </c>
      <c r="B3" s="21" t="s">
        <v>39</v>
      </c>
      <c r="C3" s="21"/>
      <c r="D3" s="21"/>
      <c r="E3" s="21"/>
      <c r="F3" s="21"/>
      <c r="G3" s="12"/>
      <c r="I3" s="58"/>
      <c r="J3" s="5" t="s">
        <v>44</v>
      </c>
      <c r="K3" s="5" t="s">
        <v>62</v>
      </c>
      <c r="L3" s="5" t="s">
        <v>93</v>
      </c>
      <c r="M3" s="59" t="s">
        <v>98</v>
      </c>
    </row>
    <row r="4" spans="1:13" x14ac:dyDescent="0.3">
      <c r="A4" s="13"/>
      <c r="B4" s="22"/>
      <c r="C4" s="22"/>
      <c r="D4" s="22"/>
      <c r="E4" s="22"/>
      <c r="F4" s="22"/>
      <c r="G4" s="14"/>
      <c r="I4" s="58" t="s">
        <v>43</v>
      </c>
      <c r="J4" s="5" t="s">
        <v>45</v>
      </c>
      <c r="K4" s="5" t="s">
        <v>63</v>
      </c>
      <c r="L4" s="5" t="s">
        <v>94</v>
      </c>
      <c r="M4" s="59" t="s">
        <v>99</v>
      </c>
    </row>
    <row r="5" spans="1:13" x14ac:dyDescent="0.3">
      <c r="A5" s="15" t="s">
        <v>10</v>
      </c>
      <c r="B5" s="21" t="s">
        <v>58</v>
      </c>
      <c r="C5" s="16"/>
      <c r="D5" s="16"/>
      <c r="E5" s="16"/>
      <c r="F5" s="16"/>
      <c r="G5" s="17"/>
      <c r="I5" s="60" t="s">
        <v>69</v>
      </c>
      <c r="J5" s="61" t="s">
        <v>70</v>
      </c>
      <c r="K5" s="61" t="s">
        <v>71</v>
      </c>
      <c r="L5" s="61" t="s">
        <v>72</v>
      </c>
      <c r="M5" s="62" t="s">
        <v>73</v>
      </c>
    </row>
    <row r="6" spans="1:13" x14ac:dyDescent="0.3">
      <c r="A6" s="23"/>
      <c r="B6" s="21" t="s">
        <v>59</v>
      </c>
      <c r="C6" s="16"/>
      <c r="D6" s="16"/>
      <c r="E6" s="16"/>
      <c r="F6" s="16"/>
      <c r="G6" s="17"/>
      <c r="I6" s="55" t="s">
        <v>50</v>
      </c>
      <c r="J6" s="56" t="s">
        <v>54</v>
      </c>
      <c r="K6" s="56">
        <f>D13*$B$8*$B$9</f>
        <v>79855.999999999985</v>
      </c>
      <c r="L6" s="37">
        <f>E13</f>
        <v>15000</v>
      </c>
      <c r="M6" s="85">
        <f>K6/L6</f>
        <v>5.3237333333333323</v>
      </c>
    </row>
    <row r="7" spans="1:13" x14ac:dyDescent="0.3">
      <c r="A7" s="23"/>
      <c r="B7" s="16"/>
      <c r="C7" s="16"/>
      <c r="D7" s="16"/>
      <c r="E7" s="16"/>
      <c r="F7" s="16"/>
      <c r="G7" s="17"/>
      <c r="I7" s="58" t="s">
        <v>51</v>
      </c>
      <c r="J7" s="5" t="s">
        <v>55</v>
      </c>
      <c r="K7" s="5">
        <f>D14*$B$8*$B$9</f>
        <v>64882.999999999993</v>
      </c>
      <c r="L7" s="41">
        <f>E14</f>
        <v>16000</v>
      </c>
      <c r="M7" s="86">
        <f t="shared" ref="M7:M9" si="0">K7/L7</f>
        <v>4.0551874999999997</v>
      </c>
    </row>
    <row r="8" spans="1:13" x14ac:dyDescent="0.3">
      <c r="A8" s="23"/>
      <c r="B8" s="47">
        <v>1.1499999999999999</v>
      </c>
      <c r="C8" s="28" t="s">
        <v>42</v>
      </c>
      <c r="D8" s="28"/>
      <c r="E8" s="29"/>
      <c r="F8" s="16"/>
      <c r="G8" s="17"/>
      <c r="I8" s="58" t="s">
        <v>52</v>
      </c>
      <c r="J8" s="5" t="s">
        <v>56</v>
      </c>
      <c r="K8" s="5">
        <f>D15*$B$8*$B$9</f>
        <v>39927.999999999993</v>
      </c>
      <c r="L8" s="41">
        <f>E15</f>
        <v>9000</v>
      </c>
      <c r="M8" s="86">
        <f t="shared" si="0"/>
        <v>4.4364444444444437</v>
      </c>
    </row>
    <row r="9" spans="1:13" x14ac:dyDescent="0.3">
      <c r="A9" s="23"/>
      <c r="B9" s="53">
        <v>0.62</v>
      </c>
      <c r="C9" s="30" t="s">
        <v>34</v>
      </c>
      <c r="D9" s="30"/>
      <c r="E9" s="31"/>
      <c r="F9" s="16"/>
      <c r="G9" s="17"/>
      <c r="I9" s="76" t="s">
        <v>53</v>
      </c>
      <c r="J9" s="63" t="s">
        <v>57</v>
      </c>
      <c r="K9" s="63">
        <f>D16*$B$8*$B$9</f>
        <v>213900</v>
      </c>
      <c r="L9" s="45">
        <f>E16</f>
        <v>18500</v>
      </c>
      <c r="M9" s="87">
        <f t="shared" si="0"/>
        <v>11.562162162162162</v>
      </c>
    </row>
    <row r="10" spans="1:13" x14ac:dyDescent="0.3">
      <c r="A10" s="23"/>
      <c r="B10" s="16"/>
      <c r="C10" s="16"/>
      <c r="D10" s="16"/>
      <c r="E10" s="16"/>
      <c r="F10" s="16"/>
      <c r="G10" s="17"/>
      <c r="I10" s="88" t="s">
        <v>75</v>
      </c>
      <c r="J10" s="64"/>
      <c r="K10" s="64"/>
      <c r="L10" s="64"/>
      <c r="M10" s="65">
        <f>ROUND(SUM(M6:M9),2)</f>
        <v>25.38</v>
      </c>
    </row>
    <row r="11" spans="1:13" x14ac:dyDescent="0.3">
      <c r="A11" s="23"/>
      <c r="B11" s="35"/>
      <c r="C11" s="47" t="s">
        <v>44</v>
      </c>
      <c r="D11" s="47" t="s">
        <v>46</v>
      </c>
      <c r="E11" s="38" t="s">
        <v>93</v>
      </c>
      <c r="F11" s="16"/>
      <c r="G11" s="17"/>
    </row>
    <row r="12" spans="1:13" x14ac:dyDescent="0.3">
      <c r="A12" s="23"/>
      <c r="B12" s="43" t="s">
        <v>43</v>
      </c>
      <c r="C12" s="48" t="s">
        <v>45</v>
      </c>
      <c r="D12" s="48" t="s">
        <v>47</v>
      </c>
      <c r="E12" s="46" t="s">
        <v>94</v>
      </c>
      <c r="F12" s="16"/>
      <c r="G12" s="17"/>
      <c r="I12" s="84" t="s">
        <v>76</v>
      </c>
    </row>
    <row r="13" spans="1:13" x14ac:dyDescent="0.3">
      <c r="A13" s="23"/>
      <c r="B13" s="35" t="s">
        <v>50</v>
      </c>
      <c r="C13" s="47" t="s">
        <v>54</v>
      </c>
      <c r="D13" s="50">
        <v>112000</v>
      </c>
      <c r="E13" s="81">
        <v>15000</v>
      </c>
      <c r="F13" s="16"/>
      <c r="G13" s="17"/>
      <c r="I13" t="s">
        <v>100</v>
      </c>
    </row>
    <row r="14" spans="1:13" x14ac:dyDescent="0.3">
      <c r="A14" s="23"/>
      <c r="B14" s="39" t="s">
        <v>51</v>
      </c>
      <c r="C14" s="49" t="s">
        <v>55</v>
      </c>
      <c r="D14" s="51">
        <v>91000</v>
      </c>
      <c r="E14" s="82">
        <v>16000</v>
      </c>
      <c r="F14" s="16"/>
      <c r="G14" s="17"/>
    </row>
    <row r="15" spans="1:13" x14ac:dyDescent="0.3">
      <c r="A15" s="23"/>
      <c r="B15" s="39" t="s">
        <v>52</v>
      </c>
      <c r="C15" s="49" t="s">
        <v>56</v>
      </c>
      <c r="D15" s="51">
        <v>56000</v>
      </c>
      <c r="E15" s="82">
        <v>9000</v>
      </c>
      <c r="F15" s="16"/>
      <c r="G15" s="17"/>
      <c r="I15" t="s">
        <v>101</v>
      </c>
    </row>
    <row r="16" spans="1:13" x14ac:dyDescent="0.3">
      <c r="A16" s="23"/>
      <c r="B16" s="43" t="s">
        <v>53</v>
      </c>
      <c r="C16" s="48" t="s">
        <v>57</v>
      </c>
      <c r="D16" s="52">
        <v>300000</v>
      </c>
      <c r="E16" s="83">
        <v>18500</v>
      </c>
      <c r="F16" s="16"/>
      <c r="G16" s="17"/>
      <c r="I16" t="s">
        <v>111</v>
      </c>
    </row>
    <row r="17" spans="1:7" x14ac:dyDescent="0.3">
      <c r="A17" s="23"/>
      <c r="B17" s="16"/>
      <c r="C17" s="16"/>
      <c r="D17" s="16"/>
      <c r="E17" s="16"/>
      <c r="F17" s="16"/>
      <c r="G17" s="17"/>
    </row>
    <row r="18" spans="1:7" x14ac:dyDescent="0.3">
      <c r="A18" s="15" t="s">
        <v>11</v>
      </c>
      <c r="B18" s="80" t="s">
        <v>95</v>
      </c>
      <c r="C18" s="16"/>
      <c r="D18" s="16"/>
      <c r="E18" s="16"/>
      <c r="F18" s="16"/>
      <c r="G18" s="17"/>
    </row>
    <row r="19" spans="1:7" x14ac:dyDescent="0.3">
      <c r="A19" s="23"/>
      <c r="B19" s="80" t="s">
        <v>96</v>
      </c>
      <c r="C19" s="16"/>
      <c r="D19" s="16"/>
      <c r="E19" s="16"/>
      <c r="F19" s="16"/>
      <c r="G19" s="17"/>
    </row>
    <row r="20" spans="1:7" x14ac:dyDescent="0.3">
      <c r="A20" s="23"/>
      <c r="B20" s="16"/>
      <c r="C20" s="16"/>
      <c r="D20" s="16"/>
      <c r="E20" s="16"/>
      <c r="F20" s="16"/>
      <c r="G20" s="17"/>
    </row>
    <row r="21" spans="1:7" x14ac:dyDescent="0.3">
      <c r="A21" s="23"/>
      <c r="B21" s="47" t="s">
        <v>62</v>
      </c>
      <c r="C21" s="38" t="s">
        <v>62</v>
      </c>
      <c r="D21" s="16"/>
      <c r="E21" s="16"/>
      <c r="F21" s="16"/>
      <c r="G21" s="17"/>
    </row>
    <row r="22" spans="1:7" x14ac:dyDescent="0.3">
      <c r="A22" s="23"/>
      <c r="B22" s="49" t="s">
        <v>102</v>
      </c>
      <c r="C22" s="42" t="s">
        <v>103</v>
      </c>
      <c r="D22" s="16"/>
      <c r="E22" s="16"/>
      <c r="F22" s="16"/>
      <c r="G22" s="17"/>
    </row>
    <row r="23" spans="1:7" x14ac:dyDescent="0.3">
      <c r="A23" s="23"/>
      <c r="B23" s="48" t="s">
        <v>45</v>
      </c>
      <c r="C23" s="46" t="s">
        <v>99</v>
      </c>
      <c r="D23" s="16"/>
      <c r="E23" s="16"/>
      <c r="F23" s="16"/>
      <c r="G23" s="17"/>
    </row>
    <row r="24" spans="1:7" x14ac:dyDescent="0.3">
      <c r="A24" s="23"/>
      <c r="B24" s="49">
        <v>50</v>
      </c>
      <c r="C24" s="42" t="s">
        <v>104</v>
      </c>
      <c r="D24" s="16"/>
      <c r="E24" s="16"/>
      <c r="F24" s="16"/>
      <c r="G24" s="17"/>
    </row>
    <row r="25" spans="1:7" x14ac:dyDescent="0.3">
      <c r="A25" s="23"/>
      <c r="B25" s="49">
        <v>49</v>
      </c>
      <c r="C25" s="42" t="s">
        <v>105</v>
      </c>
      <c r="D25" s="16"/>
      <c r="E25" s="16"/>
      <c r="F25" s="16"/>
      <c r="G25" s="17"/>
    </row>
    <row r="26" spans="1:7" x14ac:dyDescent="0.3">
      <c r="A26" s="23"/>
      <c r="B26" s="49">
        <v>48</v>
      </c>
      <c r="C26" s="42" t="s">
        <v>106</v>
      </c>
      <c r="D26" s="16"/>
      <c r="E26" s="16"/>
      <c r="F26" s="16"/>
      <c r="G26" s="17"/>
    </row>
    <row r="27" spans="1:7" x14ac:dyDescent="0.3">
      <c r="A27" s="23"/>
      <c r="B27" s="49">
        <v>47</v>
      </c>
      <c r="C27" s="42" t="s">
        <v>107</v>
      </c>
      <c r="D27" s="16"/>
      <c r="E27" s="16"/>
      <c r="F27" s="16"/>
      <c r="G27" s="17"/>
    </row>
    <row r="28" spans="1:7" x14ac:dyDescent="0.3">
      <c r="A28" s="23"/>
      <c r="B28" s="49">
        <v>46</v>
      </c>
      <c r="C28" s="42" t="s">
        <v>108</v>
      </c>
      <c r="D28" s="16"/>
      <c r="E28" s="16"/>
      <c r="F28" s="16"/>
      <c r="G28" s="17"/>
    </row>
    <row r="29" spans="1:7" x14ac:dyDescent="0.3">
      <c r="A29" s="23"/>
      <c r="B29" s="49">
        <v>45</v>
      </c>
      <c r="C29" s="42" t="s">
        <v>109</v>
      </c>
      <c r="D29" s="16"/>
      <c r="E29" s="16"/>
      <c r="F29" s="16"/>
      <c r="G29" s="17"/>
    </row>
    <row r="30" spans="1:7" x14ac:dyDescent="0.3">
      <c r="A30" s="23"/>
      <c r="B30" s="48">
        <v>44</v>
      </c>
      <c r="C30" s="46" t="s">
        <v>110</v>
      </c>
      <c r="D30" s="16"/>
      <c r="E30" s="16"/>
      <c r="F30" s="16"/>
      <c r="G30" s="17"/>
    </row>
    <row r="31" spans="1:7" ht="15" thickBot="1" x14ac:dyDescent="0.35">
      <c r="A31" s="24"/>
      <c r="B31" s="25"/>
      <c r="C31" s="25"/>
      <c r="D31" s="25"/>
      <c r="E31" s="25"/>
      <c r="F31" s="25"/>
      <c r="G31" s="26"/>
    </row>
  </sheetData>
  <mergeCells count="1">
    <mergeCell ref="F1:G1"/>
  </mergeCells>
  <hyperlinks>
    <hyperlink ref="F1" location="TOC!A1" display="Return to TOC" xr:uid="{C4174096-22F7-4A18-A21F-4885BE1A8FE8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4F66F-021B-42FB-A926-AA53DB9D8D0B}">
  <dimension ref="A1:R32"/>
  <sheetViews>
    <sheetView workbookViewId="0"/>
  </sheetViews>
  <sheetFormatPr defaultRowHeight="14.4" x14ac:dyDescent="0.3"/>
  <cols>
    <col min="1" max="1" width="13.33203125" bestFit="1" customWidth="1"/>
    <col min="7" max="7" width="10.6640625" customWidth="1"/>
    <col min="8" max="8" width="3.6640625" customWidth="1"/>
    <col min="11" max="11" width="9.88671875" customWidth="1"/>
    <col min="12" max="12" width="11.33203125" bestFit="1" customWidth="1"/>
    <col min="13" max="13" width="10.5546875" bestFit="1" customWidth="1"/>
  </cols>
  <sheetData>
    <row r="1" spans="1:15" x14ac:dyDescent="0.3">
      <c r="A1" s="6" t="s">
        <v>5</v>
      </c>
      <c r="B1" s="7" t="s">
        <v>12</v>
      </c>
      <c r="C1" s="7"/>
      <c r="D1" s="8"/>
      <c r="E1" s="8"/>
      <c r="F1" s="175" t="s">
        <v>6</v>
      </c>
      <c r="G1" s="176"/>
      <c r="H1" s="9"/>
      <c r="I1" s="10" t="s">
        <v>7</v>
      </c>
    </row>
    <row r="2" spans="1:15" x14ac:dyDescent="0.3">
      <c r="A2" s="11" t="s">
        <v>8</v>
      </c>
      <c r="B2" s="21" t="s">
        <v>13</v>
      </c>
      <c r="C2" s="21"/>
      <c r="D2" s="21"/>
      <c r="E2" s="21"/>
      <c r="F2" s="21"/>
      <c r="G2" s="12"/>
      <c r="I2" s="90" t="s">
        <v>21</v>
      </c>
      <c r="J2" s="90" t="s">
        <v>22</v>
      </c>
      <c r="K2" s="90" t="s">
        <v>23</v>
      </c>
    </row>
    <row r="3" spans="1:15" x14ac:dyDescent="0.3">
      <c r="A3" s="11" t="s">
        <v>9</v>
      </c>
      <c r="B3" s="21" t="s">
        <v>148</v>
      </c>
      <c r="C3" s="21"/>
      <c r="D3" s="21"/>
      <c r="E3" s="21"/>
      <c r="F3" s="21"/>
      <c r="G3" s="12"/>
      <c r="I3" t="s">
        <v>24</v>
      </c>
      <c r="J3" s="18">
        <f>B9</f>
        <v>100000</v>
      </c>
      <c r="K3" t="s">
        <v>136</v>
      </c>
    </row>
    <row r="4" spans="1:15" x14ac:dyDescent="0.3">
      <c r="A4" s="13"/>
      <c r="B4" s="22" t="s">
        <v>149</v>
      </c>
      <c r="C4" s="22"/>
      <c r="D4" s="22"/>
      <c r="E4" s="22"/>
      <c r="F4" s="22"/>
      <c r="G4" s="14"/>
      <c r="I4" t="s">
        <v>25</v>
      </c>
      <c r="J4" s="18">
        <f>ROUND(J3*J5,0)</f>
        <v>60000</v>
      </c>
      <c r="K4" t="s">
        <v>33</v>
      </c>
    </row>
    <row r="5" spans="1:15" x14ac:dyDescent="0.3">
      <c r="A5" s="16"/>
      <c r="B5" s="16"/>
      <c r="C5" s="16"/>
      <c r="D5" s="16"/>
      <c r="E5" s="16"/>
      <c r="F5" s="16"/>
      <c r="G5" s="17"/>
      <c r="I5" t="s">
        <v>26</v>
      </c>
      <c r="J5" s="19">
        <f>B14</f>
        <v>0.6</v>
      </c>
      <c r="K5" t="s">
        <v>137</v>
      </c>
    </row>
    <row r="6" spans="1:15" x14ac:dyDescent="0.3">
      <c r="A6" s="15" t="s">
        <v>10</v>
      </c>
      <c r="B6" s="21" t="s">
        <v>27</v>
      </c>
      <c r="C6" s="16"/>
      <c r="D6" s="16"/>
      <c r="E6" s="16"/>
      <c r="F6" s="16"/>
      <c r="G6" s="17"/>
      <c r="I6" s="89" t="s">
        <v>29</v>
      </c>
      <c r="J6" s="94">
        <f>ROUND(J7/J5,3)</f>
        <v>0.25</v>
      </c>
      <c r="K6" s="89" t="s">
        <v>112</v>
      </c>
      <c r="L6" s="16"/>
      <c r="M6" s="16"/>
      <c r="N6" s="16"/>
      <c r="O6" s="16"/>
    </row>
    <row r="7" spans="1:15" x14ac:dyDescent="0.3">
      <c r="A7" s="23"/>
      <c r="B7" s="16" t="s">
        <v>28</v>
      </c>
      <c r="C7" s="16"/>
      <c r="D7" s="16"/>
      <c r="E7" s="16"/>
      <c r="F7" s="16"/>
      <c r="G7" s="17"/>
      <c r="I7" t="s">
        <v>30</v>
      </c>
      <c r="J7" s="20">
        <f>B16</f>
        <v>0.15</v>
      </c>
      <c r="K7" t="s">
        <v>31</v>
      </c>
    </row>
    <row r="8" spans="1:15" x14ac:dyDescent="0.3">
      <c r="A8" s="23"/>
      <c r="B8" s="16"/>
      <c r="C8" s="16"/>
      <c r="D8" s="16"/>
      <c r="E8" s="16"/>
      <c r="F8" s="16"/>
      <c r="G8" s="17"/>
      <c r="I8" t="s">
        <v>32</v>
      </c>
      <c r="J8" s="19">
        <f>ROUND(J5-J7,3)</f>
        <v>0.45</v>
      </c>
      <c r="K8" t="s">
        <v>35</v>
      </c>
    </row>
    <row r="9" spans="1:15" x14ac:dyDescent="0.3">
      <c r="A9" s="23"/>
      <c r="B9" s="91">
        <v>100000</v>
      </c>
      <c r="C9" s="27" t="s">
        <v>14</v>
      </c>
      <c r="D9" s="28"/>
      <c r="E9" s="28"/>
      <c r="F9" s="29"/>
      <c r="G9" s="17"/>
      <c r="I9" s="89" t="s">
        <v>36</v>
      </c>
      <c r="J9" s="95">
        <f>ROUND(B14*B9/B17,2)</f>
        <v>5.45</v>
      </c>
      <c r="K9" s="89" t="s">
        <v>114</v>
      </c>
      <c r="L9" s="89"/>
      <c r="M9" s="89"/>
      <c r="N9" s="89"/>
      <c r="O9" s="89"/>
    </row>
    <row r="10" spans="1:15" x14ac:dyDescent="0.3">
      <c r="A10" s="23"/>
      <c r="B10" s="92">
        <v>0.8</v>
      </c>
      <c r="C10" s="33" t="s">
        <v>19</v>
      </c>
      <c r="D10" s="16"/>
      <c r="E10" s="16"/>
      <c r="F10" s="34"/>
      <c r="G10" s="17"/>
      <c r="I10" t="s">
        <v>115</v>
      </c>
      <c r="J10" s="18">
        <f>J3*B15</f>
        <v>18000</v>
      </c>
      <c r="K10" t="s">
        <v>123</v>
      </c>
    </row>
    <row r="11" spans="1:15" x14ac:dyDescent="0.3">
      <c r="A11" s="23"/>
      <c r="B11" s="92">
        <v>1.4</v>
      </c>
      <c r="C11" s="33" t="s">
        <v>20</v>
      </c>
      <c r="D11" s="16"/>
      <c r="E11" s="16"/>
      <c r="F11" s="34"/>
      <c r="G11" s="17"/>
      <c r="I11" t="s">
        <v>116</v>
      </c>
      <c r="J11" s="96">
        <f>(J4+J10)/J3</f>
        <v>0.78</v>
      </c>
      <c r="K11" t="s">
        <v>124</v>
      </c>
    </row>
    <row r="12" spans="1:15" x14ac:dyDescent="0.3">
      <c r="A12" s="23"/>
      <c r="B12" s="92">
        <v>1.06</v>
      </c>
      <c r="C12" s="33" t="s">
        <v>15</v>
      </c>
      <c r="D12" s="16"/>
      <c r="E12" s="16"/>
      <c r="F12" s="34"/>
      <c r="G12" s="17"/>
      <c r="I12" t="s">
        <v>117</v>
      </c>
      <c r="J12" s="5">
        <f>J5*B12</f>
        <v>0.63600000000000001</v>
      </c>
      <c r="K12" t="s">
        <v>125</v>
      </c>
    </row>
    <row r="13" spans="1:15" x14ac:dyDescent="0.3">
      <c r="A13" s="23"/>
      <c r="B13" s="49">
        <v>1.03</v>
      </c>
      <c r="C13" s="33" t="s">
        <v>16</v>
      </c>
      <c r="D13" s="16"/>
      <c r="E13" s="16"/>
      <c r="F13" s="34"/>
      <c r="G13" s="17"/>
      <c r="I13" t="s">
        <v>118</v>
      </c>
      <c r="J13" s="19">
        <f>J11-J12</f>
        <v>0.14400000000000002</v>
      </c>
      <c r="K13" t="s">
        <v>126</v>
      </c>
    </row>
    <row r="14" spans="1:15" x14ac:dyDescent="0.3">
      <c r="A14" s="23"/>
      <c r="B14" s="93">
        <v>0.6</v>
      </c>
      <c r="C14" s="33" t="s">
        <v>34</v>
      </c>
      <c r="D14" s="16"/>
      <c r="E14" s="16"/>
      <c r="F14" s="34"/>
      <c r="G14" s="17"/>
      <c r="I14" t="s">
        <v>119</v>
      </c>
      <c r="J14" s="5">
        <f>ROUND(B10/B13,3)</f>
        <v>0.77700000000000002</v>
      </c>
      <c r="K14" t="s">
        <v>127</v>
      </c>
    </row>
    <row r="15" spans="1:15" x14ac:dyDescent="0.3">
      <c r="A15" s="23"/>
      <c r="B15" s="93">
        <v>0.18</v>
      </c>
      <c r="C15" s="33" t="s">
        <v>17</v>
      </c>
      <c r="D15" s="16"/>
      <c r="E15" s="16"/>
      <c r="F15" s="34"/>
      <c r="G15" s="17"/>
      <c r="I15" t="s">
        <v>120</v>
      </c>
      <c r="J15" s="5">
        <f>ROUND(B11/B13,3)</f>
        <v>1.359</v>
      </c>
      <c r="K15" t="s">
        <v>128</v>
      </c>
    </row>
    <row r="16" spans="1:15" x14ac:dyDescent="0.3">
      <c r="A16" s="23"/>
      <c r="B16" s="92">
        <v>0.15</v>
      </c>
      <c r="C16" s="33" t="s">
        <v>18</v>
      </c>
      <c r="D16" s="16"/>
      <c r="E16" s="16"/>
      <c r="F16" s="34"/>
      <c r="G16" s="17"/>
      <c r="H16" t="s">
        <v>243</v>
      </c>
      <c r="I16" t="s">
        <v>121</v>
      </c>
      <c r="J16" s="54">
        <f>ROUND((J11-J14)/(B12*J8),4)</f>
        <v>6.3E-3</v>
      </c>
      <c r="K16" t="s">
        <v>129</v>
      </c>
    </row>
    <row r="17" spans="1:18" x14ac:dyDescent="0.3">
      <c r="A17" s="23"/>
      <c r="B17" s="52">
        <v>11000</v>
      </c>
      <c r="C17" s="32" t="s">
        <v>113</v>
      </c>
      <c r="D17" s="30"/>
      <c r="E17" s="30"/>
      <c r="F17" s="31"/>
      <c r="G17" s="17"/>
      <c r="H17" t="s">
        <v>192</v>
      </c>
      <c r="I17" t="s">
        <v>122</v>
      </c>
      <c r="J17" s="54">
        <f>ROUND((J15-J14)/(B12*J8),2)</f>
        <v>1.22</v>
      </c>
      <c r="K17" t="s">
        <v>130</v>
      </c>
    </row>
    <row r="18" spans="1:18" x14ac:dyDescent="0.3">
      <c r="A18" s="23"/>
      <c r="B18" s="16"/>
      <c r="C18" s="16"/>
      <c r="D18" s="16"/>
      <c r="E18" s="16"/>
      <c r="F18" s="16"/>
      <c r="G18" s="17"/>
    </row>
    <row r="19" spans="1:18" x14ac:dyDescent="0.3">
      <c r="A19" s="23"/>
      <c r="B19" s="16" t="s">
        <v>37</v>
      </c>
      <c r="C19" s="16"/>
      <c r="D19" s="16"/>
      <c r="E19" s="16"/>
      <c r="F19" s="16"/>
      <c r="G19" s="17"/>
      <c r="I19" s="89" t="s">
        <v>134</v>
      </c>
      <c r="J19" s="16"/>
      <c r="K19" s="16"/>
      <c r="L19" s="16"/>
      <c r="M19" s="16"/>
      <c r="N19" s="16"/>
      <c r="O19" s="16"/>
      <c r="P19" s="16"/>
      <c r="Q19" s="16"/>
      <c r="R19" s="16"/>
    </row>
    <row r="20" spans="1:18" x14ac:dyDescent="0.3">
      <c r="A20" s="23"/>
      <c r="B20" s="16"/>
      <c r="C20" s="16"/>
      <c r="D20" s="16"/>
      <c r="E20" s="16"/>
      <c r="F20" s="16"/>
      <c r="G20" s="17"/>
    </row>
    <row r="21" spans="1:18" x14ac:dyDescent="0.3">
      <c r="A21" s="15" t="s">
        <v>11</v>
      </c>
      <c r="B21" s="16" t="s">
        <v>131</v>
      </c>
      <c r="C21" s="16"/>
      <c r="D21" s="16"/>
      <c r="E21" s="16"/>
      <c r="F21" s="16"/>
      <c r="G21" s="17"/>
      <c r="I21" s="84" t="s">
        <v>76</v>
      </c>
    </row>
    <row r="22" spans="1:18" x14ac:dyDescent="0.3">
      <c r="A22" s="23"/>
      <c r="B22" s="16" t="s">
        <v>132</v>
      </c>
      <c r="C22" s="16"/>
      <c r="D22" s="16"/>
      <c r="E22" s="16"/>
      <c r="F22" s="16"/>
      <c r="G22" s="17"/>
      <c r="I22" t="s">
        <v>135</v>
      </c>
    </row>
    <row r="23" spans="1:18" x14ac:dyDescent="0.3">
      <c r="A23" s="23"/>
      <c r="B23" s="16" t="s">
        <v>133</v>
      </c>
      <c r="C23" s="16"/>
      <c r="D23" s="16"/>
      <c r="E23" s="16"/>
      <c r="F23" s="16"/>
      <c r="G23" s="17"/>
      <c r="I23" t="s">
        <v>138</v>
      </c>
    </row>
    <row r="24" spans="1:18" ht="15" thickBot="1" x14ac:dyDescent="0.35">
      <c r="A24" s="24"/>
      <c r="B24" s="25"/>
      <c r="C24" s="25"/>
      <c r="D24" s="25"/>
      <c r="E24" s="25"/>
      <c r="F24" s="25"/>
      <c r="G24" s="26"/>
      <c r="I24" t="s">
        <v>139</v>
      </c>
    </row>
    <row r="25" spans="1:18" x14ac:dyDescent="0.3">
      <c r="I25" t="s">
        <v>140</v>
      </c>
    </row>
    <row r="26" spans="1:18" x14ac:dyDescent="0.3">
      <c r="I26" t="s">
        <v>141</v>
      </c>
    </row>
    <row r="27" spans="1:18" x14ac:dyDescent="0.3">
      <c r="I27" t="s">
        <v>142</v>
      </c>
    </row>
    <row r="28" spans="1:18" x14ac:dyDescent="0.3">
      <c r="I28" t="s">
        <v>143</v>
      </c>
    </row>
    <row r="29" spans="1:18" x14ac:dyDescent="0.3">
      <c r="I29" t="s">
        <v>144</v>
      </c>
    </row>
    <row r="30" spans="1:18" x14ac:dyDescent="0.3">
      <c r="I30" t="s">
        <v>145</v>
      </c>
    </row>
    <row r="31" spans="1:18" x14ac:dyDescent="0.3">
      <c r="I31" t="s">
        <v>146</v>
      </c>
    </row>
    <row r="32" spans="1:18" x14ac:dyDescent="0.3">
      <c r="I32" t="s">
        <v>147</v>
      </c>
    </row>
  </sheetData>
  <mergeCells count="1">
    <mergeCell ref="F1:G1"/>
  </mergeCells>
  <hyperlinks>
    <hyperlink ref="F1" location="TOC!A1" display="Return to TOC" xr:uid="{895D4017-D752-4E88-8F14-CBCD975A2BC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6D64A-92F0-40D6-AFFD-7FCD3C93DEE3}">
  <dimension ref="A1:R49"/>
  <sheetViews>
    <sheetView workbookViewId="0"/>
  </sheetViews>
  <sheetFormatPr defaultRowHeight="14.4" x14ac:dyDescent="0.3"/>
  <cols>
    <col min="1" max="1" width="13.33203125" bestFit="1" customWidth="1"/>
    <col min="2" max="2" width="15.33203125" customWidth="1"/>
    <col min="8" max="8" width="11.109375" customWidth="1"/>
    <col min="9" max="9" width="3.6640625" customWidth="1"/>
    <col min="11" max="11" width="13.109375" bestFit="1" customWidth="1"/>
  </cols>
  <sheetData>
    <row r="1" spans="1:18" x14ac:dyDescent="0.3">
      <c r="A1" s="6" t="s">
        <v>5</v>
      </c>
      <c r="B1" s="7" t="s">
        <v>12</v>
      </c>
      <c r="C1" s="7"/>
      <c r="D1" s="8"/>
      <c r="E1" s="8"/>
      <c r="F1" s="8"/>
      <c r="G1" s="175" t="s">
        <v>6</v>
      </c>
      <c r="H1" s="176"/>
      <c r="I1" s="9"/>
      <c r="J1" s="10" t="s">
        <v>7</v>
      </c>
    </row>
    <row r="2" spans="1:18" x14ac:dyDescent="0.3">
      <c r="A2" s="11" t="s">
        <v>8</v>
      </c>
      <c r="B2" s="21" t="s">
        <v>13</v>
      </c>
      <c r="C2" s="21"/>
      <c r="D2" s="21"/>
      <c r="E2" s="21"/>
      <c r="F2" s="21"/>
      <c r="G2" s="21"/>
      <c r="H2" s="12"/>
      <c r="J2" s="90" t="s">
        <v>21</v>
      </c>
      <c r="K2" s="90" t="s">
        <v>22</v>
      </c>
      <c r="L2" s="90" t="s">
        <v>23</v>
      </c>
    </row>
    <row r="3" spans="1:18" x14ac:dyDescent="0.3">
      <c r="A3" s="11" t="s">
        <v>9</v>
      </c>
      <c r="B3" s="21" t="s">
        <v>188</v>
      </c>
      <c r="C3" s="21"/>
      <c r="D3" s="21"/>
      <c r="E3" s="21"/>
      <c r="F3" s="21"/>
      <c r="G3" s="21"/>
      <c r="H3" s="12"/>
      <c r="J3" t="s">
        <v>24</v>
      </c>
      <c r="K3" s="18">
        <f>B7</f>
        <v>3000000</v>
      </c>
      <c r="L3" t="s">
        <v>136</v>
      </c>
    </row>
    <row r="4" spans="1:18" x14ac:dyDescent="0.3">
      <c r="A4" s="13"/>
      <c r="B4" s="22"/>
      <c r="C4" s="22"/>
      <c r="D4" s="22"/>
      <c r="E4" s="22"/>
      <c r="F4" s="22"/>
      <c r="G4" s="22"/>
      <c r="H4" s="14"/>
      <c r="J4" t="s">
        <v>25</v>
      </c>
      <c r="K4" s="130">
        <f>B7*B14</f>
        <v>1860000</v>
      </c>
      <c r="L4" t="s">
        <v>156</v>
      </c>
    </row>
    <row r="5" spans="1:18" x14ac:dyDescent="0.3">
      <c r="A5" s="15" t="s">
        <v>10</v>
      </c>
      <c r="B5" s="21" t="s">
        <v>150</v>
      </c>
      <c r="C5" s="16"/>
      <c r="D5" s="16"/>
      <c r="E5" s="16"/>
      <c r="F5" s="16"/>
      <c r="G5" s="16"/>
      <c r="H5" s="17"/>
      <c r="J5" t="s">
        <v>26</v>
      </c>
      <c r="K5" s="131">
        <f>B14</f>
        <v>0.62</v>
      </c>
      <c r="L5" t="s">
        <v>157</v>
      </c>
    </row>
    <row r="6" spans="1:18" x14ac:dyDescent="0.3">
      <c r="A6" s="23"/>
      <c r="B6" s="16"/>
      <c r="C6" s="16"/>
      <c r="D6" s="16"/>
      <c r="E6" s="16"/>
      <c r="F6" s="16"/>
      <c r="G6" s="16"/>
      <c r="H6" s="17"/>
      <c r="J6" t="s">
        <v>29</v>
      </c>
      <c r="K6" s="5">
        <f>ROUND(K7/K5,3)</f>
        <v>0.14099999999999999</v>
      </c>
      <c r="L6" t="s">
        <v>159</v>
      </c>
    </row>
    <row r="7" spans="1:18" x14ac:dyDescent="0.3">
      <c r="A7" s="23"/>
      <c r="B7" s="91">
        <v>3000000</v>
      </c>
      <c r="C7" s="27" t="s">
        <v>14</v>
      </c>
      <c r="D7" s="28"/>
      <c r="E7" s="28"/>
      <c r="F7" s="28"/>
      <c r="G7" s="29"/>
      <c r="H7" s="17"/>
      <c r="J7" t="s">
        <v>30</v>
      </c>
      <c r="K7" s="20">
        <f>B14*B16</f>
        <v>8.7419999999999998E-2</v>
      </c>
      <c r="L7" t="s">
        <v>158</v>
      </c>
    </row>
    <row r="8" spans="1:18" x14ac:dyDescent="0.3">
      <c r="A8" s="23"/>
      <c r="B8" s="92">
        <v>0.7</v>
      </c>
      <c r="C8" s="33" t="s">
        <v>19</v>
      </c>
      <c r="D8" s="16"/>
      <c r="E8" s="16"/>
      <c r="F8" s="16"/>
      <c r="G8" s="34"/>
      <c r="H8" s="17"/>
      <c r="J8" t="s">
        <v>32</v>
      </c>
      <c r="K8" s="131">
        <f>ROUND(K5-K7,3)</f>
        <v>0.53300000000000003</v>
      </c>
      <c r="L8" t="s">
        <v>35</v>
      </c>
    </row>
    <row r="9" spans="1:18" x14ac:dyDescent="0.3">
      <c r="A9" s="23"/>
      <c r="B9" s="92">
        <v>1.25</v>
      </c>
      <c r="C9" s="33" t="s">
        <v>20</v>
      </c>
      <c r="D9" s="16"/>
      <c r="E9" s="16"/>
      <c r="F9" s="16"/>
      <c r="G9" s="34"/>
      <c r="H9" s="17"/>
      <c r="J9" t="s">
        <v>36</v>
      </c>
      <c r="K9" s="133">
        <f>ROUND(B7*B14/B15,2)</f>
        <v>77.5</v>
      </c>
      <c r="L9" t="s">
        <v>190</v>
      </c>
    </row>
    <row r="10" spans="1:18" x14ac:dyDescent="0.3">
      <c r="A10" s="23"/>
      <c r="B10" s="92">
        <v>1.1000000000000001</v>
      </c>
      <c r="C10" s="33" t="s">
        <v>15</v>
      </c>
      <c r="D10" s="16"/>
      <c r="E10" s="16"/>
      <c r="F10" s="16"/>
      <c r="G10" s="34"/>
      <c r="H10" s="17"/>
      <c r="J10" t="s">
        <v>115</v>
      </c>
      <c r="K10" s="18">
        <f>K3*B13</f>
        <v>690000</v>
      </c>
      <c r="L10" t="s">
        <v>123</v>
      </c>
    </row>
    <row r="11" spans="1:18" x14ac:dyDescent="0.3">
      <c r="A11" s="23"/>
      <c r="B11" s="92">
        <v>1.05</v>
      </c>
      <c r="C11" s="33" t="s">
        <v>16</v>
      </c>
      <c r="D11" s="16"/>
      <c r="E11" s="16"/>
      <c r="F11" s="16"/>
      <c r="G11" s="34"/>
      <c r="H11" s="17"/>
      <c r="J11" t="s">
        <v>116</v>
      </c>
      <c r="K11" s="5">
        <f>(K4+K10)/K3</f>
        <v>0.85</v>
      </c>
      <c r="L11" s="97" t="s">
        <v>166</v>
      </c>
    </row>
    <row r="12" spans="1:18" x14ac:dyDescent="0.3">
      <c r="A12" s="23"/>
      <c r="B12" s="127">
        <v>1000000</v>
      </c>
      <c r="C12" s="33" t="s">
        <v>155</v>
      </c>
      <c r="D12" s="16"/>
      <c r="E12" s="16"/>
      <c r="F12" s="16"/>
      <c r="G12" s="34"/>
      <c r="H12" s="17"/>
      <c r="J12" t="s">
        <v>117</v>
      </c>
      <c r="K12" s="5">
        <f>K5*B10</f>
        <v>0.68200000000000005</v>
      </c>
      <c r="L12" s="97" t="s">
        <v>125</v>
      </c>
    </row>
    <row r="13" spans="1:18" x14ac:dyDescent="0.3">
      <c r="A13" s="23"/>
      <c r="B13" s="128">
        <v>0.23</v>
      </c>
      <c r="C13" s="33" t="s">
        <v>17</v>
      </c>
      <c r="D13" s="16"/>
      <c r="E13" s="16"/>
      <c r="F13" s="16"/>
      <c r="G13" s="34"/>
      <c r="H13" s="17"/>
      <c r="J13" t="s">
        <v>118</v>
      </c>
      <c r="K13" s="134">
        <f>K11-K12</f>
        <v>0.16799999999999993</v>
      </c>
      <c r="L13" s="97" t="s">
        <v>126</v>
      </c>
      <c r="R13" s="136"/>
    </row>
    <row r="14" spans="1:18" x14ac:dyDescent="0.3">
      <c r="A14" s="23"/>
      <c r="B14" s="128">
        <v>0.62</v>
      </c>
      <c r="C14" s="33" t="s">
        <v>34</v>
      </c>
      <c r="D14" s="16"/>
      <c r="E14" s="16"/>
      <c r="F14" s="16"/>
      <c r="G14" s="34"/>
      <c r="H14" s="17"/>
      <c r="J14" t="s">
        <v>119</v>
      </c>
      <c r="K14" s="5">
        <f>ROUND(B8/B11,3)</f>
        <v>0.66700000000000004</v>
      </c>
      <c r="L14" s="97" t="s">
        <v>127</v>
      </c>
    </row>
    <row r="15" spans="1:18" x14ac:dyDescent="0.3">
      <c r="A15" s="23"/>
      <c r="B15" s="127">
        <v>24000</v>
      </c>
      <c r="C15" s="33" t="s">
        <v>151</v>
      </c>
      <c r="D15" s="16"/>
      <c r="E15" s="16"/>
      <c r="F15" s="16"/>
      <c r="G15" s="34"/>
      <c r="H15" s="17"/>
      <c r="J15" t="s">
        <v>120</v>
      </c>
      <c r="K15" s="5">
        <f>ROUND(B9/B11,3)</f>
        <v>1.19</v>
      </c>
      <c r="L15" s="97" t="s">
        <v>128</v>
      </c>
    </row>
    <row r="16" spans="1:18" x14ac:dyDescent="0.3">
      <c r="A16" s="23"/>
      <c r="B16" s="129">
        <v>0.14099999999999999</v>
      </c>
      <c r="C16" s="32" t="s">
        <v>189</v>
      </c>
      <c r="D16" s="30"/>
      <c r="E16" s="30"/>
      <c r="F16" s="30"/>
      <c r="G16" s="31"/>
      <c r="H16" s="17"/>
      <c r="J16" t="s">
        <v>121</v>
      </c>
      <c r="K16" s="134">
        <f>ROUND((K11-K14)/(K8*B10),4)</f>
        <v>0.31209999999999999</v>
      </c>
      <c r="L16" s="97" t="s">
        <v>167</v>
      </c>
    </row>
    <row r="17" spans="1:12" x14ac:dyDescent="0.3">
      <c r="A17" s="23"/>
      <c r="B17" s="16"/>
      <c r="C17" s="16"/>
      <c r="D17" s="16"/>
      <c r="E17" s="16"/>
      <c r="F17" s="16"/>
      <c r="G17" s="16"/>
      <c r="H17" s="17"/>
      <c r="J17" t="s">
        <v>122</v>
      </c>
      <c r="K17" s="134">
        <f>ROUND((K15-K14)/(K8*B10),2)</f>
        <v>0.89</v>
      </c>
      <c r="L17" s="97" t="s">
        <v>168</v>
      </c>
    </row>
    <row r="18" spans="1:12" x14ac:dyDescent="0.3">
      <c r="A18" s="15" t="s">
        <v>11</v>
      </c>
      <c r="B18" s="16" t="s">
        <v>152</v>
      </c>
      <c r="C18" s="16"/>
      <c r="D18" s="16"/>
      <c r="E18" s="16"/>
      <c r="F18" s="16"/>
      <c r="G18" s="16"/>
      <c r="H18" s="17"/>
      <c r="J18" t="s">
        <v>160</v>
      </c>
      <c r="K18" s="133">
        <v>0.7</v>
      </c>
      <c r="L18" s="97" t="s">
        <v>169</v>
      </c>
    </row>
    <row r="19" spans="1:12" x14ac:dyDescent="0.3">
      <c r="A19" s="23"/>
      <c r="B19" s="16"/>
      <c r="C19" s="16"/>
      <c r="D19" s="16"/>
      <c r="E19" s="16"/>
      <c r="F19" s="16"/>
      <c r="G19" s="16"/>
      <c r="H19" s="17"/>
      <c r="J19" t="s">
        <v>161</v>
      </c>
      <c r="K19" s="5">
        <v>1.59</v>
      </c>
      <c r="L19" s="97" t="s">
        <v>170</v>
      </c>
    </row>
    <row r="20" spans="1:12" x14ac:dyDescent="0.3">
      <c r="A20" s="23"/>
      <c r="B20" s="16" t="s">
        <v>153</v>
      </c>
      <c r="C20" s="16"/>
      <c r="D20" s="16"/>
      <c r="E20" s="16"/>
      <c r="F20" s="16"/>
      <c r="G20" s="16"/>
      <c r="H20" s="17"/>
      <c r="J20" t="s">
        <v>162</v>
      </c>
      <c r="K20" s="5">
        <v>0.14879999999999999</v>
      </c>
      <c r="L20" s="97" t="s">
        <v>171</v>
      </c>
    </row>
    <row r="21" spans="1:12" x14ac:dyDescent="0.3">
      <c r="A21" s="23"/>
      <c r="B21" s="16"/>
      <c r="C21" s="16"/>
      <c r="D21" s="16"/>
      <c r="E21" s="16"/>
      <c r="F21" s="16"/>
      <c r="G21" s="16"/>
      <c r="H21" s="17"/>
      <c r="J21" t="s">
        <v>163</v>
      </c>
      <c r="K21" s="132">
        <f>0.4603+K18-1</f>
        <v>0.16029999999999989</v>
      </c>
      <c r="L21" s="97" t="s">
        <v>172</v>
      </c>
    </row>
    <row r="22" spans="1:12" x14ac:dyDescent="0.3">
      <c r="A22" s="23"/>
      <c r="B22" s="16" t="s">
        <v>154</v>
      </c>
      <c r="C22" s="16"/>
      <c r="D22" s="16"/>
      <c r="E22" s="16"/>
      <c r="F22" s="16"/>
      <c r="G22" s="16"/>
      <c r="H22" s="17"/>
      <c r="J22" t="s">
        <v>164</v>
      </c>
      <c r="K22" s="5">
        <f>ROUND((K20-K21)*B10*K8,3)</f>
        <v>-7.0000000000000001E-3</v>
      </c>
      <c r="L22" s="97" t="s">
        <v>173</v>
      </c>
    </row>
    <row r="23" spans="1:12" x14ac:dyDescent="0.3">
      <c r="A23" s="23"/>
      <c r="B23" s="16"/>
      <c r="C23" s="16"/>
      <c r="D23" s="16"/>
      <c r="E23" s="16"/>
      <c r="F23" s="16"/>
      <c r="G23" s="16"/>
      <c r="H23" s="17"/>
      <c r="J23" t="s">
        <v>165</v>
      </c>
      <c r="K23" s="5">
        <f>ROUND(K22+K13,3)</f>
        <v>0.161</v>
      </c>
      <c r="L23" s="97" t="s">
        <v>174</v>
      </c>
    </row>
    <row r="24" spans="1:12" x14ac:dyDescent="0.3">
      <c r="A24" s="23"/>
      <c r="B24" s="98" t="s">
        <v>175</v>
      </c>
      <c r="C24" s="16"/>
      <c r="D24" s="16"/>
      <c r="E24" s="16"/>
      <c r="F24" s="16"/>
      <c r="G24" s="16"/>
      <c r="H24" s="17"/>
    </row>
    <row r="25" spans="1:12" x14ac:dyDescent="0.3">
      <c r="A25" s="23"/>
      <c r="B25" s="47" t="s">
        <v>185</v>
      </c>
      <c r="C25" s="99" t="s">
        <v>187</v>
      </c>
      <c r="D25" s="100"/>
      <c r="E25" s="16"/>
      <c r="F25" s="16"/>
      <c r="G25" s="16"/>
      <c r="H25" s="17"/>
      <c r="J25" s="135" t="s">
        <v>191</v>
      </c>
    </row>
    <row r="26" spans="1:12" x14ac:dyDescent="0.3">
      <c r="A26" s="23"/>
      <c r="B26" s="48" t="s">
        <v>186</v>
      </c>
      <c r="C26" s="101" t="s">
        <v>99</v>
      </c>
      <c r="D26" s="102"/>
      <c r="E26" s="16"/>
      <c r="F26" s="16"/>
      <c r="G26" s="16"/>
      <c r="H26" s="17"/>
    </row>
    <row r="27" spans="1:12" x14ac:dyDescent="0.3">
      <c r="A27" s="23"/>
      <c r="B27" s="103">
        <v>37</v>
      </c>
      <c r="C27" s="104" t="s">
        <v>197</v>
      </c>
      <c r="D27" s="105"/>
      <c r="E27" s="16"/>
      <c r="F27" s="16"/>
      <c r="G27" s="16"/>
      <c r="H27" s="17"/>
      <c r="I27" t="s">
        <v>243</v>
      </c>
      <c r="J27" t="s">
        <v>195</v>
      </c>
    </row>
    <row r="28" spans="1:12" x14ac:dyDescent="0.3">
      <c r="A28" s="23"/>
      <c r="B28" s="106">
        <v>36</v>
      </c>
      <c r="C28" s="107" t="s">
        <v>198</v>
      </c>
      <c r="D28" s="108"/>
      <c r="E28" s="16"/>
      <c r="F28" s="16"/>
      <c r="G28" s="16"/>
      <c r="H28" s="17"/>
      <c r="J28" s="137">
        <f>K13*K3</f>
        <v>503999.99999999977</v>
      </c>
    </row>
    <row r="29" spans="1:12" x14ac:dyDescent="0.3">
      <c r="A29" s="23"/>
      <c r="B29" s="106">
        <v>35</v>
      </c>
      <c r="C29" s="107" t="s">
        <v>199</v>
      </c>
      <c r="D29" s="108"/>
      <c r="E29" s="16"/>
      <c r="F29" s="16"/>
      <c r="G29" s="16"/>
      <c r="H29" s="17"/>
    </row>
    <row r="30" spans="1:12" x14ac:dyDescent="0.3">
      <c r="A30" s="23"/>
      <c r="B30" s="109">
        <v>34</v>
      </c>
      <c r="C30" s="110" t="s">
        <v>200</v>
      </c>
      <c r="D30" s="111"/>
      <c r="E30" s="16"/>
      <c r="F30" s="16"/>
      <c r="G30" s="16"/>
      <c r="H30" s="17"/>
      <c r="I30" t="s">
        <v>192</v>
      </c>
      <c r="J30" t="s">
        <v>193</v>
      </c>
    </row>
    <row r="31" spans="1:12" x14ac:dyDescent="0.3">
      <c r="A31" s="23"/>
      <c r="B31" s="16"/>
      <c r="C31" s="16"/>
      <c r="D31" s="16"/>
      <c r="E31" s="16"/>
      <c r="F31" s="16"/>
      <c r="G31" s="16"/>
      <c r="H31" s="17"/>
      <c r="J31" s="137">
        <f>K22*K3</f>
        <v>-21000</v>
      </c>
    </row>
    <row r="32" spans="1:12" x14ac:dyDescent="0.3">
      <c r="A32" s="23"/>
      <c r="B32" s="98" t="s">
        <v>177</v>
      </c>
      <c r="C32" s="16"/>
      <c r="D32" s="16"/>
      <c r="E32" s="16"/>
      <c r="F32" s="16"/>
      <c r="G32" s="16"/>
      <c r="H32" s="17"/>
    </row>
    <row r="33" spans="1:10" x14ac:dyDescent="0.3">
      <c r="A33" s="23"/>
      <c r="B33" s="73" t="s">
        <v>91</v>
      </c>
      <c r="C33" s="112" t="s">
        <v>83</v>
      </c>
      <c r="D33" s="112"/>
      <c r="E33" s="16"/>
      <c r="F33" s="16"/>
      <c r="G33" s="16"/>
      <c r="H33" s="17"/>
      <c r="I33" t="s">
        <v>194</v>
      </c>
      <c r="J33" t="s">
        <v>196</v>
      </c>
    </row>
    <row r="34" spans="1:10" x14ac:dyDescent="0.3">
      <c r="A34" s="23"/>
      <c r="B34" s="113">
        <v>5</v>
      </c>
      <c r="C34" s="114" t="s">
        <v>178</v>
      </c>
      <c r="D34" s="115"/>
      <c r="E34" s="16"/>
      <c r="F34" s="16"/>
      <c r="G34" s="16"/>
      <c r="H34" s="17"/>
      <c r="J34" s="137">
        <f>J28+J31</f>
        <v>482999.99999999977</v>
      </c>
    </row>
    <row r="35" spans="1:10" x14ac:dyDescent="0.3">
      <c r="A35" s="23"/>
      <c r="B35" s="106">
        <v>6</v>
      </c>
      <c r="C35" s="107" t="s">
        <v>179</v>
      </c>
      <c r="D35" s="108"/>
      <c r="E35" s="16"/>
      <c r="F35" s="16"/>
      <c r="G35" s="16"/>
      <c r="H35" s="17"/>
    </row>
    <row r="36" spans="1:10" x14ac:dyDescent="0.3">
      <c r="A36" s="23"/>
      <c r="B36" s="109">
        <v>7</v>
      </c>
      <c r="C36" s="110" t="s">
        <v>180</v>
      </c>
      <c r="D36" s="111"/>
      <c r="E36" s="16"/>
      <c r="F36" s="16"/>
      <c r="G36" s="16"/>
      <c r="H36" s="17"/>
    </row>
    <row r="37" spans="1:10" x14ac:dyDescent="0.3">
      <c r="A37" s="23"/>
      <c r="B37" s="16"/>
      <c r="C37" s="16"/>
      <c r="D37" s="16"/>
      <c r="E37" s="16"/>
      <c r="F37" s="16"/>
      <c r="G37" s="16"/>
      <c r="H37" s="17"/>
    </row>
    <row r="38" spans="1:10" x14ac:dyDescent="0.3">
      <c r="A38" s="23"/>
      <c r="B38" s="98" t="s">
        <v>181</v>
      </c>
      <c r="C38" s="16"/>
      <c r="D38" s="16"/>
      <c r="E38" s="16"/>
      <c r="F38" s="16"/>
      <c r="G38" s="16"/>
      <c r="H38" s="17"/>
    </row>
    <row r="39" spans="1:10" x14ac:dyDescent="0.3">
      <c r="A39" s="23"/>
      <c r="B39" s="98" t="s">
        <v>182</v>
      </c>
      <c r="C39" s="16"/>
      <c r="D39" s="16"/>
      <c r="E39" s="16"/>
      <c r="F39" s="16"/>
      <c r="G39" s="16"/>
      <c r="H39" s="17"/>
    </row>
    <row r="40" spans="1:10" x14ac:dyDescent="0.3">
      <c r="A40" s="23"/>
      <c r="B40" s="16"/>
      <c r="C40" s="116" t="s">
        <v>176</v>
      </c>
      <c r="D40" s="117"/>
      <c r="E40" s="118"/>
      <c r="F40" s="16"/>
      <c r="G40" s="16"/>
      <c r="H40" s="17"/>
    </row>
    <row r="41" spans="1:10" x14ac:dyDescent="0.3">
      <c r="A41" s="23"/>
      <c r="B41" s="73" t="s">
        <v>183</v>
      </c>
      <c r="C41" s="119">
        <v>37</v>
      </c>
      <c r="D41" s="73">
        <v>36</v>
      </c>
      <c r="E41" s="78">
        <v>35</v>
      </c>
      <c r="F41" s="40"/>
      <c r="G41" s="16"/>
      <c r="H41" s="17"/>
    </row>
    <row r="42" spans="1:10" x14ac:dyDescent="0.3">
      <c r="A42" s="23"/>
      <c r="B42" s="148">
        <v>0.69</v>
      </c>
      <c r="C42" s="120">
        <v>0.47370000000000001</v>
      </c>
      <c r="D42" s="139">
        <v>0.46579999999999999</v>
      </c>
      <c r="E42" s="140">
        <v>0.45800000000000002</v>
      </c>
      <c r="F42" s="40"/>
      <c r="G42" s="16"/>
      <c r="H42" s="17"/>
    </row>
    <row r="43" spans="1:10" x14ac:dyDescent="0.3">
      <c r="A43" s="23"/>
      <c r="B43" s="122">
        <v>0.7</v>
      </c>
      <c r="C43" s="121">
        <v>0.46829999999999999</v>
      </c>
      <c r="D43" s="141">
        <v>0.46029999999999999</v>
      </c>
      <c r="E43" s="142">
        <v>0.45240000000000002</v>
      </c>
      <c r="F43" s="40"/>
      <c r="G43" s="16"/>
      <c r="H43" s="17"/>
    </row>
    <row r="44" spans="1:10" x14ac:dyDescent="0.3">
      <c r="A44" s="23"/>
      <c r="B44" s="122">
        <v>0.71</v>
      </c>
      <c r="C44" s="121">
        <v>0.46300000000000002</v>
      </c>
      <c r="D44" s="141">
        <v>0.45490000000000003</v>
      </c>
      <c r="E44" s="142">
        <v>0.44690000000000002</v>
      </c>
      <c r="F44" s="40"/>
      <c r="G44" s="16"/>
      <c r="H44" s="17"/>
    </row>
    <row r="45" spans="1:10" x14ac:dyDescent="0.3">
      <c r="A45" s="23"/>
      <c r="B45" s="149" t="s">
        <v>184</v>
      </c>
      <c r="C45" s="143" t="s">
        <v>184</v>
      </c>
      <c r="D45" s="144" t="s">
        <v>184</v>
      </c>
      <c r="E45" s="145" t="s">
        <v>184</v>
      </c>
      <c r="F45" s="125"/>
      <c r="G45" s="16"/>
      <c r="H45" s="17"/>
    </row>
    <row r="46" spans="1:10" x14ac:dyDescent="0.3">
      <c r="A46" s="23"/>
      <c r="B46" s="122">
        <v>1.58</v>
      </c>
      <c r="C46" s="121">
        <v>0.161</v>
      </c>
      <c r="D46" s="141">
        <v>0.15079999999999999</v>
      </c>
      <c r="E46" s="142">
        <v>0.1411</v>
      </c>
      <c r="F46" s="40"/>
      <c r="G46" s="16"/>
      <c r="H46" s="17"/>
    </row>
    <row r="47" spans="1:10" x14ac:dyDescent="0.3">
      <c r="A47" s="23"/>
      <c r="B47" s="122">
        <v>1.59</v>
      </c>
      <c r="C47" s="121">
        <v>0.15890000000000001</v>
      </c>
      <c r="D47" s="141">
        <v>0.14879999999999999</v>
      </c>
      <c r="E47" s="142">
        <v>0.1391</v>
      </c>
      <c r="F47" s="40"/>
      <c r="G47" s="16"/>
      <c r="H47" s="17"/>
    </row>
    <row r="48" spans="1:10" x14ac:dyDescent="0.3">
      <c r="A48" s="23"/>
      <c r="B48" s="138">
        <v>1.6</v>
      </c>
      <c r="C48" s="123">
        <v>0.15690000000000001</v>
      </c>
      <c r="D48" s="146">
        <v>0.14680000000000001</v>
      </c>
      <c r="E48" s="147">
        <v>0.13719999999999999</v>
      </c>
      <c r="F48" s="126"/>
      <c r="G48" s="16"/>
      <c r="H48" s="17"/>
    </row>
    <row r="49" spans="1:8" ht="15" thickBot="1" x14ac:dyDescent="0.35">
      <c r="A49" s="24"/>
      <c r="B49" s="25"/>
      <c r="C49" s="25"/>
      <c r="D49" s="25"/>
      <c r="E49" s="25"/>
      <c r="F49" s="25"/>
      <c r="G49" s="25"/>
      <c r="H49" s="26"/>
    </row>
  </sheetData>
  <mergeCells count="1">
    <mergeCell ref="G1:H1"/>
  </mergeCells>
  <hyperlinks>
    <hyperlink ref="G1" location="TOC!A1" display="Return to TOC" xr:uid="{ECBF7B88-A4F4-4963-A65C-6367A70DD599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A71CD-C488-403D-87D7-8575844B0F3F}">
  <dimension ref="A1:P16"/>
  <sheetViews>
    <sheetView workbookViewId="0"/>
  </sheetViews>
  <sheetFormatPr defaultRowHeight="14.4" x14ac:dyDescent="0.3"/>
  <cols>
    <col min="1" max="1" width="14" bestFit="1" customWidth="1"/>
    <col min="9" max="9" width="3.6640625" customWidth="1"/>
    <col min="16" max="16" width="10.5546875" bestFit="1" customWidth="1"/>
  </cols>
  <sheetData>
    <row r="1" spans="1:16" x14ac:dyDescent="0.3">
      <c r="A1" s="6" t="s">
        <v>5</v>
      </c>
      <c r="B1" s="7" t="s">
        <v>202</v>
      </c>
      <c r="C1" s="7"/>
      <c r="D1" s="8"/>
      <c r="E1" s="8"/>
      <c r="F1" s="8"/>
      <c r="G1" s="175" t="s">
        <v>6</v>
      </c>
      <c r="H1" s="176"/>
      <c r="I1" s="9"/>
      <c r="J1" s="10" t="s">
        <v>7</v>
      </c>
    </row>
    <row r="2" spans="1:16" x14ac:dyDescent="0.3">
      <c r="A2" s="11" t="s">
        <v>8</v>
      </c>
      <c r="B2" s="21" t="s">
        <v>13</v>
      </c>
      <c r="C2" s="21"/>
      <c r="D2" s="21"/>
      <c r="E2" s="21"/>
      <c r="F2" s="21"/>
      <c r="G2" s="21"/>
      <c r="H2" s="12"/>
      <c r="J2" t="s">
        <v>207</v>
      </c>
    </row>
    <row r="3" spans="1:16" x14ac:dyDescent="0.3">
      <c r="A3" s="11" t="s">
        <v>9</v>
      </c>
      <c r="B3" s="21" t="s">
        <v>201</v>
      </c>
      <c r="C3" s="21"/>
      <c r="D3" s="21"/>
      <c r="E3" s="21"/>
      <c r="F3" s="21"/>
      <c r="G3" s="21"/>
      <c r="H3" s="12"/>
    </row>
    <row r="4" spans="1:16" x14ac:dyDescent="0.3">
      <c r="A4" s="13"/>
      <c r="B4" s="22"/>
      <c r="C4" s="22"/>
      <c r="D4" s="22"/>
      <c r="E4" s="22"/>
      <c r="F4" s="22"/>
      <c r="G4" s="22"/>
      <c r="H4" s="14"/>
    </row>
    <row r="5" spans="1:16" x14ac:dyDescent="0.3">
      <c r="A5" s="15" t="s">
        <v>10</v>
      </c>
      <c r="B5" s="21" t="s">
        <v>251</v>
      </c>
      <c r="C5" s="16"/>
      <c r="D5" s="16"/>
      <c r="E5" s="16"/>
      <c r="F5" s="16"/>
      <c r="G5" s="16"/>
      <c r="H5" s="17"/>
      <c r="J5" s="5">
        <f>AVERAGE(0,5)</f>
        <v>2.5</v>
      </c>
      <c r="K5" t="s">
        <v>252</v>
      </c>
    </row>
    <row r="6" spans="1:16" x14ac:dyDescent="0.3">
      <c r="A6" s="23"/>
      <c r="B6" s="21" t="s">
        <v>203</v>
      </c>
      <c r="C6" s="16"/>
      <c r="D6" s="16"/>
      <c r="E6" s="16"/>
      <c r="F6" s="16"/>
      <c r="G6" s="16"/>
      <c r="H6" s="17"/>
    </row>
    <row r="7" spans="1:16" ht="15.6" x14ac:dyDescent="0.35">
      <c r="A7" s="23"/>
      <c r="B7" s="16"/>
      <c r="C7" s="16"/>
      <c r="D7" s="16"/>
      <c r="E7" s="16"/>
      <c r="F7" s="16"/>
      <c r="G7" s="16"/>
      <c r="H7" s="17"/>
      <c r="J7" s="88" t="s">
        <v>213</v>
      </c>
      <c r="K7" s="74" t="s">
        <v>214</v>
      </c>
      <c r="L7" s="64" t="s">
        <v>215</v>
      </c>
      <c r="M7" s="74" t="s">
        <v>216</v>
      </c>
      <c r="N7" s="64" t="s">
        <v>208</v>
      </c>
      <c r="O7" s="74" t="s">
        <v>209</v>
      </c>
      <c r="P7" s="151" t="s">
        <v>210</v>
      </c>
    </row>
    <row r="8" spans="1:16" x14ac:dyDescent="0.3">
      <c r="A8" s="15" t="s">
        <v>11</v>
      </c>
      <c r="B8" s="21" t="s">
        <v>204</v>
      </c>
      <c r="C8" s="16"/>
      <c r="D8" s="16"/>
      <c r="E8" s="16"/>
      <c r="F8" s="16"/>
      <c r="G8" s="16"/>
      <c r="H8" s="17"/>
      <c r="J8" s="58">
        <v>0</v>
      </c>
      <c r="K8" s="67">
        <f>(1-J8/5)^2</f>
        <v>1</v>
      </c>
      <c r="L8" s="5">
        <f>(1-K8)*$J$5</f>
        <v>0</v>
      </c>
      <c r="M8" s="67">
        <v>0</v>
      </c>
      <c r="N8" s="5">
        <f>1-M9/(J9-J8)</f>
        <v>0.10000000000000031</v>
      </c>
      <c r="O8" s="67">
        <f>N8</f>
        <v>0.10000000000000031</v>
      </c>
      <c r="P8" s="153">
        <v>0</v>
      </c>
    </row>
    <row r="9" spans="1:16" x14ac:dyDescent="0.3">
      <c r="A9" s="23"/>
      <c r="B9" s="21" t="s">
        <v>205</v>
      </c>
      <c r="C9" s="16"/>
      <c r="D9" s="16"/>
      <c r="E9" s="16"/>
      <c r="F9" s="16"/>
      <c r="G9" s="16"/>
      <c r="H9" s="17"/>
      <c r="J9" s="58">
        <v>1</v>
      </c>
      <c r="K9" s="67">
        <f t="shared" ref="K9:K13" si="0">(1-J9/5)^2</f>
        <v>0.64000000000000012</v>
      </c>
      <c r="L9" s="5">
        <f t="shared" ref="L9:L13" si="1">(1-K9)*$J$5</f>
        <v>0.89999999999999969</v>
      </c>
      <c r="M9" s="67">
        <f t="shared" ref="M9:M12" si="2">L9-L8</f>
        <v>0.89999999999999969</v>
      </c>
      <c r="N9" s="5">
        <f t="shared" ref="N9:N13" si="3">1-M10/(J10-J9)</f>
        <v>0.2999999999999996</v>
      </c>
      <c r="O9" s="67">
        <f>N9-N8</f>
        <v>0.19999999999999929</v>
      </c>
      <c r="P9" s="153">
        <f>O9/(1-$O$8)</f>
        <v>0.22222222222222152</v>
      </c>
    </row>
    <row r="10" spans="1:16" ht="15" thickBot="1" x14ac:dyDescent="0.35">
      <c r="A10" s="24"/>
      <c r="B10" s="150" t="s">
        <v>206</v>
      </c>
      <c r="C10" s="25"/>
      <c r="D10" s="25"/>
      <c r="E10" s="25"/>
      <c r="F10" s="25"/>
      <c r="G10" s="25"/>
      <c r="H10" s="26"/>
      <c r="J10" s="58">
        <v>2</v>
      </c>
      <c r="K10" s="67">
        <f t="shared" si="0"/>
        <v>0.36</v>
      </c>
      <c r="L10" s="5">
        <f t="shared" si="1"/>
        <v>1.6</v>
      </c>
      <c r="M10" s="67">
        <f t="shared" si="2"/>
        <v>0.7000000000000004</v>
      </c>
      <c r="N10" s="5">
        <f t="shared" si="3"/>
        <v>0.5</v>
      </c>
      <c r="O10" s="67">
        <f t="shared" ref="O10:O13" si="4">N10-N9</f>
        <v>0.2000000000000004</v>
      </c>
      <c r="P10" s="153">
        <f t="shared" ref="P10:P13" si="5">O10/(1-$O$8)</f>
        <v>0.22222222222222274</v>
      </c>
    </row>
    <row r="11" spans="1:16" x14ac:dyDescent="0.3">
      <c r="J11" s="58">
        <v>3</v>
      </c>
      <c r="K11" s="67">
        <f t="shared" si="0"/>
        <v>0.16000000000000003</v>
      </c>
      <c r="L11" s="5">
        <f t="shared" si="1"/>
        <v>2.1</v>
      </c>
      <c r="M11" s="67">
        <f t="shared" si="2"/>
        <v>0.5</v>
      </c>
      <c r="N11" s="5">
        <f t="shared" si="3"/>
        <v>0.70000000000000018</v>
      </c>
      <c r="O11" s="67">
        <f t="shared" si="4"/>
        <v>0.20000000000000018</v>
      </c>
      <c r="P11" s="153">
        <f t="shared" si="5"/>
        <v>0.22222222222222249</v>
      </c>
    </row>
    <row r="12" spans="1:16" x14ac:dyDescent="0.3">
      <c r="J12" s="58">
        <v>4</v>
      </c>
      <c r="K12" s="67">
        <f t="shared" si="0"/>
        <v>3.999999999999998E-2</v>
      </c>
      <c r="L12" s="5">
        <f t="shared" si="1"/>
        <v>2.4</v>
      </c>
      <c r="M12" s="67">
        <f t="shared" si="2"/>
        <v>0.29999999999999982</v>
      </c>
      <c r="N12" s="5">
        <f t="shared" si="3"/>
        <v>0.89999999999999991</v>
      </c>
      <c r="O12" s="67">
        <f t="shared" si="4"/>
        <v>0.19999999999999973</v>
      </c>
      <c r="P12" s="153">
        <f t="shared" si="5"/>
        <v>0.22222222222222202</v>
      </c>
    </row>
    <row r="13" spans="1:16" x14ac:dyDescent="0.3">
      <c r="J13" s="76">
        <v>5</v>
      </c>
      <c r="K13" s="152">
        <f t="shared" si="0"/>
        <v>0</v>
      </c>
      <c r="L13" s="63">
        <f t="shared" si="1"/>
        <v>2.5</v>
      </c>
      <c r="M13" s="152">
        <f>L13-L12</f>
        <v>0.10000000000000009</v>
      </c>
      <c r="N13" s="63">
        <f t="shared" si="3"/>
        <v>1</v>
      </c>
      <c r="O13" s="152">
        <f t="shared" si="4"/>
        <v>0.10000000000000009</v>
      </c>
      <c r="P13" s="154">
        <f t="shared" si="5"/>
        <v>0.11111111111111124</v>
      </c>
    </row>
    <row r="15" spans="1:16" x14ac:dyDescent="0.3">
      <c r="J15" s="135" t="s">
        <v>211</v>
      </c>
    </row>
    <row r="16" spans="1:16" ht="15.6" x14ac:dyDescent="0.35">
      <c r="J16" s="135" t="s">
        <v>212</v>
      </c>
    </row>
  </sheetData>
  <mergeCells count="1">
    <mergeCell ref="G1:H1"/>
  </mergeCells>
  <hyperlinks>
    <hyperlink ref="G1" location="TOC!A1" display="Return to TOC" xr:uid="{02203410-571B-49AE-B7BB-C3724E14E0AE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B7E5F-D470-4FA4-88EE-F130778D68B2}">
  <dimension ref="A1:M17"/>
  <sheetViews>
    <sheetView workbookViewId="0"/>
  </sheetViews>
  <sheetFormatPr defaultRowHeight="14.4" x14ac:dyDescent="0.3"/>
  <cols>
    <col min="1" max="1" width="14" bestFit="1" customWidth="1"/>
    <col min="3" max="3" width="10.6640625" bestFit="1" customWidth="1"/>
    <col min="4" max="4" width="4.44140625" customWidth="1"/>
    <col min="5" max="5" width="19.5546875" bestFit="1" customWidth="1"/>
    <col min="6" max="6" width="10.6640625" bestFit="1" customWidth="1"/>
    <col min="7" max="7" width="8.33203125" customWidth="1"/>
    <col min="8" max="8" width="4.33203125" customWidth="1"/>
    <col min="9" max="9" width="3.6640625" customWidth="1"/>
    <col min="10" max="10" width="14" customWidth="1"/>
    <col min="11" max="11" width="10.6640625" bestFit="1" customWidth="1"/>
    <col min="12" max="12" width="31.33203125" customWidth="1"/>
  </cols>
  <sheetData>
    <row r="1" spans="1:13" x14ac:dyDescent="0.3">
      <c r="A1" s="6" t="s">
        <v>5</v>
      </c>
      <c r="B1" s="7" t="s">
        <v>202</v>
      </c>
      <c r="C1" s="7"/>
      <c r="D1" s="8"/>
      <c r="E1" s="8"/>
      <c r="F1" s="8"/>
      <c r="G1" s="175" t="s">
        <v>6</v>
      </c>
      <c r="H1" s="176"/>
      <c r="I1" s="9"/>
      <c r="J1" s="10" t="s">
        <v>7</v>
      </c>
    </row>
    <row r="2" spans="1:13" x14ac:dyDescent="0.3">
      <c r="A2" s="11" t="s">
        <v>8</v>
      </c>
      <c r="B2" s="21" t="s">
        <v>13</v>
      </c>
      <c r="C2" s="21"/>
      <c r="D2" s="21"/>
      <c r="E2" s="21"/>
      <c r="F2" s="21"/>
      <c r="G2" s="21"/>
      <c r="H2" s="12"/>
      <c r="J2" s="97" t="s">
        <v>226</v>
      </c>
    </row>
    <row r="3" spans="1:13" x14ac:dyDescent="0.3">
      <c r="A3" s="11" t="s">
        <v>9</v>
      </c>
      <c r="B3" s="21" t="s">
        <v>217</v>
      </c>
      <c r="C3" s="21"/>
      <c r="D3" s="21"/>
      <c r="E3" s="21"/>
      <c r="F3" s="21"/>
      <c r="G3" s="21"/>
      <c r="H3" s="12"/>
    </row>
    <row r="4" spans="1:13" x14ac:dyDescent="0.3">
      <c r="A4" s="13"/>
      <c r="B4" s="22" t="s">
        <v>218</v>
      </c>
      <c r="C4" s="22"/>
      <c r="D4" s="22"/>
      <c r="E4" s="22"/>
      <c r="F4" s="22"/>
      <c r="G4" s="22"/>
      <c r="H4" s="14"/>
      <c r="J4" s="97" t="s">
        <v>227</v>
      </c>
      <c r="K4" s="97"/>
      <c r="L4" s="97"/>
      <c r="M4" s="97"/>
    </row>
    <row r="5" spans="1:13" x14ac:dyDescent="0.3">
      <c r="A5" s="15"/>
      <c r="B5" s="21"/>
      <c r="C5" s="16"/>
      <c r="D5" s="16"/>
      <c r="E5" s="16"/>
      <c r="F5" s="16"/>
      <c r="G5" s="16"/>
      <c r="H5" s="17"/>
      <c r="J5" s="160" t="s">
        <v>228</v>
      </c>
      <c r="K5" s="161" t="s">
        <v>221</v>
      </c>
      <c r="L5" s="162" t="s">
        <v>229</v>
      </c>
      <c r="M5" s="163" t="s">
        <v>230</v>
      </c>
    </row>
    <row r="6" spans="1:13" x14ac:dyDescent="0.3">
      <c r="A6" s="15" t="s">
        <v>10</v>
      </c>
      <c r="B6" s="155" t="s">
        <v>219</v>
      </c>
      <c r="C6" s="124"/>
      <c r="D6" s="16"/>
      <c r="E6" s="124" t="s">
        <v>222</v>
      </c>
      <c r="F6" s="77"/>
      <c r="G6" s="16"/>
      <c r="H6" s="17"/>
      <c r="J6" s="164">
        <v>0</v>
      </c>
      <c r="K6" s="170">
        <f>C8</f>
        <v>0.15</v>
      </c>
      <c r="L6" s="165" t="s">
        <v>231</v>
      </c>
    </row>
    <row r="7" spans="1:13" x14ac:dyDescent="0.3">
      <c r="A7" s="23"/>
      <c r="B7" s="156" t="s">
        <v>220</v>
      </c>
      <c r="C7" s="78" t="s">
        <v>221</v>
      </c>
      <c r="D7" s="40"/>
      <c r="E7" s="73" t="s">
        <v>223</v>
      </c>
      <c r="F7" s="78" t="s">
        <v>221</v>
      </c>
      <c r="G7" s="16"/>
      <c r="H7" s="17"/>
      <c r="J7" s="166">
        <v>2000</v>
      </c>
      <c r="K7" s="171">
        <f>C9*F8</f>
        <v>0.27999999999999997</v>
      </c>
      <c r="L7" s="167" t="s">
        <v>232</v>
      </c>
    </row>
    <row r="8" spans="1:13" x14ac:dyDescent="0.3">
      <c r="A8" s="23"/>
      <c r="B8" s="49">
        <v>0</v>
      </c>
      <c r="C8" s="157">
        <v>0.15</v>
      </c>
      <c r="D8" s="40"/>
      <c r="E8" s="127">
        <v>2000</v>
      </c>
      <c r="F8" s="157">
        <v>0.7</v>
      </c>
      <c r="G8" s="16"/>
      <c r="H8" s="17"/>
      <c r="J8" s="166">
        <v>4000</v>
      </c>
      <c r="K8" s="171">
        <f>C10*F8^2</f>
        <v>0.17149999999999996</v>
      </c>
      <c r="L8" s="167" t="s">
        <v>233</v>
      </c>
    </row>
    <row r="9" spans="1:13" x14ac:dyDescent="0.3">
      <c r="A9" s="23"/>
      <c r="B9" s="49">
        <v>1</v>
      </c>
      <c r="C9" s="157">
        <v>0.4</v>
      </c>
      <c r="D9" s="40"/>
      <c r="E9" s="158">
        <v>5000</v>
      </c>
      <c r="F9" s="159">
        <v>0.3</v>
      </c>
      <c r="G9" s="16"/>
      <c r="H9" s="17"/>
      <c r="J9" s="166">
        <v>5000</v>
      </c>
      <c r="K9" s="171">
        <f>C9*F9</f>
        <v>0.12</v>
      </c>
      <c r="L9" s="167" t="s">
        <v>234</v>
      </c>
    </row>
    <row r="10" spans="1:13" x14ac:dyDescent="0.3">
      <c r="A10" s="23"/>
      <c r="B10" s="49">
        <v>2</v>
      </c>
      <c r="C10" s="157">
        <v>0.35</v>
      </c>
      <c r="D10" s="40"/>
      <c r="E10" s="40"/>
      <c r="F10" s="40"/>
      <c r="G10" s="16"/>
      <c r="H10" s="17"/>
      <c r="J10" s="166">
        <v>6000</v>
      </c>
      <c r="K10" s="171">
        <f>C11*F8^3</f>
        <v>3.429999999999999E-2</v>
      </c>
      <c r="L10" s="167" t="s">
        <v>235</v>
      </c>
    </row>
    <row r="11" spans="1:13" x14ac:dyDescent="0.3">
      <c r="A11" s="23"/>
      <c r="B11" s="48">
        <v>3</v>
      </c>
      <c r="C11" s="159">
        <v>0.1</v>
      </c>
      <c r="D11" s="40"/>
      <c r="E11" s="40"/>
      <c r="F11" s="40"/>
      <c r="G11" s="16"/>
      <c r="H11" s="17"/>
      <c r="J11" s="166">
        <v>7000</v>
      </c>
      <c r="K11" s="171">
        <f>C10*F8*F9*COMBIN(2,1)</f>
        <v>0.14699999999999996</v>
      </c>
      <c r="L11" s="167" t="s">
        <v>236</v>
      </c>
      <c r="M11" t="s">
        <v>242</v>
      </c>
    </row>
    <row r="12" spans="1:13" x14ac:dyDescent="0.3">
      <c r="A12" s="23"/>
      <c r="B12" s="16"/>
      <c r="C12" s="16"/>
      <c r="D12" s="16"/>
      <c r="E12" s="16"/>
      <c r="F12" s="16"/>
      <c r="G12" s="16"/>
      <c r="H12" s="17"/>
      <c r="J12" s="166">
        <v>9000</v>
      </c>
      <c r="K12" s="171">
        <f>C11*F8^2*F9*COMBIN(3,2)</f>
        <v>4.4099999999999993E-2</v>
      </c>
      <c r="L12" s="167" t="s">
        <v>237</v>
      </c>
      <c r="M12" t="s">
        <v>241</v>
      </c>
    </row>
    <row r="13" spans="1:13" x14ac:dyDescent="0.3">
      <c r="A13" s="15" t="s">
        <v>11</v>
      </c>
      <c r="B13" s="16" t="s">
        <v>224</v>
      </c>
      <c r="C13" s="16"/>
      <c r="D13" s="16"/>
      <c r="E13" s="16"/>
      <c r="F13" s="16"/>
      <c r="G13" s="16"/>
      <c r="H13" s="17"/>
      <c r="J13" s="166">
        <v>10000</v>
      </c>
      <c r="K13" s="171">
        <f>C10*F9^2</f>
        <v>3.15E-2</v>
      </c>
      <c r="L13" s="167" t="s">
        <v>238</v>
      </c>
    </row>
    <row r="14" spans="1:13" ht="15" thickBot="1" x14ac:dyDescent="0.35">
      <c r="A14" s="24"/>
      <c r="B14" s="25" t="s">
        <v>225</v>
      </c>
      <c r="C14" s="25"/>
      <c r="D14" s="25"/>
      <c r="E14" s="25"/>
      <c r="F14" s="25"/>
      <c r="G14" s="25"/>
      <c r="H14" s="26"/>
      <c r="J14" s="166">
        <v>12000</v>
      </c>
      <c r="K14" s="171">
        <f>C11*F8*F9^2*COMBIN(3,2)</f>
        <v>1.8899999999999997E-2</v>
      </c>
      <c r="L14" s="167" t="s">
        <v>239</v>
      </c>
      <c r="M14" t="s">
        <v>241</v>
      </c>
    </row>
    <row r="15" spans="1:13" x14ac:dyDescent="0.3">
      <c r="J15" s="168">
        <v>15000</v>
      </c>
      <c r="K15" s="172">
        <f>C11*F9^3</f>
        <v>2.7000000000000001E-3</v>
      </c>
      <c r="L15" s="169" t="s">
        <v>240</v>
      </c>
    </row>
    <row r="17" spans="10:11" x14ac:dyDescent="0.3">
      <c r="J17" s="5" t="s">
        <v>75</v>
      </c>
      <c r="K17" s="131">
        <f>SUM(K6:K15)</f>
        <v>0.99999999999999989</v>
      </c>
    </row>
  </sheetData>
  <mergeCells count="1">
    <mergeCell ref="G1:H1"/>
  </mergeCells>
  <hyperlinks>
    <hyperlink ref="G1" location="TOC!A1" display="Return to TOC" xr:uid="{5C9DCC8C-2F98-47F9-8AAD-BF1DACC185A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TOC</vt:lpstr>
      <vt:lpstr>NCCI_Circular1</vt:lpstr>
      <vt:lpstr>NCCI_Circular2</vt:lpstr>
      <vt:lpstr>NCCI_Circular3</vt:lpstr>
      <vt:lpstr>NCCI_Circular4</vt:lpstr>
      <vt:lpstr>NCCI_Informational1</vt:lpstr>
      <vt:lpstr>NCCI_Informational2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2024-06-20T11:19:51Z</dcterms:created>
  <dcterms:modified xsi:type="dcterms:W3CDTF">2024-07-27T10:34:27Z</dcterms:modified>
</cp:coreProperties>
</file>