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Jonathan\Documents\BattleActs\Exam 8\Excel Files\"/>
    </mc:Choice>
  </mc:AlternateContent>
  <xr:revisionPtr revIDLastSave="0" documentId="13_ncr:1_{D7EBC168-17B1-4A84-AB49-4C54D1BD30BC}" xr6:coauthVersionLast="47" xr6:coauthVersionMax="47" xr10:uidLastSave="{00000000-0000-0000-0000-000000000000}"/>
  <bookViews>
    <workbookView xWindow="-120" yWindow="-120" windowWidth="29040" windowHeight="15840" tabRatio="680" xr2:uid="{54437323-BBA6-4BBB-B712-50207489947E}"/>
  </bookViews>
  <sheets>
    <sheet name="Instructions" sheetId="3" r:id="rId1"/>
    <sheet name="Point Grid" sheetId="1" r:id="rId2"/>
    <sheet name="Navigator" sheetId="23" r:id="rId3"/>
    <sheet name="1" sheetId="2" r:id="rId4"/>
    <sheet name="2" sheetId="4" r:id="rId5"/>
    <sheet name="3" sheetId="5" r:id="rId6"/>
    <sheet name="4" sheetId="6" r:id="rId7"/>
    <sheet name="5" sheetId="7" r:id="rId8"/>
    <sheet name="6" sheetId="27" r:id="rId9"/>
    <sheet name="7" sheetId="9" r:id="rId10"/>
    <sheet name="8" sheetId="10" r:id="rId11"/>
    <sheet name="9" sheetId="11" r:id="rId12"/>
    <sheet name="10" sheetId="12" r:id="rId13"/>
    <sheet name="11" sheetId="13" r:id="rId14"/>
    <sheet name="12" sheetId="14" r:id="rId15"/>
    <sheet name="13" sheetId="15" r:id="rId16"/>
    <sheet name="14" sheetId="16" r:id="rId17"/>
    <sheet name="15" sheetId="17" r:id="rId18"/>
    <sheet name="16" sheetId="18" r:id="rId19"/>
    <sheet name="17" sheetId="19" r:id="rId20"/>
    <sheet name="18" sheetId="20" r:id="rId21"/>
    <sheet name="19" sheetId="21" r:id="rId22"/>
    <sheet name="20" sheetId="24" r:id="rId23"/>
    <sheet name="21" sheetId="25" r:id="rId24"/>
    <sheet name="22" sheetId="26" r:id="rId25"/>
    <sheet name="23" sheetId="28" r:id="rId26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24" i="28" l="1"/>
  <c r="J11" i="28"/>
  <c r="L11" i="28"/>
  <c r="A20" i="28"/>
  <c r="J8" i="28"/>
  <c r="J9" i="28"/>
  <c r="J10" i="28"/>
  <c r="J7" i="28"/>
  <c r="L8" i="28"/>
  <c r="L9" i="28"/>
  <c r="L10" i="28"/>
  <c r="L7" i="28"/>
  <c r="A9" i="28"/>
  <c r="B29" i="1"/>
  <c r="B30" i="1"/>
  <c r="A4" i="28" s="1"/>
  <c r="L30" i="1"/>
  <c r="L37" i="20"/>
  <c r="L36" i="20"/>
  <c r="L35" i="20"/>
  <c r="L34" i="20"/>
  <c r="S30" i="1"/>
  <c r="J30" i="1"/>
  <c r="H31" i="23" l="1"/>
  <c r="B32" i="1"/>
  <c r="K37" i="20"/>
  <c r="O30" i="1"/>
  <c r="R30" i="1"/>
  <c r="M30" i="1"/>
  <c r="N30" i="1"/>
  <c r="P30" i="1"/>
  <c r="Q30" i="1"/>
  <c r="K19" i="20" l="1"/>
  <c r="A24" i="25"/>
  <c r="E13" i="25"/>
  <c r="F7" i="25"/>
  <c r="F8" i="25"/>
  <c r="F9" i="25"/>
  <c r="F10" i="25"/>
  <c r="F11" i="25"/>
  <c r="F12" i="25"/>
  <c r="F6" i="25"/>
  <c r="D13" i="25" l="1"/>
  <c r="L9" i="25" l="1"/>
  <c r="K8" i="25"/>
  <c r="K5" i="25"/>
  <c r="L4" i="25"/>
  <c r="K9" i="25"/>
  <c r="K4" i="25"/>
  <c r="L5" i="25"/>
  <c r="K3" i="25"/>
  <c r="L7" i="25"/>
  <c r="L6" i="25"/>
  <c r="L8" i="25"/>
  <c r="L3" i="25"/>
  <c r="K6" i="25"/>
  <c r="K7" i="25"/>
  <c r="F13" i="25"/>
  <c r="K11" i="25" s="1"/>
  <c r="L23" i="21"/>
  <c r="L24" i="21"/>
  <c r="L25" i="21"/>
  <c r="L22" i="21"/>
  <c r="N12" i="21"/>
  <c r="N13" i="21"/>
  <c r="N14" i="21"/>
  <c r="N15" i="21"/>
  <c r="N16" i="21"/>
  <c r="N11" i="21"/>
  <c r="M12" i="21"/>
  <c r="M13" i="21"/>
  <c r="M14" i="21"/>
  <c r="M15" i="21"/>
  <c r="M16" i="21"/>
  <c r="M11" i="21"/>
  <c r="L12" i="21"/>
  <c r="M27" i="21" s="1"/>
  <c r="L13" i="21"/>
  <c r="L14" i="21"/>
  <c r="L15" i="21"/>
  <c r="L16" i="21"/>
  <c r="L11" i="21"/>
  <c r="A30" i="21"/>
  <c r="M8" i="25" l="1"/>
  <c r="M5" i="25"/>
  <c r="M4" i="25"/>
  <c r="M6" i="25"/>
  <c r="M7" i="25"/>
  <c r="M3" i="25"/>
  <c r="M29" i="21"/>
  <c r="O14" i="21"/>
  <c r="O15" i="21"/>
  <c r="O13" i="21"/>
  <c r="O12" i="21"/>
  <c r="O11" i="21"/>
  <c r="O16" i="21"/>
  <c r="N4" i="25" l="1"/>
  <c r="N5" i="25"/>
  <c r="N6" i="25"/>
  <c r="N3" i="25"/>
  <c r="N7" i="25"/>
  <c r="N8" i="25"/>
  <c r="I12" i="19"/>
  <c r="K12" i="19" s="1"/>
  <c r="M12" i="19" s="1"/>
  <c r="I11" i="19"/>
  <c r="K11" i="19" s="1"/>
  <c r="M11" i="19" s="1"/>
  <c r="I10" i="19"/>
  <c r="J10" i="19" s="1"/>
  <c r="I9" i="19"/>
  <c r="K9" i="19" s="1"/>
  <c r="M9" i="19" s="1"/>
  <c r="J11" i="19"/>
  <c r="J9" i="19"/>
  <c r="L9" i="19" l="1"/>
  <c r="J12" i="19"/>
  <c r="L11" i="19"/>
  <c r="L10" i="19"/>
  <c r="J24" i="25" a="1"/>
  <c r="K15" i="25"/>
  <c r="J14" i="19"/>
  <c r="K10" i="19"/>
  <c r="A37" i="24"/>
  <c r="A25" i="24"/>
  <c r="O16" i="24"/>
  <c r="O17" i="24"/>
  <c r="O15" i="24"/>
  <c r="N17" i="24"/>
  <c r="P17" i="24" s="1"/>
  <c r="N16" i="24"/>
  <c r="P16" i="24" s="1"/>
  <c r="N15" i="24"/>
  <c r="P15" i="24" s="1"/>
  <c r="P18" i="24" s="1"/>
  <c r="O6" i="24"/>
  <c r="O7" i="24"/>
  <c r="O5" i="24"/>
  <c r="N6" i="24"/>
  <c r="N7" i="24"/>
  <c r="N5" i="24"/>
  <c r="K14" i="19" l="1"/>
  <c r="J17" i="19" s="1"/>
  <c r="M10" i="19"/>
  <c r="J23" i="19" s="1"/>
  <c r="J26" i="19" s="1"/>
  <c r="L12" i="19"/>
  <c r="J22" i="19"/>
  <c r="J24" i="25"/>
  <c r="L26" i="25" s="1"/>
  <c r="K24" i="25"/>
  <c r="M27" i="25" s="1"/>
  <c r="N18" i="24"/>
  <c r="P6" i="24"/>
  <c r="N8" i="24"/>
  <c r="P7" i="24"/>
  <c r="P5" i="24"/>
  <c r="J25" i="19" l="1"/>
  <c r="J28" i="19" s="1"/>
  <c r="P8" i="24"/>
  <c r="Q8" i="24" s="1"/>
  <c r="A42" i="20" l="1"/>
  <c r="K36" i="20"/>
  <c r="K35" i="20"/>
  <c r="M35" i="20" s="1"/>
  <c r="K34" i="20"/>
  <c r="J35" i="20"/>
  <c r="J36" i="20"/>
  <c r="J37" i="20"/>
  <c r="J34" i="20"/>
  <c r="M36" i="20" l="1"/>
  <c r="M34" i="20"/>
  <c r="M37" i="20" l="1"/>
  <c r="K18" i="20" l="1"/>
  <c r="L33" i="20"/>
  <c r="M33" i="20" s="1"/>
  <c r="L32" i="20"/>
  <c r="L31" i="20"/>
  <c r="M31" i="20" s="1"/>
  <c r="J29" i="20"/>
  <c r="K29" i="20"/>
  <c r="L29" i="20" s="1"/>
  <c r="J30" i="20"/>
  <c r="K30" i="20"/>
  <c r="L30" i="20" s="1"/>
  <c r="M30" i="20" s="1"/>
  <c r="J31" i="20"/>
  <c r="K31" i="20"/>
  <c r="J32" i="20"/>
  <c r="K32" i="20"/>
  <c r="M32" i="20" s="1"/>
  <c r="J33" i="20"/>
  <c r="K33" i="20"/>
  <c r="K28" i="20"/>
  <c r="L28" i="20" s="1"/>
  <c r="K40" i="20" s="1"/>
  <c r="J28" i="20"/>
  <c r="K7" i="20"/>
  <c r="J7" i="20"/>
  <c r="J9" i="20"/>
  <c r="M29" i="20" l="1"/>
  <c r="L11" i="20"/>
  <c r="N13" i="20" s="1"/>
  <c r="N15" i="20" s="1"/>
  <c r="M28" i="20"/>
  <c r="K41" i="20" s="1"/>
  <c r="Q43" i="20" l="1"/>
  <c r="L45" i="20"/>
  <c r="J15" i="14"/>
  <c r="J14" i="14"/>
  <c r="A33" i="26"/>
  <c r="A29" i="26"/>
  <c r="A8" i="26"/>
  <c r="L29" i="1"/>
  <c r="A4" i="26"/>
  <c r="A26" i="27"/>
  <c r="A18" i="27"/>
  <c r="L12" i="27"/>
  <c r="L14" i="27" s="1"/>
  <c r="A12" i="27"/>
  <c r="S29" i="1"/>
  <c r="Q29" i="1"/>
  <c r="R29" i="1"/>
  <c r="P29" i="1"/>
  <c r="N29" i="1"/>
  <c r="M29" i="1"/>
  <c r="O29" i="1"/>
  <c r="J29" i="1"/>
  <c r="H30" i="23" l="1"/>
  <c r="K7" i="4"/>
  <c r="A21" i="24"/>
  <c r="J27" i="1"/>
  <c r="J26" i="1"/>
  <c r="H27" i="23" l="1"/>
  <c r="H28" i="23"/>
  <c r="B27" i="1"/>
  <c r="B26" i="1"/>
  <c r="A4" i="24" s="1"/>
  <c r="L27" i="1"/>
  <c r="L26" i="1"/>
  <c r="A20" i="25"/>
  <c r="A16" i="25"/>
  <c r="A17" i="24"/>
  <c r="O27" i="1"/>
  <c r="S27" i="1"/>
  <c r="M27" i="1"/>
  <c r="Q27" i="1"/>
  <c r="N27" i="1"/>
  <c r="P27" i="1"/>
  <c r="R27" i="1"/>
  <c r="M29" i="18" l="1"/>
  <c r="M31" i="18" s="1"/>
  <c r="M30" i="18"/>
  <c r="M26" i="18"/>
  <c r="M25" i="18"/>
  <c r="M27" i="18" s="1"/>
  <c r="J23" i="18"/>
  <c r="K5" i="18"/>
  <c r="M13" i="18"/>
  <c r="M8" i="18"/>
  <c r="M12" i="18"/>
  <c r="M14" i="18" s="1"/>
  <c r="M9" i="18"/>
  <c r="J2" i="18"/>
  <c r="M33" i="18" l="1"/>
  <c r="J35" i="18" s="1"/>
  <c r="K37" i="18" s="1"/>
  <c r="M10" i="18"/>
  <c r="M16" i="18" s="1"/>
  <c r="J18" i="18" s="1"/>
  <c r="K20" i="18" s="1"/>
  <c r="I40" i="18" s="1"/>
  <c r="I34" i="17" l="1"/>
  <c r="I33" i="17"/>
  <c r="I30" i="17"/>
  <c r="I29" i="17"/>
  <c r="I16" i="17"/>
  <c r="I17" i="17" s="1"/>
  <c r="I18" i="17" s="1"/>
  <c r="I19" i="17" s="1"/>
  <c r="I20" i="17" s="1"/>
  <c r="I21" i="17" s="1"/>
  <c r="I22" i="17" s="1"/>
  <c r="I23" i="17" s="1"/>
  <c r="J3" i="17"/>
  <c r="J8" i="17" s="1"/>
  <c r="G9" i="16"/>
  <c r="G3" i="16"/>
  <c r="G6" i="16" s="1"/>
  <c r="J24" i="15"/>
  <c r="J25" i="15" s="1"/>
  <c r="K26" i="15" s="1"/>
  <c r="J18" i="15"/>
  <c r="I20" i="15" s="1"/>
  <c r="K19" i="17" l="1"/>
  <c r="L19" i="17" s="1"/>
  <c r="N23" i="17"/>
  <c r="I27" i="17"/>
  <c r="I28" i="17"/>
  <c r="I42" i="17" s="1"/>
  <c r="J7" i="17"/>
  <c r="J11" i="17"/>
  <c r="I31" i="17"/>
  <c r="J10" i="17"/>
  <c r="K23" i="17" s="1"/>
  <c r="L23" i="17" s="1"/>
  <c r="J9" i="17"/>
  <c r="I32" i="17"/>
  <c r="K21" i="17"/>
  <c r="L21" i="17" s="1"/>
  <c r="G12" i="16"/>
  <c r="J23" i="17" l="1"/>
  <c r="J20" i="17"/>
  <c r="J21" i="17"/>
  <c r="J15" i="17"/>
  <c r="K17" i="17"/>
  <c r="L17" i="17" s="1"/>
  <c r="K15" i="17"/>
  <c r="L15" i="17" s="1"/>
  <c r="K16" i="17"/>
  <c r="L16" i="17" s="1"/>
  <c r="J16" i="17"/>
  <c r="J17" i="17"/>
  <c r="K18" i="17"/>
  <c r="L18" i="17" s="1"/>
  <c r="K20" i="17"/>
  <c r="L20" i="17" s="1"/>
  <c r="J19" i="17"/>
  <c r="J22" i="17"/>
  <c r="J18" i="17"/>
  <c r="K22" i="17"/>
  <c r="L22" i="17" s="1"/>
  <c r="M22" i="17" s="1"/>
  <c r="J6" i="15"/>
  <c r="J14" i="15" s="1"/>
  <c r="J15" i="15" s="1"/>
  <c r="A28" i="15"/>
  <c r="A24" i="15"/>
  <c r="I45" i="17" l="1"/>
  <c r="I50" i="17" s="1"/>
  <c r="M21" i="17"/>
  <c r="N22" i="17"/>
  <c r="K14" i="14"/>
  <c r="K15" i="14"/>
  <c r="M20" i="17" l="1"/>
  <c r="N21" i="17"/>
  <c r="L15" i="14"/>
  <c r="A29" i="13"/>
  <c r="A25" i="13"/>
  <c r="A19" i="12"/>
  <c r="M19" i="17" l="1"/>
  <c r="N20" i="17"/>
  <c r="R12" i="11"/>
  <c r="M24" i="11"/>
  <c r="L24" i="11"/>
  <c r="R13" i="11" s="1"/>
  <c r="K24" i="11"/>
  <c r="P16" i="11"/>
  <c r="P15" i="11"/>
  <c r="P14" i="11"/>
  <c r="P13" i="11"/>
  <c r="P12" i="11"/>
  <c r="P11" i="11"/>
  <c r="O16" i="11"/>
  <c r="O15" i="11"/>
  <c r="O14" i="11"/>
  <c r="O13" i="11"/>
  <c r="O12" i="11"/>
  <c r="O11" i="11"/>
  <c r="N16" i="11"/>
  <c r="N15" i="11"/>
  <c r="N14" i="11"/>
  <c r="N13" i="11"/>
  <c r="N12" i="11"/>
  <c r="N11" i="11"/>
  <c r="M18" i="17" l="1"/>
  <c r="N19" i="17"/>
  <c r="R16" i="11"/>
  <c r="R15" i="11"/>
  <c r="R11" i="11"/>
  <c r="R14" i="11"/>
  <c r="M16" i="11"/>
  <c r="Q16" i="11" s="1"/>
  <c r="T16" i="11" s="1"/>
  <c r="M15" i="11"/>
  <c r="Q15" i="11" s="1"/>
  <c r="T15" i="11" s="1"/>
  <c r="M14" i="11"/>
  <c r="Q14" i="11" s="1"/>
  <c r="T14" i="11" s="1"/>
  <c r="M13" i="11"/>
  <c r="Q13" i="11" s="1"/>
  <c r="T13" i="11" s="1"/>
  <c r="M12" i="11"/>
  <c r="Q12" i="11" s="1"/>
  <c r="T12" i="11" s="1"/>
  <c r="M11" i="11"/>
  <c r="Q11" i="11" s="1"/>
  <c r="T11" i="11" s="1"/>
  <c r="L37" i="11"/>
  <c r="M37" i="11" s="1"/>
  <c r="N37" i="11" s="1"/>
  <c r="L38" i="11"/>
  <c r="M38" i="11" s="1"/>
  <c r="N38" i="11" s="1"/>
  <c r="L39" i="11"/>
  <c r="M39" i="11" s="1"/>
  <c r="N39" i="11" s="1"/>
  <c r="L36" i="11"/>
  <c r="M36" i="11" s="1"/>
  <c r="N36" i="11" s="1"/>
  <c r="M17" i="17" l="1"/>
  <c r="N18" i="17"/>
  <c r="N41" i="11"/>
  <c r="T17" i="11"/>
  <c r="Q17" i="11"/>
  <c r="I25" i="10"/>
  <c r="I27" i="10" s="1"/>
  <c r="H23" i="10"/>
  <c r="I23" i="10" s="1"/>
  <c r="H22" i="10"/>
  <c r="I22" i="10" s="1"/>
  <c r="I9" i="10"/>
  <c r="G13" i="10" s="1"/>
  <c r="G16" i="10" s="1"/>
  <c r="G3" i="10"/>
  <c r="A35" i="10"/>
  <c r="M16" i="17" l="1"/>
  <c r="N17" i="17"/>
  <c r="K44" i="11"/>
  <c r="L47" i="11" s="1"/>
  <c r="K50" i="11" s="1"/>
  <c r="G31" i="10"/>
  <c r="H19" i="10"/>
  <c r="M15" i="17" l="1"/>
  <c r="N15" i="17" s="1"/>
  <c r="N16" i="17"/>
  <c r="N26" i="9"/>
  <c r="K16" i="9"/>
  <c r="K17" i="9"/>
  <c r="K18" i="9"/>
  <c r="K19" i="9"/>
  <c r="K15" i="9"/>
  <c r="P16" i="9" s="1"/>
  <c r="K8" i="9"/>
  <c r="K9" i="9"/>
  <c r="K10" i="9"/>
  <c r="K11" i="9"/>
  <c r="K7" i="9"/>
  <c r="Q9" i="9" s="1"/>
  <c r="N10" i="9" l="1"/>
  <c r="P11" i="9"/>
  <c r="Q8" i="9"/>
  <c r="N11" i="9"/>
  <c r="P10" i="9"/>
  <c r="O7" i="9"/>
  <c r="P9" i="9"/>
  <c r="R9" i="9" s="1"/>
  <c r="O8" i="9"/>
  <c r="P8" i="9"/>
  <c r="O9" i="9"/>
  <c r="Q7" i="9"/>
  <c r="N7" i="9"/>
  <c r="O10" i="9"/>
  <c r="Q11" i="9"/>
  <c r="N8" i="9"/>
  <c r="O11" i="9"/>
  <c r="Q10" i="9"/>
  <c r="N9" i="9"/>
  <c r="P7" i="9"/>
  <c r="Q15" i="9"/>
  <c r="N15" i="9"/>
  <c r="O17" i="9"/>
  <c r="Q19" i="9"/>
  <c r="N19" i="9"/>
  <c r="O16" i="9"/>
  <c r="Q18" i="9"/>
  <c r="O18" i="9"/>
  <c r="N18" i="9"/>
  <c r="P15" i="9"/>
  <c r="Q17" i="9"/>
  <c r="N17" i="9"/>
  <c r="P19" i="9"/>
  <c r="Q16" i="9"/>
  <c r="R16" i="9" s="1"/>
  <c r="N16" i="9"/>
  <c r="P18" i="9"/>
  <c r="O15" i="9"/>
  <c r="P17" i="9"/>
  <c r="O19" i="9"/>
  <c r="R15" i="9" l="1"/>
  <c r="S16" i="9"/>
  <c r="S17" i="9"/>
  <c r="R17" i="9"/>
  <c r="S18" i="9"/>
  <c r="R11" i="9"/>
  <c r="S11" i="9"/>
  <c r="S7" i="9"/>
  <c r="R7" i="9"/>
  <c r="R8" i="9"/>
  <c r="S8" i="9"/>
  <c r="R10" i="9"/>
  <c r="S10" i="9"/>
  <c r="S9" i="9"/>
  <c r="S19" i="9"/>
  <c r="R19" i="9"/>
  <c r="R18" i="9"/>
  <c r="S15" i="9"/>
  <c r="N27" i="9" l="1"/>
  <c r="M21" i="9"/>
  <c r="J29" i="7" l="1"/>
  <c r="J28" i="7"/>
  <c r="J27" i="7"/>
  <c r="J26" i="7"/>
  <c r="J25" i="7"/>
  <c r="L26" i="7"/>
  <c r="K29" i="7"/>
  <c r="K28" i="7"/>
  <c r="K27" i="7"/>
  <c r="K26" i="7"/>
  <c r="K25" i="7"/>
  <c r="K20" i="7"/>
  <c r="K19" i="7"/>
  <c r="K18" i="7"/>
  <c r="K17" i="7"/>
  <c r="K16" i="7"/>
  <c r="J20" i="7"/>
  <c r="J19" i="7"/>
  <c r="J18" i="7"/>
  <c r="L18" i="7" s="1"/>
  <c r="J17" i="7"/>
  <c r="L17" i="7" s="1"/>
  <c r="J16" i="7"/>
  <c r="K8" i="7"/>
  <c r="L8" i="7" s="1"/>
  <c r="K9" i="7"/>
  <c r="L9" i="7" s="1"/>
  <c r="K10" i="7"/>
  <c r="L10" i="7" s="1"/>
  <c r="K11" i="7"/>
  <c r="L11" i="7" s="1"/>
  <c r="K7" i="7"/>
  <c r="L7" i="7" s="1"/>
  <c r="L28" i="7" l="1"/>
  <c r="L27" i="7"/>
  <c r="L20" i="7"/>
  <c r="L19" i="7"/>
  <c r="L16" i="7"/>
  <c r="L29" i="7"/>
  <c r="L25" i="7"/>
  <c r="L12" i="7"/>
  <c r="J18" i="6"/>
  <c r="J17" i="6"/>
  <c r="J16" i="6"/>
  <c r="J10" i="6"/>
  <c r="J9" i="6"/>
  <c r="J8" i="6"/>
  <c r="J10" i="5"/>
  <c r="K9" i="4"/>
  <c r="K8" i="4"/>
  <c r="K5" i="4"/>
  <c r="L21" i="7" l="1"/>
  <c r="L30" i="7"/>
  <c r="L11" i="4"/>
  <c r="K14" i="4" s="1"/>
  <c r="M28" i="2" l="1"/>
  <c r="L5" i="2" l="1"/>
  <c r="D11" i="2"/>
  <c r="F11" i="2"/>
  <c r="E11" i="2"/>
  <c r="L6" i="2" l="1"/>
  <c r="M29" i="2" s="1"/>
  <c r="K34" i="2" s="1"/>
  <c r="A19" i="2"/>
  <c r="A23" i="2"/>
  <c r="M7" i="2" l="1"/>
  <c r="K12" i="2" s="1"/>
  <c r="N16" i="2" s="1"/>
  <c r="K20" i="2" s="1"/>
  <c r="K26" i="2" s="1"/>
  <c r="A26" i="21"/>
  <c r="A38" i="20"/>
  <c r="A16" i="19"/>
  <c r="A18" i="18"/>
  <c r="A14" i="18"/>
  <c r="A29" i="17"/>
  <c r="A25" i="17"/>
  <c r="A7" i="16"/>
  <c r="A20" i="15"/>
  <c r="A16" i="15"/>
  <c r="A15" i="14"/>
  <c r="A11" i="14"/>
  <c r="A7" i="14"/>
  <c r="A21" i="13"/>
  <c r="A17" i="13"/>
  <c r="A13" i="13"/>
  <c r="A15" i="12"/>
  <c r="A11" i="12"/>
  <c r="A7" i="12"/>
  <c r="A23" i="11"/>
  <c r="J15" i="1"/>
  <c r="J19" i="1"/>
  <c r="J24" i="1"/>
  <c r="J12" i="1"/>
  <c r="J25" i="1"/>
  <c r="J9" i="1"/>
  <c r="J10" i="1"/>
  <c r="J13" i="1"/>
  <c r="J18" i="1"/>
  <c r="J20" i="1"/>
  <c r="J11" i="1"/>
  <c r="J22" i="1"/>
  <c r="J21" i="1"/>
  <c r="J16" i="1"/>
  <c r="J23" i="1"/>
  <c r="J28" i="1"/>
  <c r="J17" i="1"/>
  <c r="J14" i="1"/>
  <c r="H29" i="23" l="1"/>
  <c r="H21" i="23"/>
  <c r="H24" i="23"/>
  <c r="H17" i="23"/>
  <c r="H26" i="23"/>
  <c r="H12" i="23"/>
  <c r="H20" i="23"/>
  <c r="H19" i="23"/>
  <c r="H18" i="23"/>
  <c r="H22" i="23"/>
  <c r="H14" i="23"/>
  <c r="H15" i="23"/>
  <c r="H16" i="23"/>
  <c r="H11" i="23"/>
  <c r="H25" i="23"/>
  <c r="H23" i="23"/>
  <c r="H13" i="23"/>
  <c r="H10" i="23"/>
  <c r="A31" i="10"/>
  <c r="A18" i="9"/>
  <c r="A14" i="9"/>
  <c r="A18" i="7"/>
  <c r="A30" i="6"/>
  <c r="A12" i="5"/>
  <c r="A30" i="4" l="1"/>
  <c r="L9" i="1"/>
  <c r="L10" i="1"/>
  <c r="L11" i="1"/>
  <c r="L12" i="1"/>
  <c r="L13" i="1"/>
  <c r="L14" i="1"/>
  <c r="L15" i="1"/>
  <c r="L16" i="1"/>
  <c r="L17" i="1"/>
  <c r="L18" i="1"/>
  <c r="L19" i="1"/>
  <c r="L20" i="1"/>
  <c r="L21" i="1"/>
  <c r="L22" i="1"/>
  <c r="L23" i="1"/>
  <c r="L24" i="1"/>
  <c r="L25" i="1"/>
  <c r="L28" i="1"/>
  <c r="L8" i="1"/>
  <c r="B9" i="1"/>
  <c r="A4" i="4" s="1"/>
  <c r="B10" i="1"/>
  <c r="A4" i="5" s="1"/>
  <c r="B11" i="1"/>
  <c r="A4" i="6" s="1"/>
  <c r="B12" i="1"/>
  <c r="A4" i="7" s="1"/>
  <c r="B13" i="1"/>
  <c r="B14" i="1"/>
  <c r="A4" i="9" s="1"/>
  <c r="B15" i="1"/>
  <c r="A4" i="10" s="1"/>
  <c r="B16" i="1"/>
  <c r="A4" i="11" s="1"/>
  <c r="B17" i="1"/>
  <c r="A4" i="12" s="1"/>
  <c r="B18" i="1"/>
  <c r="A4" i="13" s="1"/>
  <c r="B19" i="1"/>
  <c r="A4" i="14" s="1"/>
  <c r="B20" i="1"/>
  <c r="A4" i="15" s="1"/>
  <c r="B21" i="1"/>
  <c r="A4" i="16" s="1"/>
  <c r="B22" i="1"/>
  <c r="A4" i="17" s="1"/>
  <c r="B23" i="1"/>
  <c r="A4" i="18" s="1"/>
  <c r="B24" i="1"/>
  <c r="A4" i="19" s="1"/>
  <c r="B25" i="1"/>
  <c r="B28" i="1"/>
  <c r="B8" i="1"/>
  <c r="Q24" i="1"/>
  <c r="S23" i="1"/>
  <c r="M23" i="1"/>
  <c r="M22" i="1"/>
  <c r="O13" i="1"/>
  <c r="Q14" i="1"/>
  <c r="N20" i="1"/>
  <c r="Q10" i="1"/>
  <c r="O17" i="1"/>
  <c r="N12" i="1"/>
  <c r="O11" i="1"/>
  <c r="O22" i="1"/>
  <c r="O23" i="1"/>
  <c r="N19" i="1"/>
  <c r="P15" i="1"/>
  <c r="M13" i="1"/>
  <c r="O16" i="1"/>
  <c r="O14" i="1"/>
  <c r="P11" i="1"/>
  <c r="N10" i="1"/>
  <c r="Q16" i="1"/>
  <c r="R9" i="1"/>
  <c r="M14" i="1"/>
  <c r="O19" i="1"/>
  <c r="S18" i="1"/>
  <c r="R12" i="1"/>
  <c r="R17" i="1"/>
  <c r="R20" i="1"/>
  <c r="M11" i="1"/>
  <c r="N23" i="1"/>
  <c r="M10" i="1"/>
  <c r="P19" i="1"/>
  <c r="S22" i="1"/>
  <c r="S24" i="1"/>
  <c r="O21" i="1"/>
  <c r="M15" i="1"/>
  <c r="Q20" i="1"/>
  <c r="N9" i="1"/>
  <c r="J8" i="1"/>
  <c r="N18" i="1"/>
  <c r="N16" i="1"/>
  <c r="S12" i="1"/>
  <c r="P22" i="1"/>
  <c r="O10" i="1"/>
  <c r="S10" i="1"/>
  <c r="M24" i="1"/>
  <c r="M20" i="1"/>
  <c r="N15" i="1"/>
  <c r="S19" i="1"/>
  <c r="M21" i="1"/>
  <c r="N11" i="1"/>
  <c r="P9" i="1"/>
  <c r="Q18" i="1"/>
  <c r="M17" i="1"/>
  <c r="M18" i="1"/>
  <c r="R14" i="1"/>
  <c r="P12" i="1"/>
  <c r="P10" i="1"/>
  <c r="Q23" i="1"/>
  <c r="P17" i="1"/>
  <c r="O20" i="1"/>
  <c r="O12" i="1"/>
  <c r="R23" i="1"/>
  <c r="S11" i="1"/>
  <c r="R10" i="1"/>
  <c r="S16" i="1"/>
  <c r="R15" i="1"/>
  <c r="M12" i="1"/>
  <c r="P18" i="1"/>
  <c r="S17" i="1"/>
  <c r="R11" i="1"/>
  <c r="N24" i="1"/>
  <c r="M9" i="1"/>
  <c r="Q11" i="1"/>
  <c r="R24" i="1"/>
  <c r="Q22" i="1"/>
  <c r="R18" i="1"/>
  <c r="Q12" i="1"/>
  <c r="R19" i="1"/>
  <c r="S15" i="1"/>
  <c r="O9" i="1"/>
  <c r="Q19" i="1"/>
  <c r="S14" i="1"/>
  <c r="R16" i="1"/>
  <c r="Q17" i="1"/>
  <c r="Q15" i="1"/>
  <c r="S20" i="1"/>
  <c r="R22" i="1"/>
  <c r="N22" i="1"/>
  <c r="S9" i="1"/>
  <c r="S21" i="1"/>
  <c r="P14" i="1"/>
  <c r="O24" i="1"/>
  <c r="O15" i="1"/>
  <c r="N14" i="1"/>
  <c r="P24" i="1"/>
  <c r="M19" i="1"/>
  <c r="O18" i="1"/>
  <c r="Q9" i="1"/>
  <c r="P16" i="1"/>
  <c r="Q13" i="1"/>
  <c r="P23" i="1"/>
  <c r="N17" i="1"/>
  <c r="P20" i="1"/>
  <c r="M16" i="1"/>
  <c r="A4" i="20" l="1"/>
  <c r="M34" i="1"/>
  <c r="A4" i="21"/>
  <c r="A4" i="25"/>
  <c r="H9" i="23"/>
  <c r="A4" i="2"/>
  <c r="M28" i="1"/>
  <c r="S26" i="1"/>
  <c r="P21" i="1"/>
  <c r="N21" i="1"/>
  <c r="R8" i="1"/>
  <c r="R25" i="1"/>
  <c r="Q26" i="1"/>
  <c r="O28" i="1"/>
  <c r="P26" i="1"/>
  <c r="P25" i="1"/>
  <c r="N28" i="1"/>
  <c r="P8" i="1"/>
  <c r="S25" i="1"/>
  <c r="O26" i="1"/>
  <c r="M25" i="1"/>
  <c r="Q21" i="1"/>
  <c r="Q8" i="1"/>
  <c r="Q25" i="1"/>
  <c r="O25" i="1"/>
  <c r="M8" i="1"/>
  <c r="P28" i="1"/>
  <c r="N8" i="1"/>
  <c r="R28" i="1"/>
  <c r="S8" i="1"/>
  <c r="R26" i="1"/>
  <c r="O8" i="1"/>
  <c r="N26" i="1"/>
  <c r="S28" i="1"/>
  <c r="M26" i="1"/>
  <c r="P13" i="1"/>
  <c r="Q28" i="1"/>
  <c r="R21" i="1"/>
  <c r="N25" i="1"/>
  <c r="S13" i="1"/>
  <c r="N13" i="1"/>
  <c r="R13" i="1"/>
  <c r="M32" i="1" l="1" a="1"/>
  <c r="M32" i="1" s="1"/>
  <c r="P32" i="1" s="1"/>
</calcChain>
</file>

<file path=xl/sharedStrings.xml><?xml version="1.0" encoding="utf-8"?>
<sst xmlns="http://schemas.openxmlformats.org/spreadsheetml/2006/main" count="1188" uniqueCount="842">
  <si>
    <t>Question</t>
  </si>
  <si>
    <t>Sub-Part of Question</t>
  </si>
  <si>
    <t>(a)</t>
  </si>
  <si>
    <t>(b)</t>
  </si>
  <si>
    <t>(c)</t>
  </si>
  <si>
    <t>(d)</t>
  </si>
  <si>
    <t>(e)</t>
  </si>
  <si>
    <t>(f)</t>
  </si>
  <si>
    <t>(g)</t>
  </si>
  <si>
    <t>Total Point Value</t>
  </si>
  <si>
    <t>Total</t>
  </si>
  <si>
    <t>Status</t>
  </si>
  <si>
    <t>Your Score</t>
  </si>
  <si>
    <t>TOTAL</t>
  </si>
  <si>
    <t>Points</t>
  </si>
  <si>
    <t>Intercept</t>
  </si>
  <si>
    <t>Percentage:</t>
  </si>
  <si>
    <t>A</t>
  </si>
  <si>
    <t>B</t>
  </si>
  <si>
    <t>C</t>
  </si>
  <si>
    <t>Parameter</t>
  </si>
  <si>
    <t>X</t>
  </si>
  <si>
    <t>Y</t>
  </si>
  <si>
    <t>Claim #</t>
  </si>
  <si>
    <t>Number of Claims</t>
  </si>
  <si>
    <t>Loss Conversion Factor</t>
  </si>
  <si>
    <t>Instructions</t>
  </si>
  <si>
    <t>1.) Find a quiet place and allow yourself the full four hour exam period to practice. Treat this just as you would the real exam.</t>
  </si>
  <si>
    <t>3.) Answer each question either to the side or below the grey question area.</t>
  </si>
  <si>
    <r>
      <t xml:space="preserve">4.) Use cell </t>
    </r>
    <r>
      <rPr>
        <b/>
        <sz val="11"/>
        <color theme="1"/>
        <rFont val="Calibri"/>
        <family val="2"/>
        <scheme val="minor"/>
      </rPr>
      <t>B1</t>
    </r>
    <r>
      <rPr>
        <sz val="11"/>
        <color theme="1"/>
        <rFont val="Calibri"/>
        <family val="2"/>
        <scheme val="minor"/>
      </rPr>
      <t xml:space="preserve"> on each question worksheet to mark whether you finished the question or not. You should use this feature to</t>
    </r>
  </si>
  <si>
    <t xml:space="preserve">       reflect your confidence in your answer. This way you'll know if you're on the money or your guesses were lucky.</t>
  </si>
  <si>
    <t>5.) Grade each question harshly. It's better to put in extra reviewing time now than find the examiners aren't as generous as you hoped.</t>
  </si>
  <si>
    <t>8.) Find the top five questions where you lost the most points. These are the topics you need to review the most intensely in the</t>
  </si>
  <si>
    <t xml:space="preserve">      next day or so.</t>
  </si>
  <si>
    <t>6.) Enter your estimated score for each sub-part of a question in the box beneath the sub-part point value. They look like:</t>
  </si>
  <si>
    <r>
      <t xml:space="preserve">       Use increments of </t>
    </r>
    <r>
      <rPr>
        <b/>
        <sz val="11"/>
        <color theme="1"/>
        <rFont val="Calibri"/>
        <family val="2"/>
        <scheme val="minor"/>
      </rPr>
      <t>0.25</t>
    </r>
    <r>
      <rPr>
        <sz val="11"/>
        <color theme="1"/>
        <rFont val="Calibri"/>
        <family val="2"/>
        <scheme val="minor"/>
      </rPr>
      <t xml:space="preserve"> when scoring; pay attention to the language used in the question and the point value. An "</t>
    </r>
    <r>
      <rPr>
        <i/>
        <sz val="11"/>
        <color theme="1"/>
        <rFont val="Calibri"/>
        <family val="2"/>
        <scheme val="minor"/>
      </rPr>
      <t>identify" question</t>
    </r>
  </si>
  <si>
    <r>
      <t xml:space="preserve">       is likely 0.25 per item while an "</t>
    </r>
    <r>
      <rPr>
        <i/>
        <sz val="11"/>
        <color theme="1"/>
        <rFont val="Calibri"/>
        <family val="2"/>
        <scheme val="minor"/>
      </rPr>
      <t>explain</t>
    </r>
    <r>
      <rPr>
        <sz val="11"/>
        <color theme="1"/>
        <rFont val="Calibri"/>
        <family val="2"/>
        <scheme val="minor"/>
      </rPr>
      <t>" or "</t>
    </r>
    <r>
      <rPr>
        <i/>
        <sz val="11"/>
        <color theme="1"/>
        <rFont val="Calibri"/>
        <family val="2"/>
        <scheme val="minor"/>
      </rPr>
      <t>briefly justify</t>
    </r>
    <r>
      <rPr>
        <sz val="11"/>
        <color theme="1"/>
        <rFont val="Calibri"/>
        <family val="2"/>
        <scheme val="minor"/>
      </rPr>
      <t>" gets 0.25 for the item and another 0.25 for the justification.</t>
    </r>
  </si>
  <si>
    <t>slay the beast</t>
  </si>
  <si>
    <t>Solution</t>
  </si>
  <si>
    <t>Navigator – Select a question to go to it</t>
  </si>
  <si>
    <t>Question #</t>
  </si>
  <si>
    <t>2.) Use the Navigator worksheet to see a brief description of each question, its point value and navigate between questions in your preferred order.</t>
  </si>
  <si>
    <r>
      <t xml:space="preserve">7.) Use the </t>
    </r>
    <r>
      <rPr>
        <b/>
        <sz val="11"/>
        <color theme="1"/>
        <rFont val="Calibri"/>
        <family val="2"/>
        <scheme val="minor"/>
      </rPr>
      <t>Point Grid</t>
    </r>
    <r>
      <rPr>
        <sz val="11"/>
        <color theme="1"/>
        <rFont val="Calibri"/>
        <family val="2"/>
        <scheme val="minor"/>
      </rPr>
      <t xml:space="preserve"> to see your score and a breakdown of where you scored well and where you didn't.</t>
    </r>
  </si>
  <si>
    <r>
      <t xml:space="preserve">10.) Use the </t>
    </r>
    <r>
      <rPr>
        <u/>
        <sz val="11"/>
        <color theme="1"/>
        <rFont val="Calibri"/>
        <family val="2"/>
        <scheme val="minor"/>
      </rPr>
      <t>Reset Exam</t>
    </r>
    <r>
      <rPr>
        <sz val="11"/>
        <color theme="1"/>
        <rFont val="Calibri"/>
        <family val="2"/>
        <scheme val="minor"/>
      </rPr>
      <t xml:space="preserve"> button on the </t>
    </r>
    <r>
      <rPr>
        <b/>
        <sz val="11"/>
        <color theme="1"/>
        <rFont val="Calibri"/>
        <family val="2"/>
        <scheme val="minor"/>
      </rPr>
      <t>Point Grid</t>
    </r>
    <r>
      <rPr>
        <sz val="11"/>
        <color theme="1"/>
        <rFont val="Calibri"/>
        <family val="2"/>
        <scheme val="minor"/>
      </rPr>
      <t xml:space="preserve"> worksheet to clear all of your work ready for a new attempt at this exam later.</t>
    </r>
  </si>
  <si>
    <t>9.) On the BattleActs site → Custom Battles → BattleCards - Prior Exams → Select this exam and mark the cards you got right and wrong.</t>
  </si>
  <si>
    <t xml:space="preserve">      This allows your Battle Readiness Quotient (BRQ) to track your strengths and weaknesses.</t>
  </si>
  <si>
    <t>Passing Score:</t>
  </si>
  <si>
    <t>Practice Exam 1 – Exam 8</t>
  </si>
  <si>
    <t>The following information can be used to calculate the credibility assigned to the</t>
  </si>
  <si>
    <t>experience of a single private passenger car.</t>
  </si>
  <si>
    <t>Group</t>
  </si>
  <si>
    <t>Last Accident</t>
  </si>
  <si>
    <t>Earned Car Years</t>
  </si>
  <si>
    <t>Premium at Present B Rates</t>
  </si>
  <si>
    <t>3+</t>
  </si>
  <si>
    <t>M</t>
  </si>
  <si>
    <t>You may assume the following:</t>
  </si>
  <si>
    <t xml:space="preserve">   • Territory differentials are proper.</t>
  </si>
  <si>
    <t xml:space="preserve">   • The total claim frequency for the entire class does not change from year to year.</t>
  </si>
  <si>
    <t xml:space="preserve">   • High frequency territories are also high average premium territories.</t>
  </si>
  <si>
    <t>Calculate M, the earned car years for Group B, given that the credibility for an insured that has</t>
  </si>
  <si>
    <t>had no claim-free years is equal to 0.167.</t>
  </si>
  <si>
    <t>Calculate the credibility for the group of risks that have been claim free for two or more years.</t>
  </si>
  <si>
    <t>a.)</t>
  </si>
  <si>
    <t>Group B frequency</t>
  </si>
  <si>
    <t xml:space="preserve">Since high frequency territories are also high average premium territories and the </t>
  </si>
  <si>
    <t>territory differentials are proper, we use the premiums at present B rates as the exposure base.</t>
  </si>
  <si>
    <t>Total frequency</t>
  </si>
  <si>
    <t>Group B relative frequency</t>
  </si>
  <si>
    <t>Set the experience modification equal to the Group B relative frequency.</t>
  </si>
  <si>
    <t>Mod = Z*R + (1 - Z)</t>
  </si>
  <si>
    <t>R =</t>
  </si>
  <si>
    <t>Need to solve for R, we're given Z = 0.167 for group B</t>
  </si>
  <si>
    <t>Now recall R = 1/ Probability of at least one claim</t>
  </si>
  <si>
    <t>Probability of at least one claim = 1 - Probability of no claims</t>
  </si>
  <si>
    <t>Therefore, probability of no claims =</t>
  </si>
  <si>
    <t>Since we're told to use a Poisson distribution, P(no claims) = exp(-lambda)</t>
  </si>
  <si>
    <t>Solving for lambda gives</t>
  </si>
  <si>
    <t xml:space="preserve">lambda = </t>
  </si>
  <si>
    <t>Since we have a Poisson distribution, the expected frequency is lambda.</t>
  </si>
  <si>
    <t>Since the total claim frequency for the entire class doesn't change from year to year we have</t>
  </si>
  <si>
    <t>lambda = Total number of claims / Total earned car years</t>
  </si>
  <si>
    <t>So we can solve for M</t>
  </si>
  <si>
    <t xml:space="preserve">M = </t>
  </si>
  <si>
    <t>b.)</t>
  </si>
  <si>
    <t>2+ years claim free frequency</t>
  </si>
  <si>
    <t>← Remember to continue working with your chosen exposure base</t>
  </si>
  <si>
    <t>Relative frequency</t>
  </si>
  <si>
    <t>Since 2+ years claims free we have R = 0.</t>
  </si>
  <si>
    <t>Set the experience modification equal to the relative claim frequency.</t>
  </si>
  <si>
    <t>Then mod = ZR + (1 - Z) = 1 - Z</t>
  </si>
  <si>
    <t>Z =</t>
  </si>
  <si>
    <t>You are given the following output from a GLM to estimate the probability of a claim:</t>
  </si>
  <si>
    <t>• The actuary selected a Binomial distribution.</t>
  </si>
  <si>
    <r>
      <t xml:space="preserve">• The actuary selected the </t>
    </r>
    <r>
      <rPr>
        <i/>
        <sz val="11"/>
        <color theme="1"/>
        <rFont val="Calibri"/>
        <family val="2"/>
        <scheme val="minor"/>
      </rPr>
      <t>logit</t>
    </r>
    <r>
      <rPr>
        <sz val="11"/>
        <color theme="1"/>
        <rFont val="Calibri"/>
        <family val="2"/>
        <scheme val="minor"/>
      </rPr>
      <t xml:space="preserve"> link function.</t>
    </r>
  </si>
  <si>
    <t>Vehicle Body</t>
  </si>
  <si>
    <t>Coupe</t>
  </si>
  <si>
    <t>Roadster</t>
  </si>
  <si>
    <t>Sedan</t>
  </si>
  <si>
    <t>Station Wagon</t>
  </si>
  <si>
    <t>Truck</t>
  </si>
  <si>
    <t>Utility</t>
  </si>
  <si>
    <t>Driver Gender</t>
  </si>
  <si>
    <t>Territory</t>
  </si>
  <si>
    <t>Male</t>
  </si>
  <si>
    <t>D</t>
  </si>
  <si>
    <t>β</t>
  </si>
  <si>
    <t>Calculate the estimated probability of a claim for:</t>
  </si>
  <si>
    <t xml:space="preserve">   • Driver Gender: Female</t>
  </si>
  <si>
    <t xml:space="preserve">   • Vehicle Body: Sedan</t>
  </si>
  <si>
    <t>The logit link function is given by:</t>
  </si>
  <si>
    <t>Linear predictor = intercept + driver gender + vehicle body + territory</t>
  </si>
  <si>
    <t xml:space="preserve">   • Territory: D</t>
  </si>
  <si>
    <t>Gender</t>
  </si>
  <si>
    <t>Linear Predictor</t>
  </si>
  <si>
    <t>← Since Female is not listed, it is the base class, so its parameter is 0.000 (no deviation needed)</t>
  </si>
  <si>
    <t>Solve for the claim probability, u, by inverting the link function</t>
  </si>
  <si>
    <t>u =</t>
  </si>
  <si>
    <t>Driver Age</t>
  </si>
  <si>
    <t>ln(age)</t>
  </si>
  <si>
    <t xml:space="preserve">   • Driver Age: 25</t>
  </si>
  <si>
    <t>ln(Age)</t>
  </si>
  <si>
    <t>← Remember to log the age before applying the coefficient</t>
  </si>
  <si>
    <t>You are given a GLM which models liability claim size using the following explanatory variables:</t>
  </si>
  <si>
    <t>• Vehicle price, which is a continuous variable model with a third order polynomial.</t>
  </si>
  <si>
    <t>• Average driver age, which is a continuous variable modeled with a first order polynomial.</t>
  </si>
  <si>
    <t>• Number of drivers, which is a categorical variable with four levels.</t>
  </si>
  <si>
    <t>• Gender, which is a categorical variable with two levels.</t>
  </si>
  <si>
    <r>
      <t xml:space="preserve">Determine the maximum number of </t>
    </r>
    <r>
      <rPr>
        <sz val="11"/>
        <color theme="1"/>
        <rFont val="Calibri"/>
        <family val="2"/>
      </rPr>
      <t>β parameters in this model.</t>
    </r>
  </si>
  <si>
    <t>Vehicle price is a third order polynomial so has 4 variables including the intercept</t>
  </si>
  <si>
    <t xml:space="preserve">Average driver age is a first order polynomial (e.g. a + b*x) so has 2 variables. </t>
  </si>
  <si>
    <t>However, we've already accounted for the intercept so only 1 new variable.</t>
  </si>
  <si>
    <t>Number of drivers has 4 categories but we do not count the base level.</t>
  </si>
  <si>
    <t>Gender has 2 categories but we do not count the base level.</t>
  </si>
  <si>
    <t>• There is only one interaction in the model, which is between gender and average driver age.</t>
  </si>
  <si>
    <t xml:space="preserve">Interaction between a two level categorical variable and a continuous variable </t>
  </si>
  <si>
    <t>adds a single variable.</t>
  </si>
  <si>
    <r>
      <t xml:space="preserve">Maximum number of </t>
    </r>
    <r>
      <rPr>
        <sz val="11"/>
        <color theme="1"/>
        <rFont val="Calibri"/>
        <family val="2"/>
      </rPr>
      <t>β parameters</t>
    </r>
  </si>
  <si>
    <t>(The actual number of parameters could be less if some of these are zero.)</t>
  </si>
  <si>
    <t>Three experience rating plans have been developed and you are trying to evaluate</t>
  </si>
  <si>
    <t>which is optimal.  Each rating plan has been tested on four different risks.</t>
  </si>
  <si>
    <t>The following tables summarize the indicated modifications and the resulting errors.</t>
  </si>
  <si>
    <t>Plan 1</t>
  </si>
  <si>
    <t>Risk #</t>
  </si>
  <si>
    <t>Predicted Modification Factor</t>
  </si>
  <si>
    <t>Error</t>
  </si>
  <si>
    <t>Plan 2</t>
  </si>
  <si>
    <t>Which is the preferred plan based on the Meyers/Dorweiler criterion?</t>
  </si>
  <si>
    <t>Plan 3</t>
  </si>
  <si>
    <t>Which is the preferred plan based on the mean squared error criterion?</t>
  </si>
  <si>
    <t>Explain your answer to each part above.</t>
  </si>
  <si>
    <t xml:space="preserve">Meyers/Dorweiler criterion does not penalize for the size of the error, instead it penalizes if there </t>
  </si>
  <si>
    <t>is a pattern to the errors.</t>
  </si>
  <si>
    <t>Plan 3 has a downward trend in the error percentages so is not preferred by this measure.</t>
  </si>
  <si>
    <t>Compute the correlation between the predicted modification factors and the errors.</t>
  </si>
  <si>
    <t xml:space="preserve">Plan </t>
  </si>
  <si>
    <t>Correlation</t>
  </si>
  <si>
    <t>Since plans 1 and 3 have high correlation and plan 2 has no correlation, using the Meyers/Dorweiler</t>
  </si>
  <si>
    <t>criterion we prefer plan 2.</t>
  </si>
  <si>
    <t>Plan</t>
  </si>
  <si>
    <t>MSE</t>
  </si>
  <si>
    <t>Since plan 3 has the lowest mean squared error, this is the preferred plan under the MSE criterion.</t>
  </si>
  <si>
    <t>A multi-dimensional credibility technique has been developed to predict claim frequencies</t>
  </si>
  <si>
    <t>for permanent total (PT) claims.</t>
  </si>
  <si>
    <t xml:space="preserve">   • Seven years of data were collected.</t>
  </si>
  <si>
    <t xml:space="preserve">   • The technique produced a raw predicted relativity based on the oldest five years.</t>
  </si>
  <si>
    <t xml:space="preserve">   • The most recent two years were used as the holdout sample.</t>
  </si>
  <si>
    <t>Quintile</t>
  </si>
  <si>
    <t>Holdout Sample Relativity</t>
  </si>
  <si>
    <t>Prediction Based on Raw</t>
  </si>
  <si>
    <t>Prediction Based on Credibility Procedure</t>
  </si>
  <si>
    <t xml:space="preserve">   • The sample means are normalized within a hazard group.</t>
  </si>
  <si>
    <t xml:space="preserve">Using the sum of squared error, demonstrate whether the multi-dimensional credibility </t>
  </si>
  <si>
    <t>and the total hazard group relativities.</t>
  </si>
  <si>
    <t>technique produces an improved estimate over the estimates produced using the raw relativities</t>
  </si>
  <si>
    <t xml:space="preserve">Since the sample means are normalized within the hazard group, the total hazard group </t>
  </si>
  <si>
    <t>relativity is 1.000.</t>
  </si>
  <si>
    <t>Total hazard group SSE</t>
  </si>
  <si>
    <t>HG</t>
  </si>
  <si>
    <t>Holdout</t>
  </si>
  <si>
    <t>(HG - Holdout)^2</t>
  </si>
  <si>
    <t>Hazard group approach</t>
  </si>
  <si>
    <t>Raw approach</t>
  </si>
  <si>
    <t>Raw</t>
  </si>
  <si>
    <t>Raw SSE</t>
  </si>
  <si>
    <t>Multi-dimensional approach</t>
  </si>
  <si>
    <t>Multi-dim.</t>
  </si>
  <si>
    <t>Multi-dimensional SSE</t>
  </si>
  <si>
    <t>Since the multi-dimensional approach has the lowest SSE it is an improvement over the</t>
  </si>
  <si>
    <t>hazard group membership method and the raw method.</t>
  </si>
  <si>
    <t>The following information was taken from two different experience rating plans:</t>
  </si>
  <si>
    <t>Insured</t>
  </si>
  <si>
    <t>Plan A</t>
  </si>
  <si>
    <t>Plan B</t>
  </si>
  <si>
    <t>Manual Premium</t>
  </si>
  <si>
    <t>Losses</t>
  </si>
  <si>
    <t>Experience Data</t>
  </si>
  <si>
    <t>Experience Modification</t>
  </si>
  <si>
    <t>Demonstrate whether Plan A or Plan B appears to be more equitable.</t>
  </si>
  <si>
    <t>Demonstrate whether Plan A or Plan B gives too much credit for good experience.</t>
  </si>
  <si>
    <t>We need to compute the manual and standard loss ratios for each insured across each rating plan.</t>
  </si>
  <si>
    <t>Manual LR</t>
  </si>
  <si>
    <t>Standard LR</t>
  </si>
  <si>
    <t>Rank</t>
  </si>
  <si>
    <t>Mod Rank</t>
  </si>
  <si>
    <t>Ranked Mod</t>
  </si>
  <si>
    <t xml:space="preserve">Make sure to order the risks by increasing experience modification. </t>
  </si>
  <si>
    <t>Plan A standard loss ratio dispersion</t>
  </si>
  <si>
    <t>Plan B standard loss ratio dispersion</t>
  </si>
  <si>
    <t>Both plans produce the same manual premiums so are equally good at identifying differences between risks.</t>
  </si>
  <si>
    <t>Manual premium dispersion</t>
  </si>
  <si>
    <t>Alice: "If the two plans produced different manual premiums then you should comment on how well the plans identify differences</t>
  </si>
  <si>
    <t>between risks."</t>
  </si>
  <si>
    <t>Plan A has a much smaller range of standard loss ratios than Plan B. Further, Plan A has no discernable pattern to its standard loss ratios</t>
  </si>
  <si>
    <t>whereas Plan B has a clear downward trend. This means Plan A is more equitable.</t>
  </si>
  <si>
    <t>Plan B gives too much credit for good experience because for insureds with the lowest mods have the highest standard loss ratios and as</t>
  </si>
  <si>
    <t>the mods increase the standard loss ratios decline.</t>
  </si>
  <si>
    <t>A portfolio of insurance policies currently has the size of loss distribution shown below:</t>
  </si>
  <si>
    <t>Occurrence Limit</t>
  </si>
  <si>
    <t>Probability that a Claim is less than the Occurrence Limit</t>
  </si>
  <si>
    <t>Expected Limited Severity for the Occurrence Limit</t>
  </si>
  <si>
    <t>The actuary estimates the following:</t>
  </si>
  <si>
    <t>Annual claim severity inflationary trend</t>
  </si>
  <si>
    <t>Expected annual exposure growth</t>
  </si>
  <si>
    <t>Calculate the expected number of claims that exceed the large loss threshold in two years time.</t>
  </si>
  <si>
    <t>First, detrend the large loss threshold for two years using the annual claim severity trend.</t>
  </si>
  <si>
    <t>"Large Loss" threshold for the insurer today</t>
  </si>
  <si>
    <t>We'll round this to $200,000 to use the table.</t>
  </si>
  <si>
    <t>Next, compute the percent of claims today in excess of the detrended limit.</t>
  </si>
  <si>
    <t>P(X &gt; $200,000) =</t>
  </si>
  <si>
    <t xml:space="preserve">Then, without accounting for exposure growth, (i.e. due to inflation alone) we expect an increase in large loss </t>
  </si>
  <si>
    <t>claims after two years of:</t>
  </si>
  <si>
    <t>Lastly, account for the anticipated exposure growth and apply to the number of large loss claims today.</t>
  </si>
  <si>
    <t>Assume E[S] = E[N]*E[X]</t>
  </si>
  <si>
    <t>E[N] =</t>
  </si>
  <si>
    <t>Upper limit</t>
  </si>
  <si>
    <t>Lower limit</t>
  </si>
  <si>
    <t>In 2 years</t>
  </si>
  <si>
    <t>Today</t>
  </si>
  <si>
    <t>Use</t>
  </si>
  <si>
    <t>Apply annual claim severity trend:</t>
  </si>
  <si>
    <t>This is E[X]</t>
  </si>
  <si>
    <t>Hence, E[S] =</t>
  </si>
  <si>
    <t>Excess layer severity today:</t>
  </si>
  <si>
    <t>Remember - claims that go completely through the layer still contribute</t>
  </si>
  <si>
    <t>to the layer. Hence 1 - P(X &gt; $200,000) in the denominator.</t>
  </si>
  <si>
    <t xml:space="preserve">This means claims today that are over $200,000 are claims which we expect to be over $250,000 if they occur in </t>
  </si>
  <si>
    <t>two year's time based on inflationary estimates.</t>
  </si>
  <si>
    <t>Consider the following loss experience as of June 30, 2021 under a claims-made commercial general</t>
  </si>
  <si>
    <t>liability policy:</t>
  </si>
  <si>
    <t>Policy Year</t>
  </si>
  <si>
    <t>Claim Number</t>
  </si>
  <si>
    <t>Basic Limit Indemnity</t>
  </si>
  <si>
    <t>ALAE</t>
  </si>
  <si>
    <t>The policy being rated has the following characteristics:</t>
  </si>
  <si>
    <t xml:space="preserve">   • The policy always runs from January 1st through December 31st each year.</t>
  </si>
  <si>
    <t xml:space="preserve">   • The company's annual basic limit premium is:</t>
  </si>
  <si>
    <t>Premises/Operations</t>
  </si>
  <si>
    <t>Products/Completed Operations</t>
  </si>
  <si>
    <t>Expected Loss Ratio</t>
  </si>
  <si>
    <t xml:space="preserve">   • The company has been with the same insurer in a claims-made program for over 15 years.</t>
  </si>
  <si>
    <t>You may use the following information below:</t>
  </si>
  <si>
    <t>Since the company has been with the same insurer on a claims-made program for the last 15 years</t>
  </si>
  <si>
    <t>we may assume all data given is for mature claims-made policies.</t>
  </si>
  <si>
    <t>The experience period for the policy we're pricing is the three years prior, lagged by one. So 1/1/2018 – 12/31/2020.</t>
  </si>
  <si>
    <t>So claims 1 and 2 are not relevant.</t>
  </si>
  <si>
    <t xml:space="preserve">Calculate the experience modification factor for the policy effective between January 1 and </t>
  </si>
  <si>
    <t>December 31, 2022.</t>
  </si>
  <si>
    <t>the maximum single loss. The basic cap is $100,000 per the manual.</t>
  </si>
  <si>
    <t>NA</t>
  </si>
  <si>
    <t>First, we need to find the Company Subject Loss Cost (CSLC).</t>
  </si>
  <si>
    <t>Year</t>
  </si>
  <si>
    <t>Type</t>
  </si>
  <si>
    <t>DeTrend</t>
  </si>
  <si>
    <t>Prem/Ops</t>
  </si>
  <si>
    <t>Products</t>
  </si>
  <si>
    <t>BLEL</t>
  </si>
  <si>
    <t>BLEL = annual basic limit premium * ELR</t>
  </si>
  <si>
    <t>Since there's no information about shifts in exposure we assume we may use the standard approach for the CSLC</t>
  </si>
  <si>
    <t>PAF 13b takes the prospective policy type to a per-occurrence policy</t>
  </si>
  <si>
    <t>PAF 13c takes the per-occurrence policy to the historical policy.</t>
  </si>
  <si>
    <t>Subline</t>
  </si>
  <si>
    <t>Mature</t>
  </si>
  <si>
    <t>Fourth</t>
  </si>
  <si>
    <t>Third</t>
  </si>
  <si>
    <t>Second</t>
  </si>
  <si>
    <t>First</t>
  </si>
  <si>
    <t>Claims-Made Year in Program (YIP)</t>
  </si>
  <si>
    <t>Table 13.B</t>
  </si>
  <si>
    <t>Occurrence</t>
  </si>
  <si>
    <t>Policy</t>
  </si>
  <si>
    <t>Table 13.C</t>
  </si>
  <si>
    <t xml:space="preserve">Experience </t>
  </si>
  <si>
    <t>Period Year</t>
  </si>
  <si>
    <t>Factors for</t>
  </si>
  <si>
    <t>Rule 5.B</t>
  </si>
  <si>
    <t>Rule 5.C</t>
  </si>
  <si>
    <t>Latest</t>
  </si>
  <si>
    <t>2nd Latest</t>
  </si>
  <si>
    <t>3rd Latest</t>
  </si>
  <si>
    <t>Table 14</t>
  </si>
  <si>
    <t>CSLC</t>
  </si>
  <si>
    <t>Now look up the CSLC to get</t>
  </si>
  <si>
    <t>Credibility</t>
  </si>
  <si>
    <t>EER</t>
  </si>
  <si>
    <t>MSL</t>
  </si>
  <si>
    <t>203,003 - 211,901</t>
  </si>
  <si>
    <t>211,902 - 221,089</t>
  </si>
  <si>
    <t>221,090 - 230,581</t>
  </si>
  <si>
    <t>230,582 - 240,392</t>
  </si>
  <si>
    <t>194,380 - 203,002</t>
  </si>
  <si>
    <t>Table 16</t>
  </si>
  <si>
    <t>Since we have a claims made policy the LDFs are all 0.</t>
  </si>
  <si>
    <t>Apply the EER and LDFs to the Totals used for the CSLC to get the ARULL</t>
  </si>
  <si>
    <t>LDF</t>
  </si>
  <si>
    <t xml:space="preserve">Now cap the basic limit indemnity losses, then add the ALAE and cap at </t>
  </si>
  <si>
    <t>Ratable Loss</t>
  </si>
  <si>
    <t>Mod =</t>
  </si>
  <si>
    <t>Experience Modification Factor</t>
  </si>
  <si>
    <t>Answer the following in the context of the NCCI experience rating formula.</t>
  </si>
  <si>
    <t>Explain why splitting the formula into primary and excess components is</t>
  </si>
  <si>
    <t>preferable for Workers' Compensation risks.</t>
  </si>
  <si>
    <t>Briefly describe the function of the primary component of the formula.</t>
  </si>
  <si>
    <t>Briefly describe why the excess component is capped.</t>
  </si>
  <si>
    <t>Discuss how using full credibility conflicts with one goal of experience rating.</t>
  </si>
  <si>
    <t>Splitting into primary and excess components allows the plan to respond to both frequency and severity.</t>
  </si>
  <si>
    <t>This improves the accuracy of the expected losses.</t>
  </si>
  <si>
    <t>The primary component is designed to respond to the insured's loss frequency.</t>
  </si>
  <si>
    <t>c.)</t>
  </si>
  <si>
    <t>The excess component is capped to limit the impact of high severity claims. The assumption is these</t>
  </si>
  <si>
    <t>claims are not reflective of future loss experience.</t>
  </si>
  <si>
    <t>d.)</t>
  </si>
  <si>
    <t>Giving full credibility to loss experience conflicts with the goal of individual risk equity because it penalizes</t>
  </si>
  <si>
    <t>an insured for having random losses that aren't reflective of their true long-term loss experience.</t>
  </si>
  <si>
    <t>A goal of experience rating is Individual risk equity which means charging each insured for their true loss potential.</t>
  </si>
  <si>
    <t>Workers' Compensation losses are generally frequency driven (Med Only claims) with the occasional low frequency, high severity loss.</t>
  </si>
  <si>
    <t>For each scenario identify whether a debit or credit should apply to the schedule rating,</t>
  </si>
  <si>
    <t>suggest an appropriate figure and state the maximum possible debit or credit that could</t>
  </si>
  <si>
    <t>be applied.</t>
  </si>
  <si>
    <t>In 2017, ABC Incorporated implemented a mandatory one-month training program for all</t>
  </si>
  <si>
    <t>new hires that teaches equipment maintenance, safety programs, and first aid.</t>
  </si>
  <si>
    <t xml:space="preserve">ABC Incorporated is a theme park operator who is purchasing a Commercial General Liability </t>
  </si>
  <si>
    <t xml:space="preserve">policy with an effective date of January 1, 2022. Assume ABC Incorporated is eligible for both </t>
  </si>
  <si>
    <t>experience and schedule rating, and each scenario listed below is independent.</t>
  </si>
  <si>
    <t>In 2021, ABC Incorporated added a full-time, on-site doctor in each of its locations and trained</t>
  </si>
  <si>
    <t>Due to an increase in visitors in 2021, ABC Incorporated reduced ride downtimes and hired</t>
  </si>
  <si>
    <t>inexperienced employees to staff its locations. ABC Incorpated usually only hires employees</t>
  </si>
  <si>
    <t>with at least three years of experience.</t>
  </si>
  <si>
    <t>ABC Incorporated began replacing all equipment over 5-years old in each of its locations</t>
  </si>
  <si>
    <t>in the second quarter of 2021. The upgrades will be completed by Q1 2022.</t>
  </si>
  <si>
    <t>Since this occurred five years ago it is fully reflected within the experience period so it is</t>
  </si>
  <si>
    <t>not appropriate for schedule rating.</t>
  </si>
  <si>
    <t>0% debit/credit out of a maximum of 0%.</t>
  </si>
  <si>
    <t>Adding a doctor at each location and training staff in emergency first aid should reduce the</t>
  </si>
  <si>
    <t xml:space="preserve">severity of claims. A schedule credit is merited because this is not reflected at all in the </t>
  </si>
  <si>
    <t>experience period.</t>
  </si>
  <si>
    <t>all employees in emergency first aid.</t>
  </si>
  <si>
    <t>Adding inexperienced hires that aren't reflected in the experience period merits a</t>
  </si>
  <si>
    <t>schedule debit. The magnitude depends on how many staff are new out of the total.</t>
  </si>
  <si>
    <t>Assuming less than half the staff are new</t>
  </si>
  <si>
    <t xml:space="preserve">Replacing older equipment should improve safety so merits a credit. </t>
  </si>
  <si>
    <t>Recommend: 2% credit (cooperation - safety program and medical facilities)</t>
  </si>
  <si>
    <t>Maximum: 2% credit</t>
  </si>
  <si>
    <t>Recommend: 3% debit modification (Employees - selection, training, supervision, experience)</t>
  </si>
  <si>
    <t>Maximum: 6% debit</t>
  </si>
  <si>
    <t>The older equipment is present in the experience period and assuming it's replaced by Q1 2022</t>
  </si>
  <si>
    <t>the policy period will only use the newer equipment.</t>
  </si>
  <si>
    <t>Maximum: 10% credit</t>
  </si>
  <si>
    <t>e.)</t>
  </si>
  <si>
    <t>Increasing the capacity without making changes reduces the safety margin which increases risk.</t>
  </si>
  <si>
    <t>Recommend: 8% credit (Equipment - type, care &amp; condition)</t>
  </si>
  <si>
    <t>No changes are made to outdoor rides.</t>
  </si>
  <si>
    <t xml:space="preserve">In order to accommodate more visitors in 2022, ABC Incorporated has increased the maximum </t>
  </si>
  <si>
    <t xml:space="preserve">capacity of its indoor rides across all locations without making any physical changes. </t>
  </si>
  <si>
    <t xml:space="preserve">This changes the exposure for the locations. </t>
  </si>
  <si>
    <t>Recommend: 5% debit (Location - exposure inside and out. No changes to outside)</t>
  </si>
  <si>
    <t>Maximum: 5% debit inside, 5% debit outside</t>
  </si>
  <si>
    <t>Expected Losses Between</t>
  </si>
  <si>
    <t>$0 to $5,000</t>
  </si>
  <si>
    <t>$5,001 to $10,000</t>
  </si>
  <si>
    <t>$10,001 to $25,000</t>
  </si>
  <si>
    <t>$25,001 or more</t>
  </si>
  <si>
    <t xml:space="preserve">For each of the three criteria, briefly explain whether or not the following credibility function </t>
  </si>
  <si>
    <t>satisfies the criterion.</t>
  </si>
  <si>
    <t xml:space="preserve">Using words, identify the three criteria that define an effective credibility function </t>
  </si>
  <si>
    <t>for experience rating.</t>
  </si>
  <si>
    <t xml:space="preserve">Using equations, describe the three criteria from part (a), making sure to </t>
  </si>
  <si>
    <t>define all notation used.</t>
  </si>
  <si>
    <t>Credibility must be between 0 and 1.</t>
  </si>
  <si>
    <t>Credibility increases at a decreasing rate.</t>
  </si>
  <si>
    <t>Credibility increases as the exposure increases.</t>
  </si>
  <si>
    <t>0 &lt;= Z &lt;= 1 where Z is the assigned credibility.</t>
  </si>
  <si>
    <t>dZ/dE &gt;= 0 where E is the exposure.</t>
  </si>
  <si>
    <t>d/dE (Z/E) &lt;= 0</t>
  </si>
  <si>
    <t>Criterion 1 is met as all credibilities are between 0% and 100%.</t>
  </si>
  <si>
    <t>Criterion 2 is met because the credibilities increase as the exposure (expected losses) increases.</t>
  </si>
  <si>
    <t>Criterion 3 is not met because</t>
  </si>
  <si>
    <t>Exposure, E</t>
  </si>
  <si>
    <t>Credibility, Z</t>
  </si>
  <si>
    <t>Z/E</t>
  </si>
  <si>
    <t>Rate of Change</t>
  </si>
  <si>
    <t>&gt; 0</t>
  </si>
  <si>
    <t>The following information applies to a balanced retrospectively rated policy:</t>
  </si>
  <si>
    <t>Standard Premium</t>
  </si>
  <si>
    <t>Guaranteed Cost Premium</t>
  </si>
  <si>
    <t>Provision for Losses and Expenses excluding Taxes</t>
  </si>
  <si>
    <t>Expected Losses</t>
  </si>
  <si>
    <t>Charge for Maximum</t>
  </si>
  <si>
    <t>Savings for Maximum</t>
  </si>
  <si>
    <t>Charge for Minimum</t>
  </si>
  <si>
    <t>Savings for Minimum</t>
  </si>
  <si>
    <t>Determine the tax multiplier.</t>
  </si>
  <si>
    <t>Determine the minimum premium ratio as a percentage of standard premium.</t>
  </si>
  <si>
    <t>Calculate the converted insurance charge in dollars.</t>
  </si>
  <si>
    <t>Determine the loss ratio at minimum.</t>
  </si>
  <si>
    <t>Since this is a balanced retrospective rating plan we have</t>
  </si>
  <si>
    <t>Guaranteed Cost Premium = (e + E)*T where</t>
  </si>
  <si>
    <t>e is the expense figure, E is the loss figure and T is the tax multiplier.</t>
  </si>
  <si>
    <t>Solving for T yields</t>
  </si>
  <si>
    <t>T =</t>
  </si>
  <si>
    <t>The Balance Equations are:</t>
  </si>
  <si>
    <t>We want to calculate H/SP where SP is the standard premium and H is the minimum premium.</t>
  </si>
  <si>
    <t>Solve the first balance equation for H</t>
  </si>
  <si>
    <t>H =</t>
  </si>
  <si>
    <t>H/SP =</t>
  </si>
  <si>
    <r>
      <t>r</t>
    </r>
    <r>
      <rPr>
        <vertAlign val="subscript"/>
        <sz val="11"/>
        <color theme="1"/>
        <rFont val="Calibri"/>
        <family val="2"/>
        <scheme val="minor"/>
      </rPr>
      <t>G</t>
    </r>
    <r>
      <rPr>
        <sz val="11"/>
        <color theme="1"/>
        <rFont val="Calibri"/>
        <family val="2"/>
        <scheme val="minor"/>
      </rPr>
      <t xml:space="preserve"> - r</t>
    </r>
    <r>
      <rPr>
        <vertAlign val="subscript"/>
        <sz val="11"/>
        <color theme="1"/>
        <rFont val="Calibri"/>
        <family val="2"/>
        <scheme val="minor"/>
      </rPr>
      <t>H</t>
    </r>
    <r>
      <rPr>
        <sz val="11"/>
        <color theme="1"/>
        <rFont val="Calibri"/>
        <family val="2"/>
        <scheme val="minor"/>
      </rPr>
      <t xml:space="preserve"> = (G - H) / (c*E[A]*T)</t>
    </r>
  </si>
  <si>
    <r>
      <t>phi(r</t>
    </r>
    <r>
      <rPr>
        <vertAlign val="subscript"/>
        <sz val="11"/>
        <color theme="1"/>
        <rFont val="Calibri"/>
        <family val="2"/>
        <scheme val="minor"/>
      </rPr>
      <t>H</t>
    </r>
    <r>
      <rPr>
        <sz val="11"/>
        <color theme="1"/>
        <rFont val="Calibri"/>
        <family val="2"/>
        <scheme val="minor"/>
      </rPr>
      <t>) - phi(r</t>
    </r>
    <r>
      <rPr>
        <vertAlign val="subscript"/>
        <sz val="11"/>
        <color theme="1"/>
        <rFont val="Calibri"/>
        <family val="2"/>
        <scheme val="minor"/>
      </rPr>
      <t>G</t>
    </r>
    <r>
      <rPr>
        <sz val="11"/>
        <color theme="1"/>
        <rFont val="Calibri"/>
        <family val="2"/>
        <scheme val="minor"/>
      </rPr>
      <t>) = ( (e+E[A])*T - H) / (c*E[A]*T)</t>
    </r>
  </si>
  <si>
    <r>
      <t>The converted insurance charge is given by c*(phi(r</t>
    </r>
    <r>
      <rPr>
        <vertAlign val="subscript"/>
        <sz val="11"/>
        <color theme="1"/>
        <rFont val="Calibri"/>
        <family val="2"/>
        <scheme val="minor"/>
      </rPr>
      <t>G</t>
    </r>
    <r>
      <rPr>
        <sz val="11"/>
        <color theme="1"/>
        <rFont val="Calibri"/>
        <family val="2"/>
        <scheme val="minor"/>
      </rPr>
      <t>) - psi(r</t>
    </r>
    <r>
      <rPr>
        <vertAlign val="subscript"/>
        <sz val="11"/>
        <color theme="1"/>
        <rFont val="Calibri"/>
        <family val="2"/>
        <scheme val="minor"/>
      </rPr>
      <t>H</t>
    </r>
    <r>
      <rPr>
        <sz val="11"/>
        <color theme="1"/>
        <rFont val="Calibri"/>
        <family val="2"/>
        <scheme val="minor"/>
      </rPr>
      <t>))</t>
    </r>
  </si>
  <si>
    <t xml:space="preserve">c*I = </t>
  </si>
  <si>
    <t>So the converted insurance charge in dollars is c*I * expected losses</t>
  </si>
  <si>
    <r>
      <t>At minimum premium the entry ratio is r</t>
    </r>
    <r>
      <rPr>
        <vertAlign val="subscript"/>
        <sz val="11"/>
        <color theme="1"/>
        <rFont val="Calibri"/>
        <family val="2"/>
        <scheme val="minor"/>
      </rPr>
      <t>H</t>
    </r>
    <r>
      <rPr>
        <sz val="11"/>
        <color theme="1"/>
        <rFont val="Calibri"/>
        <family val="2"/>
        <scheme val="minor"/>
      </rPr>
      <t xml:space="preserve"> = L</t>
    </r>
    <r>
      <rPr>
        <vertAlign val="subscript"/>
        <sz val="11"/>
        <color theme="1"/>
        <rFont val="Calibri"/>
        <family val="2"/>
        <scheme val="minor"/>
      </rPr>
      <t>H</t>
    </r>
    <r>
      <rPr>
        <sz val="11"/>
        <color theme="1"/>
        <rFont val="Calibri"/>
        <family val="2"/>
        <scheme val="minor"/>
      </rPr>
      <t xml:space="preserve"> / E[A]</t>
    </r>
  </si>
  <si>
    <r>
      <t>Use psi(r</t>
    </r>
    <r>
      <rPr>
        <vertAlign val="subscript"/>
        <sz val="11"/>
        <color theme="1"/>
        <rFont val="Calibri"/>
        <family val="2"/>
        <scheme val="minor"/>
      </rPr>
      <t>H</t>
    </r>
    <r>
      <rPr>
        <sz val="11"/>
        <color theme="1"/>
        <rFont val="Calibri"/>
        <family val="2"/>
        <scheme val="minor"/>
      </rPr>
      <t>) = phi(r</t>
    </r>
    <r>
      <rPr>
        <vertAlign val="subscript"/>
        <sz val="11"/>
        <color theme="1"/>
        <rFont val="Calibri"/>
        <family val="2"/>
        <scheme val="minor"/>
      </rPr>
      <t>H</t>
    </r>
    <r>
      <rPr>
        <sz val="11"/>
        <color theme="1"/>
        <rFont val="Calibri"/>
        <family val="2"/>
        <scheme val="minor"/>
      </rPr>
      <t>) + r</t>
    </r>
    <r>
      <rPr>
        <vertAlign val="subscript"/>
        <sz val="11"/>
        <color theme="1"/>
        <rFont val="Calibri"/>
        <family val="2"/>
        <scheme val="minor"/>
      </rPr>
      <t>H</t>
    </r>
    <r>
      <rPr>
        <sz val="11"/>
        <color theme="1"/>
        <rFont val="Calibri"/>
        <family val="2"/>
        <scheme val="minor"/>
      </rPr>
      <t xml:space="preserve"> - 1 to solve for r</t>
    </r>
    <r>
      <rPr>
        <vertAlign val="subscript"/>
        <sz val="11"/>
        <color theme="1"/>
        <rFont val="Calibri"/>
        <family val="2"/>
        <scheme val="minor"/>
      </rPr>
      <t>H</t>
    </r>
  </si>
  <si>
    <r>
      <t>r</t>
    </r>
    <r>
      <rPr>
        <vertAlign val="subscript"/>
        <sz val="11"/>
        <color theme="1"/>
        <rFont val="Calibri"/>
        <family val="2"/>
        <scheme val="minor"/>
      </rPr>
      <t>H</t>
    </r>
    <r>
      <rPr>
        <sz val="11"/>
        <color theme="1"/>
        <rFont val="Calibri"/>
        <family val="2"/>
        <scheme val="minor"/>
      </rPr>
      <t xml:space="preserve"> =</t>
    </r>
  </si>
  <si>
    <r>
      <t>L</t>
    </r>
    <r>
      <rPr>
        <vertAlign val="subscript"/>
        <sz val="11"/>
        <color theme="1"/>
        <rFont val="Calibri"/>
        <family val="2"/>
        <scheme val="minor"/>
      </rPr>
      <t>H</t>
    </r>
    <r>
      <rPr>
        <sz val="11"/>
        <color theme="1"/>
        <rFont val="Calibri"/>
        <family val="2"/>
        <scheme val="minor"/>
      </rPr>
      <t xml:space="preserve"> = </t>
    </r>
  </si>
  <si>
    <r>
      <t>ELR</t>
    </r>
    <r>
      <rPr>
        <vertAlign val="subscript"/>
        <sz val="11"/>
        <color theme="1"/>
        <rFont val="Calibri"/>
        <family val="2"/>
        <scheme val="minor"/>
      </rPr>
      <t>H</t>
    </r>
    <r>
      <rPr>
        <sz val="11"/>
        <color theme="1"/>
        <rFont val="Calibri"/>
        <family val="2"/>
        <scheme val="minor"/>
      </rPr>
      <t xml:space="preserve"> = L</t>
    </r>
    <r>
      <rPr>
        <vertAlign val="subscript"/>
        <sz val="11"/>
        <color theme="1"/>
        <rFont val="Calibri"/>
        <family val="2"/>
        <scheme val="minor"/>
      </rPr>
      <t>H</t>
    </r>
    <r>
      <rPr>
        <sz val="11"/>
        <color theme="1"/>
        <rFont val="Calibri"/>
        <family val="2"/>
        <scheme val="minor"/>
      </rPr>
      <t xml:space="preserve"> / SP =</t>
    </r>
  </si>
  <si>
    <t>Using the information below, calculate the premium for a $50,000 deductible policy.</t>
  </si>
  <si>
    <t>Expected Loss ratio</t>
  </si>
  <si>
    <t>ALAE as a percentage of loss</t>
  </si>
  <si>
    <t>Commission as a percentage of premium</t>
  </si>
  <si>
    <t>Other variable expenses</t>
  </si>
  <si>
    <t>Fixed expenses</t>
  </si>
  <si>
    <t>Loss Elimination Ratio at a $50,000 deductible</t>
  </si>
  <si>
    <t>Expected Ground Up Loss</t>
  </si>
  <si>
    <t>Expected Excess Loss</t>
  </si>
  <si>
    <t>Expected ALAE (remember ALAE is paid on all claims whether excess or not)</t>
  </si>
  <si>
    <t>Premium = (Expected loss &amp; ALAE + fixed expenses) / ( 1 - commission - variable expenses)</t>
  </si>
  <si>
    <t xml:space="preserve">An insurer writes five identical workers compensation risks for one year and observes </t>
  </si>
  <si>
    <t>the following:</t>
  </si>
  <si>
    <t>Standard Premium for each risk</t>
  </si>
  <si>
    <t>Acquisition Expenses as a Percent of Standard Premium</t>
  </si>
  <si>
    <t>General Overhead Expense as a Percent of Standard Premium</t>
  </si>
  <si>
    <t>Credit Risk Charge as a Percent of Standard Premium</t>
  </si>
  <si>
    <t>Expected ULAE as a Percent of Loss and ALAE</t>
  </si>
  <si>
    <t>Loss Based Assessment as a Percent of Loss and ALAE</t>
  </si>
  <si>
    <t>Premium Tax as a Percent of Standard Premium</t>
  </si>
  <si>
    <t>Profit Load as a Percent of Net Premium</t>
  </si>
  <si>
    <t>Actual losses for each risk are as follows:</t>
  </si>
  <si>
    <t>Actual Loss &amp; ALAE</t>
  </si>
  <si>
    <t>Construct a Table M for this book of business by displaying the insurance charges and savings</t>
  </si>
  <si>
    <t>for entry ratios from 0.00 to 1.60 in increments of 0.20.</t>
  </si>
  <si>
    <t>E[A] =</t>
  </si>
  <si>
    <t>Compute the Table M entry ratio for each risk</t>
  </si>
  <si>
    <t>Entry Ratio</t>
  </si>
  <si>
    <t>Since we want a Table M at certain intervals, use the horizontal slicing approach.</t>
  </si>
  <si>
    <t># Risks</t>
  </si>
  <si>
    <t># Risks Above</t>
  </si>
  <si>
    <t>% Risks Above</t>
  </si>
  <si>
    <t>Expected loss excess of the per-occurrence deductible</t>
  </si>
  <si>
    <t>Expected Limited Loss (deductible loss)</t>
  </si>
  <si>
    <t>General Expenses</t>
  </si>
  <si>
    <t>Credit Risk Charge</t>
  </si>
  <si>
    <t>Since we're not given the expected loss and ALAE for the book of business we must estimate it</t>
  </si>
  <si>
    <r>
      <t xml:space="preserve">ULAE, paid on </t>
    </r>
    <r>
      <rPr>
        <u/>
        <sz val="11"/>
        <color theme="1"/>
        <rFont val="Calibri"/>
        <family val="2"/>
        <scheme val="minor"/>
      </rPr>
      <t>all</t>
    </r>
    <r>
      <rPr>
        <sz val="11"/>
        <color theme="1"/>
        <rFont val="Calibri"/>
        <family val="2"/>
        <scheme val="minor"/>
      </rPr>
      <t xml:space="preserve"> losses</t>
    </r>
  </si>
  <si>
    <t>Loss based assessment charge</t>
  </si>
  <si>
    <t>Acquisition expenses</t>
  </si>
  <si>
    <t>Premium Tax</t>
  </si>
  <si>
    <t>An LDD policy pays all claims and seeks reimbursement for deductible losses.</t>
  </si>
  <si>
    <t>We need to determine the charge resulting from introducing the aggregate deductible</t>
  </si>
  <si>
    <t>For any risk above, estimate the prospective premium for a large dollar deductible (LDD) policy with</t>
  </si>
  <si>
    <t>To do this we really need a Limited Table M but we only have a Table M.</t>
  </si>
  <si>
    <t xml:space="preserve">We assume its okay to apply the Table M in place of the Limited Table M. This is </t>
  </si>
  <si>
    <t>equivalent to performing the ICRLL process with the adjustment landing in the same</t>
  </si>
  <si>
    <t>expected loss group.</t>
  </si>
  <si>
    <t>Limited Entry Ratio = aggregate limit / expected limited loss</t>
  </si>
  <si>
    <t>Insurance charge =  phi(1.40)*expected limited loss</t>
  </si>
  <si>
    <t xml:space="preserve"> credit charge + loss based charge + acquisition expenses + taxes) / (1 - Profit Provision)</t>
  </si>
  <si>
    <t>LDD Premium = (Excess of Per-occurrence + insurance charge + expenses + ULAE +</t>
  </si>
  <si>
    <t>The following information applies to a company's retrospectively rated Workers'</t>
  </si>
  <si>
    <t>Compensation policy:</t>
  </si>
  <si>
    <t xml:space="preserve">   • Its losses are expected to be uniformly distributed on [0, 1,000,000].</t>
  </si>
  <si>
    <t>Losses at maximum premium</t>
  </si>
  <si>
    <t>Losses at minimum premium</t>
  </si>
  <si>
    <t>Loss conversion factor</t>
  </si>
  <si>
    <t>Basic Premium</t>
  </si>
  <si>
    <t>Calculate the expected retrospective premium for this Workers' Compensation policy.</t>
  </si>
  <si>
    <t>The company is considering whether to implement a fraud detection device.</t>
  </si>
  <si>
    <t>This addition would result in a shift in the loss distribution to a uniform distribution</t>
  </si>
  <si>
    <t>between [0, 800,000].</t>
  </si>
  <si>
    <t>Assuming no other plan parameters change, calculate the resulting premium savings.</t>
  </si>
  <si>
    <t>Expected retrospective premium is given by R = (B + c*E[L])*T</t>
  </si>
  <si>
    <t>E[L] = E[A] - I, where I is the net insurance charge.</t>
  </si>
  <si>
    <t>Drawing a Lee diagram may help with this question.</t>
  </si>
  <si>
    <t>Insurance Savings =</t>
  </si>
  <si>
    <t>Insurance Charge =</t>
  </si>
  <si>
    <t>Net insurance charge =</t>
  </si>
  <si>
    <t xml:space="preserve">E[L] = </t>
  </si>
  <si>
    <t>Tax Rate</t>
  </si>
  <si>
    <t>Tax multiplier =</t>
  </si>
  <si>
    <t>Now assume the loss distribution is uniform on [0, 800,000]</t>
  </si>
  <si>
    <t>E[L] =</t>
  </si>
  <si>
    <t xml:space="preserve">Premium Savings </t>
  </si>
  <si>
    <t>Probability of a loss over $750,000 =</t>
  </si>
  <si>
    <t>Expected excess loss over $750,000 =</t>
  </si>
  <si>
    <t>Expected loss under $225,000 =</t>
  </si>
  <si>
    <t>Probability of a loss under $225,000 =</t>
  </si>
  <si>
    <t>Q13 -- Fisher -- Balanced Rating Plan -- 2.00 points</t>
  </si>
  <si>
    <t>Q14 -- Fisher -- Large Dollar Deductible Premium -- 2.00 points</t>
  </si>
  <si>
    <t>Q1 -- Bailey &amp; Simon -- Relative Credibility -- 3.50 points</t>
  </si>
  <si>
    <t>Q4 -- Mahler -- Criteria for Credibility -- 1.50 points</t>
  </si>
  <si>
    <t>Q5 -- Couret &amp; Venter -- Determine best approach using SSE -- 1.50 points</t>
  </si>
  <si>
    <t>Q7 -- Fisher -- Rating Plan Equity -- 3.00 points</t>
  </si>
  <si>
    <t>Q8 -- Bahnemann -- Excess Layer Inflation -- 3.50 points</t>
  </si>
  <si>
    <t>Q9 -- ISO -- Calculate experience modification factor -- 4.00 points</t>
  </si>
  <si>
    <t>Q10 -- Fisher -- Split Modification Formula -- 1.75 points</t>
  </si>
  <si>
    <t>Q11 -- ISO -- Schedule Rating -- 2.75 points</t>
  </si>
  <si>
    <t>Q12 -- Fisher -- Credibility Functions -- 3.00 points</t>
  </si>
  <si>
    <t>Q16 -- Fisher -- Retrospective Premium and Savings -- 4.00 points</t>
  </si>
  <si>
    <t xml:space="preserve">Calculate the expected losses for this portfolio in the layer $1,000,000 excess of $250,000 after </t>
  </si>
  <si>
    <t>two years.</t>
  </si>
  <si>
    <t>Navigator</t>
  </si>
  <si>
    <t>Finished</t>
  </si>
  <si>
    <t>Large data sets can lead to dense clouds of deviance residuals which makes pattern recognition challenging.</t>
  </si>
  <si>
    <t>An actuary is about to peer review a GLM. They are refreshing their memory on some model</t>
  </si>
  <si>
    <t>The residuals should be binned prior to graphing. One way of doing this is to use binned working residuals.</t>
  </si>
  <si>
    <t>refinement techniques.</t>
  </si>
  <si>
    <t>i.) TRUE</t>
  </si>
  <si>
    <t>ii.) FALSE - a good model has normally distributed deviance residuals</t>
  </si>
  <si>
    <t>Match the following descriptions to the correct techniques.</t>
  </si>
  <si>
    <t>iii.) TRUE</t>
  </si>
  <si>
    <t>iv.) FALSE - a good model has normally distributed deviance residuals</t>
  </si>
  <si>
    <t>Cook's distance</t>
  </si>
  <si>
    <t>v.) FALSE - this implies the chosen GLM distribution did not have enough right skewness.</t>
  </si>
  <si>
    <t>Cross validation</t>
  </si>
  <si>
    <t>Bootstrapping</t>
  </si>
  <si>
    <t>Identify a weakness of graphically analyzing deviance residuals and briefly describe how to</t>
  </si>
  <si>
    <t>overcome it.</t>
  </si>
  <si>
    <t>Identify all true statements below:</t>
  </si>
  <si>
    <t xml:space="preserve"> i.) Deviance residuals should have no predictable pattern.</t>
  </si>
  <si>
    <t>ii.) The shape of the deviance residuals should match the choice of GLM distribution.</t>
  </si>
  <si>
    <t>iii.) Deviance residuals should be normally distributed with constant variance.</t>
  </si>
  <si>
    <t>iv.) When plotting deviance residuals, significant deviations from normality</t>
  </si>
  <si>
    <t>imply the model fit is good.</t>
  </si>
  <si>
    <t>v.) Both ends of a q-q plot for deviance residuals lie above the line of equality. This means the</t>
  </si>
  <si>
    <t>chosen GLM distribution was too skewed to the right.</t>
  </si>
  <si>
    <t>You are testing the addition of a new categorical variable into an existing GLM, and are</t>
  </si>
  <si>
    <t>given the following information:</t>
  </si>
  <si>
    <t>Number of observations in the model</t>
  </si>
  <si>
    <t>Calculate the minimum possible number of levels in the new categorical variable.</t>
  </si>
  <si>
    <t>AIC = -2*log-likelihood + 2p</t>
  </si>
  <si>
    <t>BIC = -2*log-likelihood + p*ln(n)</t>
  </si>
  <si>
    <t>If there are p parameters in the old model then the new model has p+q parameters once the new variable is added.</t>
  </si>
  <si>
    <t>• A is the change in AIC and B is the change in BIC after adding the new variable.</t>
  </si>
  <si>
    <t>A = Change in AIC = AIC_new - AIC_old = (-2*log-likelihood_new + 2(p+q)) - (-2*log-likelihood_old + 2p) = -2*(ll_new - ll_old) + 2q</t>
  </si>
  <si>
    <t>B = Change in BIC = BIC_new - BIC_old = -2*(ll_new - ll_old) +q*ln(n)</t>
  </si>
  <si>
    <t>ln(n) =</t>
  </si>
  <si>
    <t xml:space="preserve">so q &gt; </t>
  </si>
  <si>
    <t>• B &gt; A + 100</t>
  </si>
  <si>
    <t>B - A &gt; 100 implies q*ln(n) - 2q &gt; 100</t>
  </si>
  <si>
    <t>Suppose instead the new categorical is added as a random effect, turning the GLM into a</t>
  </si>
  <si>
    <t>GLMM.</t>
  </si>
  <si>
    <t>Identify the minimum possible number of parameters added to the model when the new</t>
  </si>
  <si>
    <t>categorical variable is introduced.</t>
  </si>
  <si>
    <t>This means q is at least 16.</t>
  </si>
  <si>
    <t>Since the base category doesn't get its own parameter in a GLM there must be a minimum of 17 levels.</t>
  </si>
  <si>
    <t>Random effects in a GLMM do not include a base level. Each of the levels gets its own parameter for a minimum of 17 parameters added.</t>
  </si>
  <si>
    <t>A colleague suggests the GLM approach is better than the GLMM approach because the</t>
  </si>
  <si>
    <t>GLM coefficients are greater in magnitude than those produced by the GLMM for the</t>
  </si>
  <si>
    <t xml:space="preserve">new categorical variable. </t>
  </si>
  <si>
    <t>The GLM approach assumes the data is fully credible. The new categorical variable has at least 17 levels and we only have 5,000 observations</t>
  </si>
  <si>
    <t>in the model. This means the data for any level is unlikely to be highly credible.</t>
  </si>
  <si>
    <t xml:space="preserve">Briefly describe an issue presented by the GLM approach and explain how the </t>
  </si>
  <si>
    <t>GLMM approach is an improvement.</t>
  </si>
  <si>
    <t>Using a GLMM is a way of introducing classical credibility into a GLM for multi-level categorical variables. As the data for a level</t>
  </si>
  <si>
    <t xml:space="preserve">becomes more credible, the associated GLMM coefficient moves away from the grand mean and approaches </t>
  </si>
  <si>
    <t>the standard GLM coefficient. This reduces the chance of reacting to noise.</t>
  </si>
  <si>
    <t xml:space="preserve">It's estimated the portfolio policies will generate this many </t>
  </si>
  <si>
    <t>"large losses" during the next two years.</t>
  </si>
  <si>
    <t>← Expected Future Development</t>
  </si>
  <si>
    <t>CSLC →</t>
  </si>
  <si>
    <t>PAF 13B</t>
  </si>
  <si>
    <t>PAF 13C</t>
  </si>
  <si>
    <t>Z</t>
  </si>
  <si>
    <t>Basic Limit</t>
  </si>
  <si>
    <t>Cap at</t>
  </si>
  <si>
    <t>Add</t>
  </si>
  <si>
    <t xml:space="preserve">AER = (Ratable Loss + Expected Future Development) / CSLC </t>
  </si>
  <si>
    <t>Experience Modification = (AER - EER) / EER * Credibility</t>
  </si>
  <si>
    <t>Q2 -- GLM -- Estimate probability using GLM output -- 2.00 points</t>
  </si>
  <si>
    <t>Q3 -- GLM -- Number of Parameters within a GLM -- 2.00 points</t>
  </si>
  <si>
    <t xml:space="preserve">Retro Premium, R = </t>
  </si>
  <si>
    <t>The following information about the insured is given:</t>
  </si>
  <si>
    <t>Payroll for the experience period</t>
  </si>
  <si>
    <t>AL</t>
  </si>
  <si>
    <t>State</t>
  </si>
  <si>
    <t>The following claims apply to the experience period.</t>
  </si>
  <si>
    <t>Calculate the experience modification for this insured.</t>
  </si>
  <si>
    <t>Class</t>
  </si>
  <si>
    <t>Indemnity</t>
  </si>
  <si>
    <t>Excluding Medical Only Losses</t>
  </si>
  <si>
    <t>Medical Only Losses</t>
  </si>
  <si>
    <t>6*</t>
  </si>
  <si>
    <t>* Only one person was injured in claim 6.</t>
  </si>
  <si>
    <t>You may use the following tables to answer the question below.</t>
  </si>
  <si>
    <t>Class Code</t>
  </si>
  <si>
    <t>ELR</t>
  </si>
  <si>
    <t>D Ratio</t>
  </si>
  <si>
    <t>Weighting Value</t>
  </si>
  <si>
    <t>Ballast Value</t>
  </si>
  <si>
    <t>Primary/Excess split point</t>
  </si>
  <si>
    <t>State per Claim Accident Limitation</t>
  </si>
  <si>
    <t>State Multiple Claim Accident Limitation</t>
  </si>
  <si>
    <t>G value</t>
  </si>
  <si>
    <t>Payroll in (100)s</t>
  </si>
  <si>
    <t>D-ratio</t>
  </si>
  <si>
    <t>Use the class code to look up the associated ELR and D-ratio.</t>
  </si>
  <si>
    <t>Expected Loss, E =</t>
  </si>
  <si>
    <t>The expected primary loss is Ep = E * D-Ratio =</t>
  </si>
  <si>
    <t>The expected excess loss is Ee = E - Ep =</t>
  </si>
  <si>
    <t>Use the claims information to compute the actual primary and actual excess experience.</t>
  </si>
  <si>
    <t>First apply the state multiple claim limit.</t>
  </si>
  <si>
    <t xml:space="preserve">Now apply the state per claim limit. </t>
  </si>
  <si>
    <t>This only has the potential to impact claim 6. However, we're told claim 6 has a single claimant so it isn't impacted.</t>
  </si>
  <si>
    <t>Cap at single</t>
  </si>
  <si>
    <t>Primary</t>
  </si>
  <si>
    <t>Excess</t>
  </si>
  <si>
    <t>Ap =</t>
  </si>
  <si>
    <t>Ae =</t>
  </si>
  <si>
    <t>Use the expected loss, E, to look up the associated ballast and weight values.</t>
  </si>
  <si>
    <t>Ballast B =</t>
  </si>
  <si>
    <t>Weight W =</t>
  </si>
  <si>
    <t>31,844 to 47,399</t>
  </si>
  <si>
    <t>47,400 to 61,236</t>
  </si>
  <si>
    <t>61,237 to 74,710</t>
  </si>
  <si>
    <t>0 to 36,038</t>
  </si>
  <si>
    <t>36,039 to 62,025</t>
  </si>
  <si>
    <t>62,026 to 91,884</t>
  </si>
  <si>
    <t>Maximum allowed experience mod = 1.10 + (0.0004 * Expected Losses / G) =</t>
  </si>
  <si>
    <t>Experience mod =</t>
  </si>
  <si>
    <t>Select all true statements below:</t>
  </si>
  <si>
    <t>i.) The state per-accident and multiple claim accident limits do not apply to disease losses.</t>
  </si>
  <si>
    <t>ii.) Policy level disease losses are capped at 3*(State per-claim accident limit) + 120% Expected Loss.</t>
  </si>
  <si>
    <t>iii.) Primary disease losses are capped at 2x the primary/excess split point.</t>
  </si>
  <si>
    <t>v.) Disease losses do not include losses due to occupational exposures such as exposure to asbestos.</t>
  </si>
  <si>
    <t>3*(State per-claim accident limit) + 120% Expected Loss.</t>
  </si>
  <si>
    <t>iv.) Primary disease losses are capped at 2x primary/excess split point + 40% Expected Primary Loss.</t>
  </si>
  <si>
    <t>iv.) TRUE</t>
  </si>
  <si>
    <t>v.) FALSE – disease losses include those due to occupational exposures such as asbestos.</t>
  </si>
  <si>
    <t>iii.) FALSE – primary disease losses are capped at 2x primary/excess split point + 40% Expected Primary Loss.</t>
  </si>
  <si>
    <t>ii.) TRUE – after applying the state per- and multiple claim accident limits, disease losses are capped at the policy level by</t>
  </si>
  <si>
    <t>i.) FALSE – the state per-accident and multiple claim accident limits should be applied first.</t>
  </si>
  <si>
    <t>Expected Unlimited Loss Ratio</t>
  </si>
  <si>
    <t xml:space="preserve">Excess Ratio </t>
  </si>
  <si>
    <t>at Loss Limit</t>
  </si>
  <si>
    <t>Hazard</t>
  </si>
  <si>
    <t>Modified</t>
  </si>
  <si>
    <t>Expected</t>
  </si>
  <si>
    <t>Loss</t>
  </si>
  <si>
    <t>Ratio</t>
  </si>
  <si>
    <t>Loss Limit</t>
  </si>
  <si>
    <t>Ratio at</t>
  </si>
  <si>
    <t>Manual</t>
  </si>
  <si>
    <t>Premium</t>
  </si>
  <si>
    <t>Table of Policy Excess Ratio Ranges</t>
  </si>
  <si>
    <t>Sub-table</t>
  </si>
  <si>
    <t>Excess Ratio Range</t>
  </si>
  <si>
    <t>0.146 - 0.181</t>
  </si>
  <si>
    <t>0.182 - 0.221</t>
  </si>
  <si>
    <t>0.222 - 0.269</t>
  </si>
  <si>
    <t>0.270 - 0.316</t>
  </si>
  <si>
    <t>0.317 - 0.358</t>
  </si>
  <si>
    <t>0.359 - 0.420</t>
  </si>
  <si>
    <t>0.421 - 0.484</t>
  </si>
  <si>
    <t>NCCI Retrospective rating plan.</t>
  </si>
  <si>
    <t>Calculate the policy excess ratio and associated sub-table to use when rating this policy under the</t>
  </si>
  <si>
    <t>← policy excess ratio</t>
  </si>
  <si>
    <t>also subject to experience rating.</t>
  </si>
  <si>
    <t>Given the following information about a retrospectively rated Workers' Compensation policy which is</t>
  </si>
  <si>
    <t>Avg. Cost</t>
  </si>
  <si>
    <t>per Case</t>
  </si>
  <si>
    <t>Calculate the total number of expected claims for this policy.</t>
  </si>
  <si>
    <t>This corresponds to sub-table 12.</t>
  </si>
  <si>
    <t>Avg Cost</t>
  </si>
  <si>
    <t xml:space="preserve">Number </t>
  </si>
  <si>
    <t>of Claims</t>
  </si>
  <si>
    <t>← Expected number of claims</t>
  </si>
  <si>
    <t>Organize the following according to whether or not they are part of the policy's basic premium.</t>
  </si>
  <si>
    <t>Included in Basic Premium</t>
  </si>
  <si>
    <t>Not Part of Basic Premium</t>
  </si>
  <si>
    <t>See the inset yellow boxes.</t>
  </si>
  <si>
    <t>Identify two advantages and one disadvantage of using the table of aggregate loss factors over the</t>
  </si>
  <si>
    <t>previous table of net insurance charges.</t>
  </si>
  <si>
    <r>
      <rPr>
        <u/>
        <sz val="11"/>
        <color theme="1"/>
        <rFont val="Calibri"/>
        <family val="2"/>
        <scheme val="minor"/>
      </rPr>
      <t>Advantages</t>
    </r>
    <r>
      <rPr>
        <sz val="11"/>
        <color theme="1"/>
        <rFont val="Calibri"/>
        <family val="2"/>
        <scheme val="minor"/>
      </rPr>
      <t>: Any TWO of:</t>
    </r>
  </si>
  <si>
    <t>• The table of aggregate loss factors shares the methodology improvements of the ALFs on demand so they are more accurate.</t>
  </si>
  <si>
    <t>• It automatically accounts for claim size inflation over time.</t>
  </si>
  <si>
    <t>• It removes the need for updates to hazard group differentials and to the expected loss group ranges.</t>
  </si>
  <si>
    <t>• More recent data is used to generate these tables.</t>
  </si>
  <si>
    <r>
      <t>Disadvantage</t>
    </r>
    <r>
      <rPr>
        <sz val="11"/>
        <color theme="1"/>
        <rFont val="Calibri"/>
        <family val="2"/>
        <scheme val="minor"/>
      </rPr>
      <t>:</t>
    </r>
  </si>
  <si>
    <t>• The table of aggregate loss factors applies countrywide so doesn't reflect state and hazard group severity distribution differences.</t>
  </si>
  <si>
    <r>
      <t xml:space="preserve">An insured is subject to experience rating under the </t>
    </r>
    <r>
      <rPr>
        <i/>
        <sz val="11"/>
        <color theme="1"/>
        <rFont val="Calibri"/>
        <family val="2"/>
        <scheme val="minor"/>
      </rPr>
      <t xml:space="preserve">National Council on Compensation Insurance </t>
    </r>
  </si>
  <si>
    <r>
      <rPr>
        <sz val="11"/>
        <color theme="1"/>
        <rFont val="Calibri"/>
        <family val="2"/>
        <scheme val="minor"/>
      </rPr>
      <t xml:space="preserve">(NCCI) </t>
    </r>
    <r>
      <rPr>
        <i/>
        <sz val="11"/>
        <color theme="1"/>
        <rFont val="Calibri"/>
        <family val="2"/>
        <scheme val="minor"/>
      </rPr>
      <t>Experience Rating Plan Manual for Workers Compensation and Employers Liability Insurance.</t>
    </r>
  </si>
  <si>
    <t>Average ALAE</t>
  </si>
  <si>
    <t>ULAE</t>
  </si>
  <si>
    <t>Claim Size</t>
  </si>
  <si>
    <t>Probability</t>
  </si>
  <si>
    <t>Basic limit</t>
  </si>
  <si>
    <t>Policy limit</t>
  </si>
  <si>
    <t>Given the following information about an insurer's book of business:</t>
  </si>
  <si>
    <t>Expected Claim Count</t>
  </si>
  <si>
    <t>• Claim counts are assumed to follow a Poisson distribution.</t>
  </si>
  <si>
    <t>• The insurer follows the ISO approach to load their ILFs for risk.</t>
  </si>
  <si>
    <t>ISO k-value</t>
  </si>
  <si>
    <t>The ISO approach to risk loading ILFs is</t>
  </si>
  <si>
    <t>Without Risk Loading</t>
  </si>
  <si>
    <t>The general formula for (risk-loaded) ILFs is:</t>
  </si>
  <si>
    <t>Cap @ Basic</t>
  </si>
  <si>
    <t>Cap @ Policy</t>
  </si>
  <si>
    <t>ILF =</t>
  </si>
  <si>
    <t>With Risk Loading</t>
  </si>
  <si>
    <r>
      <t xml:space="preserve">Since the claim count distribution is Poisson, we have </t>
    </r>
    <r>
      <rPr>
        <sz val="11"/>
        <color theme="1"/>
        <rFont val="Calibri"/>
        <family val="2"/>
      </rPr>
      <t>δ = 0.</t>
    </r>
  </si>
  <si>
    <t xml:space="preserve">τ(b) = </t>
  </si>
  <si>
    <t xml:space="preserve">τ(L) = </t>
  </si>
  <si>
    <r>
      <t>E[X</t>
    </r>
    <r>
      <rPr>
        <vertAlign val="superscript"/>
        <sz val="11"/>
        <color theme="1"/>
        <rFont val="Calibri"/>
        <family val="2"/>
        <scheme val="minor"/>
      </rPr>
      <t>2</t>
    </r>
    <r>
      <rPr>
        <sz val="11"/>
        <color theme="1"/>
        <rFont val="Calibri"/>
        <family val="2"/>
        <scheme val="minor"/>
      </rPr>
      <t>; b] =</t>
    </r>
  </si>
  <si>
    <r>
      <t>E[X</t>
    </r>
    <r>
      <rPr>
        <vertAlign val="superscript"/>
        <sz val="11"/>
        <color theme="1"/>
        <rFont val="Calibri"/>
        <family val="2"/>
        <scheme val="minor"/>
      </rPr>
      <t>2</t>
    </r>
    <r>
      <rPr>
        <sz val="11"/>
        <color theme="1"/>
        <rFont val="Calibri"/>
        <family val="2"/>
        <scheme val="minor"/>
      </rPr>
      <t>; L] =</t>
    </r>
  </si>
  <si>
    <t>Calculate the ILF at the policy limit with and without including the risk load.</t>
  </si>
  <si>
    <t>Ground-up claim frequency</t>
  </si>
  <si>
    <t>Basic policy limit</t>
  </si>
  <si>
    <t>Basic limit expected loss</t>
  </si>
  <si>
    <t>Deductible</t>
  </si>
  <si>
    <t>Calculate the premium for a policy with a $1,000,000 limit and $2,000 deductible.</t>
  </si>
  <si>
    <t xml:space="preserve">Calculate the loss elimination ratio, modified frequency, severity and pure premium </t>
  </si>
  <si>
    <t>for each deductible in the table above.</t>
  </si>
  <si>
    <t>Loss elimination ratio = C(d) =</t>
  </si>
  <si>
    <t>C(d)</t>
  </si>
  <si>
    <t>Frequency</t>
  </si>
  <si>
    <t>Severity</t>
  </si>
  <si>
    <t>Pure Premium</t>
  </si>
  <si>
    <r>
      <t xml:space="preserve">Modified Frequency = </t>
    </r>
    <r>
      <rPr>
        <sz val="11"/>
        <color theme="1"/>
        <rFont val="Calibri"/>
        <family val="2"/>
      </rPr>
      <t>φ(1- F</t>
    </r>
    <r>
      <rPr>
        <vertAlign val="subscript"/>
        <sz val="11"/>
        <color theme="1"/>
        <rFont val="Calibri"/>
        <family val="2"/>
      </rPr>
      <t>X</t>
    </r>
    <r>
      <rPr>
        <sz val="11"/>
        <color theme="1"/>
        <rFont val="Calibri"/>
        <family val="2"/>
      </rPr>
      <t>(d))</t>
    </r>
  </si>
  <si>
    <r>
      <t>F</t>
    </r>
    <r>
      <rPr>
        <vertAlign val="subscript"/>
        <sz val="11"/>
        <color theme="1"/>
        <rFont val="Calibri"/>
        <family val="2"/>
        <scheme val="minor"/>
      </rPr>
      <t>X</t>
    </r>
    <r>
      <rPr>
        <sz val="11"/>
        <color theme="1"/>
        <rFont val="Calibri"/>
        <family val="2"/>
        <scheme val="minor"/>
      </rPr>
      <t>(d)</t>
    </r>
  </si>
  <si>
    <t>E[X; d]</t>
  </si>
  <si>
    <t>Modified Severity =</t>
  </si>
  <si>
    <r>
      <t>Premium = P</t>
    </r>
    <r>
      <rPr>
        <vertAlign val="subscript"/>
        <sz val="11"/>
        <color theme="1"/>
        <rFont val="Calibri"/>
        <family val="2"/>
        <scheme val="minor"/>
      </rPr>
      <t>b</t>
    </r>
    <r>
      <rPr>
        <sz val="11"/>
        <color theme="1"/>
        <rFont val="Calibri"/>
        <family val="2"/>
        <scheme val="minor"/>
      </rPr>
      <t>*(I(L) - C(d))</t>
    </r>
  </si>
  <si>
    <t>Limit</t>
  </si>
  <si>
    <t>ILF</t>
  </si>
  <si>
    <t>Basic Premium =</t>
  </si>
  <si>
    <t>To use this formula the ILFs must be rebased at the basic limit ($100,000).</t>
  </si>
  <si>
    <t>New Policy Premium =</t>
  </si>
  <si>
    <t>Policy Deductible</t>
  </si>
  <si>
    <t>Policy Premium</t>
  </si>
  <si>
    <t>F(x)</t>
  </si>
  <si>
    <t>Excess Ratio for a $250,000 Deductible (% of Loss and ALAE)</t>
  </si>
  <si>
    <r>
      <rPr>
        <b/>
        <sz val="11"/>
        <color theme="1"/>
        <rFont val="Calibri"/>
        <family val="2"/>
      </rPr>
      <t>φ</t>
    </r>
    <r>
      <rPr>
        <b/>
        <sz val="11"/>
        <color theme="1"/>
        <rFont val="Calibri"/>
        <family val="2"/>
        <scheme val="minor"/>
      </rPr>
      <t>(r)</t>
    </r>
  </si>
  <si>
    <r>
      <rPr>
        <b/>
        <sz val="11"/>
        <color theme="1"/>
        <rFont val="Calibri"/>
        <family val="2"/>
      </rPr>
      <t>ψ</t>
    </r>
    <r>
      <rPr>
        <b/>
        <sz val="11"/>
        <color theme="1"/>
        <rFont val="Calibri"/>
        <family val="2"/>
        <scheme val="minor"/>
      </rPr>
      <t>(r)</t>
    </r>
  </si>
  <si>
    <t>Q15 -- Fisher -- Table M and Large Dollar Deductible Premium -- 4.00 points</t>
  </si>
  <si>
    <t>Q17 -- Bahnemann -- Risk-adjusted ILFs -- 1.50 points</t>
  </si>
  <si>
    <t>Q18 -- NCCI Experience Rating-- Calculate experience mod -- 3.00 points</t>
  </si>
  <si>
    <t xml:space="preserve">Given the following information about an insurer's book of business which </t>
  </si>
  <si>
    <t>utilizes straight deductibles:</t>
  </si>
  <si>
    <t>Q19 -- Bahnemann -- Pricing with Straight Deductibles -- 2.50 points</t>
  </si>
  <si>
    <t>Q20 -- NCCI Circular -- Policy Excess Ratio and Expected Claims -- 2.50 points</t>
  </si>
  <si>
    <t>An actuary wishes to fit a claim size distribution to a sample of 1,000 claims.</t>
  </si>
  <si>
    <t>Size Group</t>
  </si>
  <si>
    <t># Claims</t>
  </si>
  <si>
    <t>Total Loss</t>
  </si>
  <si>
    <t>0 – 100</t>
  </si>
  <si>
    <t>101 – 500</t>
  </si>
  <si>
    <t>501 – 1,000</t>
  </si>
  <si>
    <t>1,001 – 2,000</t>
  </si>
  <si>
    <t>2,001 – 4,000</t>
  </si>
  <si>
    <t>4,001 – 5,000</t>
  </si>
  <si>
    <t>5,001 – 10,000</t>
  </si>
  <si>
    <t>Size</t>
  </si>
  <si>
    <t>E[X; x]</t>
  </si>
  <si>
    <t>e(x)</t>
  </si>
  <si>
    <t>E[X] =</t>
  </si>
  <si>
    <t>Calculate the empirical mean excess claim size distribution and identify the distribution.</t>
  </si>
  <si>
    <t>Using the distribution identified in part a.) above, calculate the empirical parameters</t>
  </si>
  <si>
    <t>associated with that distribution.</t>
  </si>
  <si>
    <t>Fitted</t>
  </si>
  <si>
    <r>
      <t>R</t>
    </r>
    <r>
      <rPr>
        <vertAlign val="superscript"/>
        <sz val="11"/>
        <color theme="1"/>
        <rFont val="Calibri"/>
        <family val="2"/>
        <scheme val="minor"/>
      </rPr>
      <t>2</t>
    </r>
    <r>
      <rPr>
        <sz val="11"/>
        <color theme="1"/>
        <rFont val="Calibri"/>
        <family val="2"/>
        <scheme val="minor"/>
      </rPr>
      <t xml:space="preserve"> =</t>
    </r>
  </si>
  <si>
    <t>Since the R2 value is very close to 1 we deduce the mean excess claim size distribution</t>
  </si>
  <si>
    <t>follows a straight line and thus is best described using a Pareto distribution.</t>
  </si>
  <si>
    <t>A Pareto distribution has</t>
  </si>
  <si>
    <t>Since we can't graph in the Pearson VUE environment, we can try fitting a straight line using the FORECAST.LINEAR function.</t>
  </si>
  <si>
    <r>
      <t>We can assess the goodness of fit via the R</t>
    </r>
    <r>
      <rPr>
        <vertAlign val="superscript"/>
        <sz val="11"/>
        <color theme="1"/>
        <rFont val="Calibri"/>
        <family val="2"/>
        <scheme val="minor"/>
      </rPr>
      <t>2</t>
    </r>
    <r>
      <rPr>
        <sz val="11"/>
        <color theme="1"/>
        <rFont val="Calibri"/>
        <family val="2"/>
        <scheme val="minor"/>
      </rPr>
      <t xml:space="preserve"> statistic as measured using the square of CORREL function</t>
    </r>
  </si>
  <si>
    <t>Using LINEST on the fitted data allows us to get the parameters for y = mx + b</t>
  </si>
  <si>
    <t>b</t>
  </si>
  <si>
    <t xml:space="preserve">m </t>
  </si>
  <si>
    <r>
      <t xml:space="preserve">Solving m for </t>
    </r>
    <r>
      <rPr>
        <sz val="11"/>
        <color theme="1"/>
        <rFont val="Calibri"/>
        <family val="2"/>
      </rPr>
      <t>α yields α =</t>
    </r>
  </si>
  <si>
    <r>
      <t xml:space="preserve">Then solving b for </t>
    </r>
    <r>
      <rPr>
        <sz val="11"/>
        <color theme="1"/>
        <rFont val="Calibri"/>
        <family val="2"/>
      </rPr>
      <t>β yields β =</t>
    </r>
  </si>
  <si>
    <t>These are the parameters of the fitted Pareto distribution.</t>
  </si>
  <si>
    <t>Identify a condition on the claim data set in order for the above analysis to produce</t>
  </si>
  <si>
    <t>an accurate distribution.</t>
  </si>
  <si>
    <t>We need there to be sufficiently many large claims in the data set so we can reliably estimate e(x) for large x values.</t>
  </si>
  <si>
    <t>Q6 -- GLM -- Adding variables to a GLM or GLMM -- 2.75 points</t>
  </si>
  <si>
    <t>Q21 -- Bahnemann -- Mean Excess Claim Size -- 2.25 points</t>
  </si>
  <si>
    <t>Q22 -- GLM -- Model Refinement -- 1.75 points</t>
  </si>
  <si>
    <t>Expectations</t>
  </si>
  <si>
    <r>
      <t>(X; L)</t>
    </r>
    <r>
      <rPr>
        <vertAlign val="superscript"/>
        <sz val="11"/>
        <color theme="1"/>
        <rFont val="Calibri"/>
        <family val="2"/>
        <scheme val="minor"/>
      </rPr>
      <t>2</t>
    </r>
  </si>
  <si>
    <r>
      <t>(X; b)</t>
    </r>
    <r>
      <rPr>
        <vertAlign val="superscript"/>
        <sz val="11"/>
        <color theme="1"/>
        <rFont val="Calibri"/>
        <family val="2"/>
        <scheme val="minor"/>
      </rPr>
      <t>2</t>
    </r>
  </si>
  <si>
    <t>a per-occurrence deductible of $250,000 and an annual aggregate deductible of $1,260,000.</t>
  </si>
  <si>
    <t xml:space="preserve">An actuary has built a GLM for a countrywide rating plan. </t>
  </si>
  <si>
    <t>VehicleType</t>
  </si>
  <si>
    <t>Relativity</t>
  </si>
  <si>
    <t>Van</t>
  </si>
  <si>
    <t>SUV</t>
  </si>
  <si>
    <t>Luxury SUV</t>
  </si>
  <si>
    <t>GLM</t>
  </si>
  <si>
    <t>Lasso</t>
  </si>
  <si>
    <t>Coefficients</t>
  </si>
  <si>
    <r>
      <rPr>
        <sz val="11"/>
        <color theme="1"/>
        <rFont val="Calibri"/>
        <family val="2"/>
      </rPr>
      <t>β</t>
    </r>
    <r>
      <rPr>
        <vertAlign val="subscript"/>
        <sz val="11"/>
        <color theme="1"/>
        <rFont val="Calibri"/>
        <family val="2"/>
      </rPr>
      <t>j</t>
    </r>
  </si>
  <si>
    <t>The actuary uses the relativities from the countrywide GLM as the offsets.</t>
  </si>
  <si>
    <r>
      <t xml:space="preserve">the </t>
    </r>
    <r>
      <rPr>
        <i/>
        <sz val="11"/>
        <color theme="1"/>
        <rFont val="Calibri"/>
        <family val="2"/>
        <scheme val="minor"/>
      </rPr>
      <t>VehicleType</t>
    </r>
    <r>
      <rPr>
        <sz val="11"/>
        <color theme="1"/>
        <rFont val="Calibri"/>
        <family val="2"/>
        <scheme val="minor"/>
      </rPr>
      <t xml:space="preserve"> rating variable for the mid-size state.</t>
    </r>
  </si>
  <si>
    <t>Using the information below, construct the table of rating factors for</t>
  </si>
  <si>
    <t>They are using a lasso credibility model with a log-link function to produce</t>
  </si>
  <si>
    <t>a rating plan for one of their mid-size states.</t>
  </si>
  <si>
    <r>
      <t>Therefore, the rating factors are given by (GLM Relativity)*exp(</t>
    </r>
    <r>
      <rPr>
        <sz val="11"/>
        <color theme="1"/>
        <rFont val="Calibri"/>
        <family val="2"/>
      </rPr>
      <t>β</t>
    </r>
    <r>
      <rPr>
        <vertAlign val="subscript"/>
        <sz val="11"/>
        <color theme="1"/>
        <rFont val="Calibri"/>
        <family val="2"/>
      </rPr>
      <t>j</t>
    </r>
    <r>
      <rPr>
        <sz val="11"/>
        <color theme="1"/>
        <rFont val="Calibri"/>
        <family val="2"/>
      </rPr>
      <t>)</t>
    </r>
  </si>
  <si>
    <r>
      <t xml:space="preserve">The GLM relativity and the </t>
    </r>
    <r>
      <rPr>
        <sz val="11"/>
        <color theme="1"/>
        <rFont val="Calibri"/>
        <family val="2"/>
      </rPr>
      <t>β</t>
    </r>
    <r>
      <rPr>
        <vertAlign val="subscript"/>
        <sz val="11"/>
        <color theme="1"/>
        <rFont val="Calibri"/>
        <family val="2"/>
      </rPr>
      <t>j</t>
    </r>
    <r>
      <rPr>
        <sz val="11"/>
        <color theme="1"/>
        <rFont val="Calibri"/>
        <family val="2"/>
      </rPr>
      <t xml:space="preserve"> coefficients are not on the same scale because the GLM relativities have had their link function inverted.</t>
    </r>
  </si>
  <si>
    <t>Mid-Size</t>
  </si>
  <si>
    <t>Exposures</t>
  </si>
  <si>
    <t>Convertible</t>
  </si>
  <si>
    <t>Identify which vehicle types have full credibility on their complement.</t>
  </si>
  <si>
    <t>Briefly explain why.</t>
  </si>
  <si>
    <r>
      <t xml:space="preserve">The complement is given full credibility when the </t>
    </r>
    <r>
      <rPr>
        <sz val="11"/>
        <color theme="1"/>
        <rFont val="Calibri"/>
        <family val="2"/>
      </rPr>
      <t>β</t>
    </r>
    <r>
      <rPr>
        <vertAlign val="subscript"/>
        <sz val="11"/>
        <color theme="1"/>
        <rFont val="Calibri"/>
        <family val="2"/>
      </rPr>
      <t>j</t>
    </r>
    <r>
      <rPr>
        <sz val="11"/>
        <color theme="1"/>
        <rFont val="Calibri"/>
        <family val="2"/>
      </rPr>
      <t xml:space="preserve"> coefficient is zero.</t>
    </r>
  </si>
  <si>
    <t>This occurs for Sedans and Convertibles.</t>
  </si>
  <si>
    <t>Sedans have the greatest exposure so the experience is likely to be too similar to the countrywide model for the lasso model to deviate.</t>
  </si>
  <si>
    <t>Convertibles have next to no exposures so there is likely insufficient data to overcome the lasso credibility model penalty.</t>
  </si>
  <si>
    <r>
      <t xml:space="preserve">Briefly explain why the </t>
    </r>
    <r>
      <rPr>
        <i/>
        <sz val="11"/>
        <color theme="1"/>
        <rFont val="Calibri"/>
        <family val="2"/>
        <scheme val="minor"/>
      </rPr>
      <t>VehicleType</t>
    </r>
    <r>
      <rPr>
        <sz val="11"/>
        <color theme="1"/>
        <rFont val="Calibri"/>
        <family val="2"/>
        <scheme val="minor"/>
      </rPr>
      <t xml:space="preserve"> relativity for Convertibles found in </t>
    </r>
  </si>
  <si>
    <t>part a.) above may be incorrect.</t>
  </si>
  <si>
    <t>Since Convertibles have next to no exposures the lasso credibility model doesn't deviate from the countrywide GLM relativity.</t>
  </si>
  <si>
    <t>If the Convertibles have limited exposures in the countrywide GLM dataset then the complement itself may be inappropriate.</t>
  </si>
  <si>
    <t>This would cause the Convertible relativity to be incorrect.</t>
  </si>
  <si>
    <t>Q23 -- Holmes -- Lasso Credibility Coefficients -- 2.00 points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</si>
</sst>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4">
    <numFmt numFmtId="6" formatCode="&quot;$&quot;#,##0_);[Red]\(&quot;$&quot;#,##0\)"/>
    <numFmt numFmtId="8" formatCode="&quot;$&quot;#,##0.00_);[Red]\(&quot;$&quot;#,##0.00\)"/>
    <numFmt numFmtId="164" formatCode="0.0%"/>
    <numFmt numFmtId="165" formatCode="0.000"/>
    <numFmt numFmtId="166" formatCode="0.00000000"/>
    <numFmt numFmtId="167" formatCode="0.000%"/>
    <numFmt numFmtId="168" formatCode="0.000000000000000%"/>
    <numFmt numFmtId="169" formatCode="0.0"/>
    <numFmt numFmtId="170" formatCode="0.0000000"/>
    <numFmt numFmtId="171" formatCode="0.00000"/>
    <numFmt numFmtId="172" formatCode="&quot;$&quot;#,##0"/>
    <numFmt numFmtId="173" formatCode="0.0000"/>
    <numFmt numFmtId="174" formatCode="0.000000"/>
    <numFmt numFmtId="175" formatCode="&quot;$&quot;#,##0.00"/>
  </numFmts>
  <fonts count="2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u/>
      <sz val="12"/>
      <color theme="1"/>
      <name val="Calibri"/>
      <family val="2"/>
      <scheme val="minor"/>
    </font>
    <font>
      <b/>
      <u/>
      <sz val="11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u/>
      <sz val="11"/>
      <color theme="1"/>
      <name val="Calibri"/>
      <family val="2"/>
      <scheme val="minor"/>
    </font>
    <font>
      <sz val="11"/>
      <color theme="1"/>
      <name val="Calibri"/>
      <family val="2"/>
    </font>
    <font>
      <i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u/>
      <sz val="18"/>
      <color theme="1"/>
      <name val="Calibri"/>
      <family val="2"/>
      <scheme val="minor"/>
    </font>
    <font>
      <b/>
      <u/>
      <sz val="16"/>
      <color theme="1"/>
      <name val="Calibri"/>
      <family val="2"/>
      <scheme val="minor"/>
    </font>
    <font>
      <b/>
      <i/>
      <sz val="12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i/>
      <sz val="11"/>
      <color theme="4"/>
      <name val="Calibri"/>
      <family val="2"/>
      <scheme val="minor"/>
    </font>
    <font>
      <vertAlign val="subscript"/>
      <sz val="11"/>
      <color theme="1"/>
      <name val="Calibri"/>
      <family val="2"/>
      <scheme val="minor"/>
    </font>
    <font>
      <vertAlign val="superscript"/>
      <sz val="11"/>
      <color theme="1"/>
      <name val="Calibri"/>
      <family val="2"/>
      <scheme val="minor"/>
    </font>
    <font>
      <vertAlign val="subscript"/>
      <sz val="11"/>
      <color theme="1"/>
      <name val="Calibri"/>
      <family val="2"/>
    </font>
    <font>
      <b/>
      <sz val="11"/>
      <color theme="1"/>
      <name val="Calibri"/>
      <family val="2"/>
    </font>
  </fonts>
  <fills count="7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FF00"/>
        <bgColor indexed="64"/>
      </patternFill>
    </fill>
  </fills>
  <borders count="32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thin">
        <color theme="2" tint="-9.9948118533890809E-2"/>
      </top>
      <bottom style="thin">
        <color theme="2" tint="-9.9948118533890809E-2"/>
      </bottom>
      <diagonal/>
    </border>
    <border>
      <left/>
      <right style="thin">
        <color theme="1"/>
      </right>
      <top style="thin">
        <color theme="2" tint="-9.9948118533890809E-2"/>
      </top>
      <bottom style="thin">
        <color theme="2" tint="-9.9948118533890809E-2"/>
      </bottom>
      <diagonal/>
    </border>
    <border>
      <left/>
      <right/>
      <top/>
      <bottom style="thin">
        <color theme="2" tint="-9.9948118533890809E-2"/>
      </bottom>
      <diagonal/>
    </border>
    <border>
      <left/>
      <right style="thin">
        <color theme="1"/>
      </right>
      <top/>
      <bottom style="thin">
        <color theme="2" tint="-9.9948118533890809E-2"/>
      </bottom>
      <diagonal/>
    </border>
    <border>
      <left/>
      <right style="thin">
        <color auto="1"/>
      </right>
      <top/>
      <bottom style="thin">
        <color theme="2" tint="-9.9948118533890809E-2"/>
      </bottom>
      <diagonal/>
    </border>
    <border>
      <left/>
      <right style="thin">
        <color auto="1"/>
      </right>
      <top style="thin">
        <color theme="2" tint="-9.9948118533890809E-2"/>
      </top>
      <bottom style="thin">
        <color theme="2" tint="-9.9948118533890809E-2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10" fillId="0" borderId="0" applyNumberFormat="0" applyFill="0" applyBorder="0" applyAlignment="0" applyProtection="0"/>
  </cellStyleXfs>
  <cellXfs count="391">
    <xf numFmtId="0" fontId="0" fillId="0" borderId="0" xfId="0"/>
    <xf numFmtId="0" fontId="0" fillId="0" borderId="0" xfId="0" applyAlignment="1">
      <alignment horizontal="center"/>
    </xf>
    <xf numFmtId="0" fontId="2" fillId="0" borderId="0" xfId="0" applyFont="1" applyAlignment="1">
      <alignment horizontal="centerContinuous"/>
    </xf>
    <xf numFmtId="0" fontId="0" fillId="0" borderId="0" xfId="0" applyProtection="1">
      <protection locked="0"/>
    </xf>
    <xf numFmtId="0" fontId="2" fillId="3" borderId="3" xfId="0" applyFont="1" applyFill="1" applyBorder="1" applyAlignment="1" applyProtection="1">
      <alignment horizontal="center"/>
      <protection locked="0"/>
    </xf>
    <xf numFmtId="164" fontId="2" fillId="0" borderId="0" xfId="1" applyNumberFormat="1" applyFont="1" applyAlignment="1">
      <alignment horizontal="center"/>
    </xf>
    <xf numFmtId="0" fontId="0" fillId="0" borderId="23" xfId="0" applyBorder="1" applyAlignment="1">
      <alignment horizontal="center"/>
    </xf>
    <xf numFmtId="2" fontId="0" fillId="0" borderId="23" xfId="0" applyNumberFormat="1" applyBorder="1" applyAlignment="1">
      <alignment horizontal="center"/>
    </xf>
    <xf numFmtId="0" fontId="2" fillId="0" borderId="23" xfId="0" applyFont="1" applyBorder="1" applyAlignment="1">
      <alignment horizontal="center"/>
    </xf>
    <xf numFmtId="0" fontId="0" fillId="0" borderId="24" xfId="0" applyBorder="1" applyAlignment="1">
      <alignment horizontal="center"/>
    </xf>
    <xf numFmtId="2" fontId="0" fillId="0" borderId="24" xfId="0" applyNumberFormat="1" applyBorder="1" applyAlignment="1">
      <alignment horizontal="center"/>
    </xf>
    <xf numFmtId="0" fontId="0" fillId="0" borderId="0" xfId="0" applyAlignment="1">
      <alignment horizontal="centerContinuous"/>
    </xf>
    <xf numFmtId="0" fontId="2" fillId="0" borderId="0" xfId="0" applyFont="1" applyAlignment="1">
      <alignment horizontal="right"/>
    </xf>
    <xf numFmtId="0" fontId="10" fillId="0" borderId="24" xfId="2" applyBorder="1" applyAlignment="1">
      <alignment horizontal="center"/>
    </xf>
    <xf numFmtId="0" fontId="11" fillId="0" borderId="0" xfId="0" applyFont="1" applyAlignment="1">
      <alignment horizontal="centerContinuous"/>
    </xf>
    <xf numFmtId="0" fontId="12" fillId="0" borderId="0" xfId="0" applyFont="1" applyAlignment="1">
      <alignment horizontal="centerContinuous"/>
    </xf>
    <xf numFmtId="0" fontId="13" fillId="0" borderId="0" xfId="0" applyFont="1" applyAlignment="1">
      <alignment horizontal="centerContinuous"/>
    </xf>
    <xf numFmtId="2" fontId="0" fillId="0" borderId="25" xfId="0" applyNumberFormat="1" applyBorder="1" applyAlignment="1">
      <alignment horizontal="center"/>
    </xf>
    <xf numFmtId="0" fontId="10" fillId="0" borderId="26" xfId="2" applyBorder="1" applyAlignment="1">
      <alignment horizontal="center"/>
    </xf>
    <xf numFmtId="2" fontId="0" fillId="0" borderId="27" xfId="0" applyNumberFormat="1" applyBorder="1" applyAlignment="1">
      <alignment horizontal="center"/>
    </xf>
    <xf numFmtId="2" fontId="0" fillId="0" borderId="26" xfId="0" applyNumberFormat="1" applyBorder="1" applyAlignment="1">
      <alignment horizontal="center"/>
    </xf>
    <xf numFmtId="0" fontId="0" fillId="0" borderId="26" xfId="0" applyBorder="1" applyAlignment="1">
      <alignment horizontal="center"/>
    </xf>
    <xf numFmtId="0" fontId="2" fillId="0" borderId="0" xfId="0" applyFont="1"/>
    <xf numFmtId="0" fontId="2" fillId="0" borderId="1" xfId="0" applyFont="1" applyBorder="1" applyAlignment="1">
      <alignment horizontal="center"/>
    </xf>
    <xf numFmtId="0" fontId="4" fillId="0" borderId="15" xfId="0" applyFont="1" applyBorder="1" applyAlignment="1">
      <alignment horizontal="center"/>
    </xf>
    <xf numFmtId="0" fontId="2" fillId="0" borderId="22" xfId="0" applyFont="1" applyBorder="1" applyAlignment="1">
      <alignment horizontal="center"/>
    </xf>
    <xf numFmtId="0" fontId="10" fillId="0" borderId="28" xfId="2" applyBorder="1" applyAlignment="1">
      <alignment horizontal="center"/>
    </xf>
    <xf numFmtId="0" fontId="10" fillId="0" borderId="29" xfId="2" applyBorder="1" applyAlignment="1">
      <alignment horizontal="center"/>
    </xf>
    <xf numFmtId="0" fontId="0" fillId="0" borderId="0" xfId="0" applyAlignment="1" applyProtection="1">
      <alignment horizontal="center"/>
      <protection locked="0"/>
    </xf>
    <xf numFmtId="0" fontId="16" fillId="0" borderId="1" xfId="0" applyFont="1" applyBorder="1"/>
    <xf numFmtId="0" fontId="14" fillId="0" borderId="1" xfId="0" applyFont="1" applyBorder="1"/>
    <xf numFmtId="0" fontId="16" fillId="0" borderId="1" xfId="0" applyFont="1" applyBorder="1" applyAlignment="1">
      <alignment horizontal="center"/>
    </xf>
    <xf numFmtId="0" fontId="2" fillId="0" borderId="0" xfId="0" applyFont="1" applyAlignment="1">
      <alignment horizontal="center"/>
    </xf>
    <xf numFmtId="2" fontId="0" fillId="0" borderId="0" xfId="0" applyNumberFormat="1" applyAlignment="1">
      <alignment horizontal="center"/>
    </xf>
    <xf numFmtId="3" fontId="0" fillId="4" borderId="0" xfId="0" applyNumberFormat="1" applyFill="1" applyAlignment="1" applyProtection="1">
      <alignment horizontal="left"/>
      <protection locked="0"/>
    </xf>
    <xf numFmtId="0" fontId="17" fillId="0" borderId="0" xfId="0" applyFont="1" applyProtection="1">
      <protection locked="0"/>
    </xf>
    <xf numFmtId="164" fontId="0" fillId="4" borderId="0" xfId="1" applyNumberFormat="1" applyFont="1" applyFill="1" applyAlignment="1" applyProtection="1">
      <alignment horizontal="left"/>
      <protection locked="0"/>
    </xf>
    <xf numFmtId="166" fontId="0" fillId="0" borderId="0" xfId="0" applyNumberFormat="1" applyProtection="1">
      <protection locked="0"/>
    </xf>
    <xf numFmtId="0" fontId="0" fillId="0" borderId="0" xfId="0" applyAlignment="1" applyProtection="1">
      <alignment horizontal="left"/>
      <protection locked="0"/>
    </xf>
    <xf numFmtId="10" fontId="0" fillId="4" borderId="0" xfId="1" applyNumberFormat="1" applyFont="1" applyFill="1" applyAlignment="1" applyProtection="1">
      <alignment horizontal="left"/>
      <protection locked="0"/>
    </xf>
    <xf numFmtId="0" fontId="0" fillId="4" borderId="0" xfId="0" applyFill="1" applyProtection="1">
      <protection locked="0"/>
    </xf>
    <xf numFmtId="2" fontId="0" fillId="0" borderId="0" xfId="0" applyNumberFormat="1" applyProtection="1">
      <protection locked="0"/>
    </xf>
    <xf numFmtId="0" fontId="0" fillId="0" borderId="12" xfId="0" applyBorder="1" applyAlignment="1" applyProtection="1">
      <alignment horizontal="center"/>
      <protection locked="0"/>
    </xf>
    <xf numFmtId="0" fontId="0" fillId="0" borderId="13" xfId="0" applyBorder="1" applyAlignment="1" applyProtection="1">
      <alignment horizontal="center"/>
      <protection locked="0"/>
    </xf>
    <xf numFmtId="0" fontId="0" fillId="0" borderId="19" xfId="0" applyBorder="1" applyAlignment="1" applyProtection="1">
      <alignment horizontal="center"/>
      <protection locked="0"/>
    </xf>
    <xf numFmtId="0" fontId="0" fillId="0" borderId="20" xfId="0" applyBorder="1" applyAlignment="1" applyProtection="1">
      <alignment horizontal="center"/>
      <protection locked="0"/>
    </xf>
    <xf numFmtId="0" fontId="0" fillId="0" borderId="30" xfId="0" applyBorder="1" applyAlignment="1" applyProtection="1">
      <alignment horizontal="center"/>
      <protection locked="0"/>
    </xf>
    <xf numFmtId="0" fontId="0" fillId="0" borderId="15" xfId="0" applyBorder="1" applyAlignment="1" applyProtection="1">
      <alignment horizontal="center"/>
      <protection locked="0"/>
    </xf>
    <xf numFmtId="0" fontId="0" fillId="0" borderId="21" xfId="0" applyBorder="1" applyAlignment="1" applyProtection="1">
      <alignment horizontal="center"/>
      <protection locked="0"/>
    </xf>
    <xf numFmtId="0" fontId="0" fillId="0" borderId="22" xfId="0" applyBorder="1" applyAlignment="1" applyProtection="1">
      <alignment horizontal="center"/>
      <protection locked="0"/>
    </xf>
    <xf numFmtId="0" fontId="0" fillId="0" borderId="2" xfId="0" applyBorder="1" applyAlignment="1" applyProtection="1">
      <alignment horizontal="center"/>
      <protection locked="0"/>
    </xf>
    <xf numFmtId="0" fontId="0" fillId="0" borderId="16" xfId="0" applyBorder="1" applyAlignment="1" applyProtection="1">
      <alignment horizontal="center"/>
      <protection locked="0"/>
    </xf>
    <xf numFmtId="0" fontId="0" fillId="0" borderId="17" xfId="0" applyBorder="1" applyAlignment="1" applyProtection="1">
      <alignment horizontal="center"/>
      <protection locked="0"/>
    </xf>
    <xf numFmtId="0" fontId="0" fillId="0" borderId="18" xfId="0" applyBorder="1" applyAlignment="1" applyProtection="1">
      <alignment horizontal="center"/>
      <protection locked="0"/>
    </xf>
    <xf numFmtId="0" fontId="2" fillId="0" borderId="0" xfId="0" applyFont="1" applyProtection="1">
      <protection locked="0"/>
    </xf>
    <xf numFmtId="165" fontId="0" fillId="0" borderId="15" xfId="0" applyNumberFormat="1" applyBorder="1" applyAlignment="1" applyProtection="1">
      <alignment horizontal="center"/>
      <protection locked="0"/>
    </xf>
    <xf numFmtId="164" fontId="0" fillId="0" borderId="0" xfId="1" applyNumberFormat="1" applyFont="1" applyAlignment="1" applyProtection="1">
      <alignment horizontal="center"/>
      <protection locked="0"/>
    </xf>
    <xf numFmtId="3" fontId="0" fillId="0" borderId="0" xfId="0" applyNumberFormat="1" applyAlignment="1" applyProtection="1">
      <alignment horizontal="center"/>
      <protection locked="0"/>
    </xf>
    <xf numFmtId="164" fontId="0" fillId="0" borderId="0" xfId="0" applyNumberFormat="1" applyProtection="1">
      <protection locked="0"/>
    </xf>
    <xf numFmtId="6" fontId="0" fillId="0" borderId="0" xfId="0" applyNumberFormat="1" applyProtection="1">
      <protection locked="0"/>
    </xf>
    <xf numFmtId="164" fontId="0" fillId="0" borderId="0" xfId="0" applyNumberFormat="1" applyAlignment="1" applyProtection="1">
      <alignment horizontal="left"/>
      <protection locked="0"/>
    </xf>
    <xf numFmtId="8" fontId="0" fillId="0" borderId="0" xfId="0" applyNumberFormat="1" applyProtection="1">
      <protection locked="0"/>
    </xf>
    <xf numFmtId="168" fontId="0" fillId="0" borderId="0" xfId="0" applyNumberFormat="1" applyProtection="1">
      <protection locked="0"/>
    </xf>
    <xf numFmtId="8" fontId="0" fillId="0" borderId="0" xfId="0" applyNumberFormat="1" applyAlignment="1" applyProtection="1">
      <alignment horizontal="left"/>
      <protection locked="0"/>
    </xf>
    <xf numFmtId="169" fontId="0" fillId="0" borderId="0" xfId="0" applyNumberFormat="1" applyAlignment="1" applyProtection="1">
      <alignment horizontal="left"/>
      <protection locked="0"/>
    </xf>
    <xf numFmtId="2" fontId="0" fillId="0" borderId="0" xfId="0" applyNumberFormat="1" applyAlignment="1" applyProtection="1">
      <alignment horizontal="left"/>
      <protection locked="0"/>
    </xf>
    <xf numFmtId="0" fontId="2" fillId="0" borderId="0" xfId="0" applyFont="1" applyAlignment="1" applyProtection="1">
      <alignment horizontal="center"/>
      <protection locked="0"/>
    </xf>
    <xf numFmtId="6" fontId="0" fillId="0" borderId="0" xfId="0" applyNumberFormat="1" applyAlignment="1" applyProtection="1">
      <alignment horizontal="left"/>
      <protection locked="0"/>
    </xf>
    <xf numFmtId="2" fontId="0" fillId="0" borderId="0" xfId="0" applyNumberFormat="1" applyAlignment="1" applyProtection="1">
      <alignment horizontal="center"/>
      <protection locked="0"/>
    </xf>
    <xf numFmtId="0" fontId="2" fillId="0" borderId="14" xfId="0" applyFont="1" applyBorder="1" applyAlignment="1" applyProtection="1">
      <alignment horizontal="center"/>
      <protection locked="0"/>
    </xf>
    <xf numFmtId="0" fontId="2" fillId="0" borderId="13" xfId="0" applyFont="1" applyBorder="1" applyAlignment="1" applyProtection="1">
      <alignment horizontal="center"/>
      <protection locked="0"/>
    </xf>
    <xf numFmtId="0" fontId="2" fillId="0" borderId="2" xfId="0" applyFont="1" applyBorder="1" applyAlignment="1" applyProtection="1">
      <alignment horizontal="center"/>
      <protection locked="0"/>
    </xf>
    <xf numFmtId="0" fontId="0" fillId="0" borderId="0" xfId="0" quotePrefix="1" applyProtection="1">
      <protection locked="0"/>
    </xf>
    <xf numFmtId="172" fontId="0" fillId="0" borderId="0" xfId="0" applyNumberFormat="1" applyProtection="1">
      <protection locked="0"/>
    </xf>
    <xf numFmtId="172" fontId="0" fillId="0" borderId="0" xfId="0" applyNumberFormat="1" applyAlignment="1" applyProtection="1">
      <alignment horizontal="left"/>
      <protection locked="0"/>
    </xf>
    <xf numFmtId="165" fontId="0" fillId="0" borderId="0" xfId="0" applyNumberFormat="1" applyAlignment="1" applyProtection="1">
      <alignment horizontal="left"/>
      <protection locked="0"/>
    </xf>
    <xf numFmtId="6" fontId="0" fillId="0" borderId="0" xfId="0" applyNumberFormat="1" applyAlignment="1" applyProtection="1">
      <alignment horizontal="center"/>
      <protection locked="0"/>
    </xf>
    <xf numFmtId="0" fontId="10" fillId="2" borderId="6" xfId="2" applyFill="1" applyBorder="1" applyAlignment="1" applyProtection="1">
      <alignment horizontal="right"/>
    </xf>
    <xf numFmtId="0" fontId="3" fillId="2" borderId="5" xfId="0" applyFont="1" applyFill="1" applyBorder="1" applyAlignment="1" applyProtection="1">
      <alignment horizontal="center"/>
      <protection locked="0"/>
    </xf>
    <xf numFmtId="0" fontId="15" fillId="0" borderId="0" xfId="0" applyFont="1" applyProtection="1">
      <protection locked="0"/>
    </xf>
    <xf numFmtId="0" fontId="2" fillId="2" borderId="4" xfId="0" applyFont="1" applyFill="1" applyBorder="1" applyAlignment="1">
      <alignment horizontal="center"/>
    </xf>
    <xf numFmtId="0" fontId="0" fillId="2" borderId="5" xfId="0" applyFill="1" applyBorder="1"/>
    <xf numFmtId="0" fontId="0" fillId="2" borderId="7" xfId="0" applyFill="1" applyBorder="1"/>
    <xf numFmtId="0" fontId="0" fillId="2" borderId="0" xfId="0" applyFill="1"/>
    <xf numFmtId="0" fontId="0" fillId="2" borderId="8" xfId="0" applyFill="1" applyBorder="1"/>
    <xf numFmtId="0" fontId="5" fillId="2" borderId="7" xfId="0" applyFont="1" applyFill="1" applyBorder="1" applyAlignment="1">
      <alignment horizontal="center"/>
    </xf>
    <xf numFmtId="0" fontId="6" fillId="2" borderId="7" xfId="0" applyFont="1" applyFill="1" applyBorder="1" applyAlignment="1">
      <alignment horizontal="center"/>
    </xf>
    <xf numFmtId="0" fontId="2" fillId="2" borderId="12" xfId="0" applyFont="1" applyFill="1" applyBorder="1" applyAlignment="1">
      <alignment horizontal="center" wrapText="1"/>
    </xf>
    <xf numFmtId="0" fontId="2" fillId="2" borderId="14" xfId="0" applyFont="1" applyFill="1" applyBorder="1" applyAlignment="1">
      <alignment horizontal="center" wrapText="1"/>
    </xf>
    <xf numFmtId="0" fontId="2" fillId="2" borderId="13" xfId="0" applyFont="1" applyFill="1" applyBorder="1" applyAlignment="1">
      <alignment horizontal="center" wrapText="1"/>
    </xf>
    <xf numFmtId="0" fontId="0" fillId="2" borderId="30" xfId="0" applyFill="1" applyBorder="1" applyAlignment="1">
      <alignment horizontal="center"/>
    </xf>
    <xf numFmtId="0" fontId="0" fillId="2" borderId="0" xfId="0" applyFill="1" applyAlignment="1">
      <alignment horizontal="center"/>
    </xf>
    <xf numFmtId="3" fontId="0" fillId="2" borderId="0" xfId="0" applyNumberFormat="1" applyFill="1" applyAlignment="1">
      <alignment horizontal="center"/>
    </xf>
    <xf numFmtId="3" fontId="0" fillId="2" borderId="15" xfId="0" applyNumberFormat="1" applyFill="1" applyBorder="1" applyAlignment="1">
      <alignment horizontal="center"/>
    </xf>
    <xf numFmtId="0" fontId="0" fillId="2" borderId="21" xfId="0" applyFill="1" applyBorder="1" applyAlignment="1">
      <alignment horizontal="center"/>
    </xf>
    <xf numFmtId="0" fontId="0" fillId="2" borderId="1" xfId="0" applyFill="1" applyBorder="1" applyAlignment="1">
      <alignment horizontal="center"/>
    </xf>
    <xf numFmtId="3" fontId="0" fillId="2" borderId="1" xfId="0" applyNumberFormat="1" applyFill="1" applyBorder="1" applyAlignment="1">
      <alignment horizontal="center"/>
    </xf>
    <xf numFmtId="3" fontId="0" fillId="2" borderId="22" xfId="0" applyNumberFormat="1" applyFill="1" applyBorder="1" applyAlignment="1">
      <alignment horizontal="center"/>
    </xf>
    <xf numFmtId="0" fontId="0" fillId="2" borderId="7" xfId="0" applyFill="1" applyBorder="1" applyAlignment="1">
      <alignment horizontal="center"/>
    </xf>
    <xf numFmtId="0" fontId="0" fillId="2" borderId="10" xfId="0" applyFill="1" applyBorder="1" applyAlignment="1">
      <alignment horizontal="left"/>
    </xf>
    <xf numFmtId="0" fontId="0" fillId="2" borderId="10" xfId="0" applyFill="1" applyBorder="1"/>
    <xf numFmtId="0" fontId="0" fillId="2" borderId="11" xfId="0" applyFill="1" applyBorder="1"/>
    <xf numFmtId="0" fontId="0" fillId="2" borderId="14" xfId="0" applyFill="1" applyBorder="1"/>
    <xf numFmtId="0" fontId="8" fillId="2" borderId="14" xfId="0" applyFont="1" applyFill="1" applyBorder="1" applyAlignment="1">
      <alignment horizontal="center"/>
    </xf>
    <xf numFmtId="0" fontId="0" fillId="2" borderId="1" xfId="0" applyFill="1" applyBorder="1"/>
    <xf numFmtId="165" fontId="0" fillId="2" borderId="0" xfId="0" applyNumberFormat="1" applyFill="1"/>
    <xf numFmtId="0" fontId="0" fillId="2" borderId="9" xfId="0" applyFill="1" applyBorder="1"/>
    <xf numFmtId="0" fontId="2" fillId="2" borderId="0" xfId="0" applyFont="1" applyFill="1" applyAlignment="1">
      <alignment horizontal="centerContinuous"/>
    </xf>
    <xf numFmtId="0" fontId="2" fillId="2" borderId="12" xfId="0" applyFont="1" applyFill="1" applyBorder="1" applyAlignment="1">
      <alignment horizontal="center"/>
    </xf>
    <xf numFmtId="0" fontId="2" fillId="2" borderId="2" xfId="0" applyFont="1" applyFill="1" applyBorder="1" applyAlignment="1">
      <alignment horizontal="center" wrapText="1"/>
    </xf>
    <xf numFmtId="0" fontId="2" fillId="2" borderId="13" xfId="0" applyFont="1" applyFill="1" applyBorder="1" applyAlignment="1">
      <alignment horizontal="center"/>
    </xf>
    <xf numFmtId="0" fontId="0" fillId="2" borderId="19" xfId="0" applyFill="1" applyBorder="1" applyAlignment="1">
      <alignment horizontal="center"/>
    </xf>
    <xf numFmtId="0" fontId="0" fillId="2" borderId="16" xfId="0" applyFill="1" applyBorder="1" applyAlignment="1">
      <alignment horizontal="center"/>
    </xf>
    <xf numFmtId="9" fontId="0" fillId="2" borderId="20" xfId="0" applyNumberFormat="1" applyFill="1" applyBorder="1" applyAlignment="1">
      <alignment horizontal="center"/>
    </xf>
    <xf numFmtId="0" fontId="0" fillId="2" borderId="17" xfId="0" applyFill="1" applyBorder="1" applyAlignment="1">
      <alignment horizontal="center"/>
    </xf>
    <xf numFmtId="9" fontId="0" fillId="2" borderId="15" xfId="0" applyNumberFormat="1" applyFill="1" applyBorder="1" applyAlignment="1">
      <alignment horizontal="center"/>
    </xf>
    <xf numFmtId="0" fontId="0" fillId="2" borderId="18" xfId="0" applyFill="1" applyBorder="1" applyAlignment="1">
      <alignment horizontal="center"/>
    </xf>
    <xf numFmtId="9" fontId="0" fillId="2" borderId="22" xfId="0" applyNumberFormat="1" applyFill="1" applyBorder="1" applyAlignment="1">
      <alignment horizontal="center"/>
    </xf>
    <xf numFmtId="9" fontId="0" fillId="2" borderId="0" xfId="0" applyNumberFormat="1" applyFill="1" applyAlignment="1">
      <alignment horizontal="center"/>
    </xf>
    <xf numFmtId="0" fontId="7" fillId="2" borderId="0" xfId="0" applyFont="1" applyFill="1" applyAlignment="1">
      <alignment horizontal="centerContinuous"/>
    </xf>
    <xf numFmtId="0" fontId="0" fillId="2" borderId="0" xfId="0" applyFill="1" applyAlignment="1">
      <alignment horizontal="left"/>
    </xf>
    <xf numFmtId="0" fontId="0" fillId="2" borderId="0" xfId="0" applyFill="1" applyAlignment="1">
      <alignment horizontal="right"/>
    </xf>
    <xf numFmtId="0" fontId="0" fillId="2" borderId="19" xfId="0" applyFill="1" applyBorder="1" applyAlignment="1">
      <alignment horizontal="center" wrapText="1"/>
    </xf>
    <xf numFmtId="0" fontId="0" fillId="2" borderId="16" xfId="0" applyFill="1" applyBorder="1" applyAlignment="1">
      <alignment horizontal="center" wrapText="1"/>
    </xf>
    <xf numFmtId="0" fontId="0" fillId="2" borderId="20" xfId="0" applyFill="1" applyBorder="1" applyAlignment="1">
      <alignment horizontal="center" wrapText="1"/>
    </xf>
    <xf numFmtId="0" fontId="0" fillId="2" borderId="30" xfId="0" applyFill="1" applyBorder="1" applyAlignment="1">
      <alignment horizontal="center" wrapText="1"/>
    </xf>
    <xf numFmtId="0" fontId="0" fillId="2" borderId="17" xfId="0" applyFill="1" applyBorder="1" applyAlignment="1">
      <alignment horizontal="center" wrapText="1"/>
    </xf>
    <xf numFmtId="0" fontId="0" fillId="2" borderId="15" xfId="0" applyFill="1" applyBorder="1" applyAlignment="1">
      <alignment horizontal="center" wrapText="1"/>
    </xf>
    <xf numFmtId="0" fontId="0" fillId="2" borderId="21" xfId="0" applyFill="1" applyBorder="1" applyAlignment="1">
      <alignment horizontal="center" wrapText="1"/>
    </xf>
    <xf numFmtId="0" fontId="0" fillId="2" borderId="18" xfId="0" applyFill="1" applyBorder="1" applyAlignment="1">
      <alignment horizontal="center" wrapText="1"/>
    </xf>
    <xf numFmtId="0" fontId="0" fillId="2" borderId="22" xfId="0" applyFill="1" applyBorder="1" applyAlignment="1">
      <alignment horizontal="center" wrapText="1"/>
    </xf>
    <xf numFmtId="3" fontId="0" fillId="2" borderId="17" xfId="0" applyNumberFormat="1" applyFill="1" applyBorder="1" applyAlignment="1">
      <alignment horizontal="center"/>
    </xf>
    <xf numFmtId="165" fontId="0" fillId="2" borderId="17" xfId="0" applyNumberFormat="1" applyFill="1" applyBorder="1" applyAlignment="1">
      <alignment horizontal="center"/>
    </xf>
    <xf numFmtId="3" fontId="0" fillId="2" borderId="18" xfId="0" applyNumberFormat="1" applyFill="1" applyBorder="1" applyAlignment="1">
      <alignment horizontal="center"/>
    </xf>
    <xf numFmtId="0" fontId="0" fillId="2" borderId="16" xfId="0" applyFill="1" applyBorder="1"/>
    <xf numFmtId="0" fontId="0" fillId="2" borderId="19" xfId="0" applyFill="1" applyBorder="1" applyAlignment="1">
      <alignment horizontal="centerContinuous"/>
    </xf>
    <xf numFmtId="0" fontId="0" fillId="2" borderId="20" xfId="0" applyFill="1" applyBorder="1" applyAlignment="1">
      <alignment horizontal="centerContinuous"/>
    </xf>
    <xf numFmtId="0" fontId="0" fillId="2" borderId="2" xfId="0" applyFill="1" applyBorder="1" applyAlignment="1">
      <alignment horizontal="center"/>
    </xf>
    <xf numFmtId="2" fontId="0" fillId="2" borderId="17" xfId="0" applyNumberFormat="1" applyFill="1" applyBorder="1" applyAlignment="1">
      <alignment horizontal="center"/>
    </xf>
    <xf numFmtId="3" fontId="0" fillId="2" borderId="30" xfId="0" applyNumberFormat="1" applyFill="1" applyBorder="1" applyAlignment="1">
      <alignment horizontal="center"/>
    </xf>
    <xf numFmtId="164" fontId="0" fillId="2" borderId="17" xfId="0" applyNumberFormat="1" applyFill="1" applyBorder="1" applyAlignment="1">
      <alignment horizontal="center"/>
    </xf>
    <xf numFmtId="6" fontId="0" fillId="2" borderId="15" xfId="0" applyNumberFormat="1" applyFill="1" applyBorder="1" applyAlignment="1">
      <alignment horizontal="center"/>
    </xf>
    <xf numFmtId="3" fontId="0" fillId="2" borderId="21" xfId="0" applyNumberFormat="1" applyFill="1" applyBorder="1" applyAlignment="1">
      <alignment horizontal="center"/>
    </xf>
    <xf numFmtId="164" fontId="0" fillId="2" borderId="18" xfId="0" applyNumberFormat="1" applyFill="1" applyBorder="1" applyAlignment="1">
      <alignment horizontal="center"/>
    </xf>
    <xf numFmtId="6" fontId="0" fillId="2" borderId="22" xfId="0" applyNumberFormat="1" applyFill="1" applyBorder="1" applyAlignment="1">
      <alignment horizontal="center"/>
    </xf>
    <xf numFmtId="6" fontId="0" fillId="2" borderId="0" xfId="0" applyNumberFormat="1" applyFill="1"/>
    <xf numFmtId="0" fontId="2" fillId="2" borderId="2" xfId="0" applyFont="1" applyFill="1" applyBorder="1" applyAlignment="1">
      <alignment horizontal="center"/>
    </xf>
    <xf numFmtId="0" fontId="2" fillId="2" borderId="0" xfId="0" applyFont="1" applyFill="1" applyAlignment="1">
      <alignment horizontal="center"/>
    </xf>
    <xf numFmtId="6" fontId="0" fillId="2" borderId="17" xfId="0" applyNumberFormat="1" applyFill="1" applyBorder="1" applyAlignment="1">
      <alignment horizontal="center"/>
    </xf>
    <xf numFmtId="6" fontId="0" fillId="2" borderId="0" xfId="0" applyNumberFormat="1" applyFill="1" applyAlignment="1">
      <alignment horizontal="center"/>
    </xf>
    <xf numFmtId="6" fontId="0" fillId="2" borderId="18" xfId="0" applyNumberFormat="1" applyFill="1" applyBorder="1" applyAlignment="1">
      <alignment horizontal="center"/>
    </xf>
    <xf numFmtId="0" fontId="0" fillId="2" borderId="19" xfId="0" applyFill="1" applyBorder="1"/>
    <xf numFmtId="0" fontId="0" fillId="2" borderId="31" xfId="0" applyFill="1" applyBorder="1" applyAlignment="1">
      <alignment horizontal="centerContinuous"/>
    </xf>
    <xf numFmtId="2" fontId="0" fillId="2" borderId="16" xfId="0" applyNumberFormat="1" applyFill="1" applyBorder="1" applyAlignment="1">
      <alignment horizontal="center"/>
    </xf>
    <xf numFmtId="2" fontId="0" fillId="2" borderId="18" xfId="0" applyNumberFormat="1" applyFill="1" applyBorder="1" applyAlignment="1">
      <alignment horizontal="center"/>
    </xf>
    <xf numFmtId="0" fontId="2" fillId="2" borderId="0" xfId="0" applyFont="1" applyFill="1"/>
    <xf numFmtId="0" fontId="0" fillId="2" borderId="12" xfId="0" applyFill="1" applyBorder="1" applyAlignment="1">
      <alignment horizontal="centerContinuous"/>
    </xf>
    <xf numFmtId="0" fontId="0" fillId="2" borderId="13" xfId="0" applyFill="1" applyBorder="1" applyAlignment="1">
      <alignment horizontal="centerContinuous"/>
    </xf>
    <xf numFmtId="0" fontId="2" fillId="2" borderId="0" xfId="0" applyFont="1" applyFill="1" applyAlignment="1">
      <alignment horizontal="left"/>
    </xf>
    <xf numFmtId="0" fontId="0" fillId="2" borderId="12" xfId="0" applyFill="1" applyBorder="1" applyAlignment="1">
      <alignment horizontal="center"/>
    </xf>
    <xf numFmtId="0" fontId="2" fillId="2" borderId="10" xfId="0" applyFont="1" applyFill="1" applyBorder="1"/>
    <xf numFmtId="9" fontId="0" fillId="2" borderId="16" xfId="0" applyNumberFormat="1" applyFill="1" applyBorder="1" applyAlignment="1">
      <alignment horizontal="center"/>
    </xf>
    <xf numFmtId="9" fontId="0" fillId="2" borderId="17" xfId="0" applyNumberFormat="1" applyFill="1" applyBorder="1" applyAlignment="1">
      <alignment horizontal="center"/>
    </xf>
    <xf numFmtId="9" fontId="0" fillId="2" borderId="18" xfId="0" applyNumberFormat="1" applyFill="1" applyBorder="1" applyAlignment="1">
      <alignment horizontal="center"/>
    </xf>
    <xf numFmtId="0" fontId="0" fillId="2" borderId="31" xfId="0" applyFill="1" applyBorder="1"/>
    <xf numFmtId="0" fontId="0" fillId="2" borderId="20" xfId="0" applyFill="1" applyBorder="1"/>
    <xf numFmtId="0" fontId="0" fillId="2" borderId="15" xfId="0" applyFill="1" applyBorder="1"/>
    <xf numFmtId="0" fontId="0" fillId="2" borderId="22" xfId="0" applyFill="1" applyBorder="1"/>
    <xf numFmtId="0" fontId="2" fillId="2" borderId="14" xfId="0" applyFont="1" applyFill="1" applyBorder="1" applyAlignment="1">
      <alignment horizontal="centerContinuous"/>
    </xf>
    <xf numFmtId="0" fontId="2" fillId="2" borderId="13" xfId="0" applyFont="1" applyFill="1" applyBorder="1" applyAlignment="1">
      <alignment horizontal="centerContinuous"/>
    </xf>
    <xf numFmtId="0" fontId="15" fillId="0" borderId="0" xfId="0" applyFont="1" applyAlignment="1" applyProtection="1">
      <alignment horizontal="center"/>
      <protection locked="0"/>
    </xf>
    <xf numFmtId="0" fontId="15" fillId="0" borderId="0" xfId="0" applyFont="1"/>
    <xf numFmtId="0" fontId="0" fillId="5" borderId="19" xfId="0" applyFill="1" applyBorder="1"/>
    <xf numFmtId="0" fontId="0" fillId="5" borderId="31" xfId="0" applyFill="1" applyBorder="1"/>
    <xf numFmtId="0" fontId="0" fillId="5" borderId="20" xfId="0" applyFill="1" applyBorder="1"/>
    <xf numFmtId="0" fontId="0" fillId="5" borderId="30" xfId="0" applyFill="1" applyBorder="1"/>
    <xf numFmtId="0" fontId="0" fillId="5" borderId="0" xfId="0" applyFill="1"/>
    <xf numFmtId="0" fontId="0" fillId="5" borderId="15" xfId="0" applyFill="1" applyBorder="1"/>
    <xf numFmtId="0" fontId="0" fillId="5" borderId="21" xfId="0" applyFill="1" applyBorder="1"/>
    <xf numFmtId="0" fontId="0" fillId="5" borderId="1" xfId="0" applyFill="1" applyBorder="1"/>
    <xf numFmtId="0" fontId="0" fillId="5" borderId="22" xfId="0" applyFill="1" applyBorder="1"/>
    <xf numFmtId="0" fontId="0" fillId="2" borderId="7" xfId="0" applyFill="1" applyBorder="1" applyProtection="1">
      <protection locked="0"/>
    </xf>
    <xf numFmtId="0" fontId="0" fillId="2" borderId="0" xfId="0" applyFill="1" applyProtection="1">
      <protection locked="0"/>
    </xf>
    <xf numFmtId="0" fontId="0" fillId="2" borderId="0" xfId="0" applyFill="1" applyAlignment="1">
      <alignment horizontal="left" indent="1"/>
    </xf>
    <xf numFmtId="0" fontId="0" fillId="2" borderId="9" xfId="0" applyFill="1" applyBorder="1" applyProtection="1">
      <protection locked="0"/>
    </xf>
    <xf numFmtId="0" fontId="0" fillId="2" borderId="13" xfId="0" applyFill="1" applyBorder="1"/>
    <xf numFmtId="3" fontId="0" fillId="2" borderId="2" xfId="0" applyNumberFormat="1" applyFill="1" applyBorder="1" applyAlignment="1">
      <alignment horizontal="center"/>
    </xf>
    <xf numFmtId="164" fontId="0" fillId="0" borderId="15" xfId="1" applyNumberFormat="1" applyFont="1" applyBorder="1" applyAlignment="1" applyProtection="1">
      <alignment horizontal="center"/>
      <protection locked="0"/>
    </xf>
    <xf numFmtId="0" fontId="0" fillId="0" borderId="1" xfId="0" applyBorder="1" applyAlignment="1" applyProtection="1">
      <alignment horizontal="center"/>
      <protection locked="0"/>
    </xf>
    <xf numFmtId="3" fontId="0" fillId="0" borderId="1" xfId="0" applyNumberFormat="1" applyBorder="1" applyAlignment="1" applyProtection="1">
      <alignment horizontal="center"/>
      <protection locked="0"/>
    </xf>
    <xf numFmtId="164" fontId="0" fillId="0" borderId="22" xfId="1" applyNumberFormat="1" applyFont="1" applyBorder="1" applyAlignment="1" applyProtection="1">
      <alignment horizontal="center"/>
      <protection locked="0"/>
    </xf>
    <xf numFmtId="0" fontId="0" fillId="0" borderId="14" xfId="0" applyBorder="1" applyAlignment="1" applyProtection="1">
      <alignment horizontal="center"/>
      <protection locked="0"/>
    </xf>
    <xf numFmtId="3" fontId="0" fillId="0" borderId="17" xfId="0" applyNumberFormat="1" applyBorder="1" applyAlignment="1" applyProtection="1">
      <alignment horizontal="center"/>
      <protection locked="0"/>
    </xf>
    <xf numFmtId="3" fontId="0" fillId="0" borderId="18" xfId="0" applyNumberFormat="1" applyBorder="1" applyAlignment="1" applyProtection="1">
      <alignment horizontal="center"/>
      <protection locked="0"/>
    </xf>
    <xf numFmtId="164" fontId="0" fillId="0" borderId="17" xfId="1" applyNumberFormat="1" applyFont="1" applyBorder="1" applyAlignment="1" applyProtection="1">
      <alignment horizontal="center"/>
      <protection locked="0"/>
    </xf>
    <xf numFmtId="164" fontId="0" fillId="0" borderId="18" xfId="1" applyNumberFormat="1" applyFont="1" applyBorder="1" applyAlignment="1" applyProtection="1">
      <alignment horizontal="center"/>
      <protection locked="0"/>
    </xf>
    <xf numFmtId="167" fontId="0" fillId="0" borderId="17" xfId="0" applyNumberFormat="1" applyBorder="1" applyAlignment="1" applyProtection="1">
      <alignment horizontal="center"/>
      <protection locked="0"/>
    </xf>
    <xf numFmtId="167" fontId="0" fillId="0" borderId="18" xfId="0" applyNumberFormat="1" applyBorder="1" applyAlignment="1" applyProtection="1">
      <alignment horizontal="center"/>
      <protection locked="0"/>
    </xf>
    <xf numFmtId="6" fontId="0" fillId="2" borderId="2" xfId="0" applyNumberFormat="1" applyFill="1" applyBorder="1" applyAlignment="1">
      <alignment horizontal="center"/>
    </xf>
    <xf numFmtId="164" fontId="0" fillId="2" borderId="16" xfId="0" applyNumberFormat="1" applyFill="1" applyBorder="1" applyAlignment="1">
      <alignment horizontal="center"/>
    </xf>
    <xf numFmtId="0" fontId="0" fillId="2" borderId="8" xfId="0" applyFill="1" applyBorder="1" applyProtection="1">
      <protection locked="0"/>
    </xf>
    <xf numFmtId="6" fontId="0" fillId="0" borderId="1" xfId="0" applyNumberFormat="1" applyBorder="1" applyAlignment="1" applyProtection="1">
      <alignment horizontal="center"/>
      <protection locked="0"/>
    </xf>
    <xf numFmtId="2" fontId="0" fillId="0" borderId="1" xfId="0" applyNumberFormat="1" applyBorder="1" applyAlignment="1" applyProtection="1">
      <alignment horizontal="center"/>
      <protection locked="0"/>
    </xf>
    <xf numFmtId="2" fontId="0" fillId="0" borderId="17" xfId="0" applyNumberFormat="1" applyBorder="1" applyAlignment="1" applyProtection="1">
      <alignment horizontal="center"/>
      <protection locked="0"/>
    </xf>
    <xf numFmtId="2" fontId="0" fillId="0" borderId="18" xfId="0" applyNumberFormat="1" applyBorder="1" applyAlignment="1" applyProtection="1">
      <alignment horizontal="center"/>
      <protection locked="0"/>
    </xf>
    <xf numFmtId="3" fontId="2" fillId="0" borderId="0" xfId="0" applyNumberFormat="1" applyFont="1" applyAlignment="1" applyProtection="1">
      <alignment horizontal="center"/>
      <protection locked="0"/>
    </xf>
    <xf numFmtId="3" fontId="0" fillId="0" borderId="22" xfId="0" applyNumberFormat="1" applyBorder="1" applyAlignment="1" applyProtection="1">
      <alignment horizontal="center"/>
      <protection locked="0"/>
    </xf>
    <xf numFmtId="6" fontId="0" fillId="0" borderId="15" xfId="0" applyNumberFormat="1" applyBorder="1" applyAlignment="1" applyProtection="1">
      <alignment horizontal="center"/>
      <protection locked="0"/>
    </xf>
    <xf numFmtId="6" fontId="0" fillId="0" borderId="22" xfId="0" applyNumberFormat="1" applyBorder="1" applyAlignment="1" applyProtection="1">
      <alignment horizontal="center"/>
      <protection locked="0"/>
    </xf>
    <xf numFmtId="6" fontId="0" fillId="0" borderId="17" xfId="0" applyNumberFormat="1" applyBorder="1" applyAlignment="1" applyProtection="1">
      <alignment horizontal="center"/>
      <protection locked="0"/>
    </xf>
    <xf numFmtId="6" fontId="0" fillId="0" borderId="18" xfId="0" applyNumberFormat="1" applyBorder="1" applyAlignment="1" applyProtection="1">
      <alignment horizontal="center"/>
      <protection locked="0"/>
    </xf>
    <xf numFmtId="2" fontId="0" fillId="4" borderId="0" xfId="0" applyNumberFormat="1" applyFill="1" applyAlignment="1" applyProtection="1">
      <alignment horizontal="left"/>
      <protection locked="0"/>
    </xf>
    <xf numFmtId="8" fontId="0" fillId="4" borderId="0" xfId="0" applyNumberFormat="1" applyFill="1" applyAlignment="1" applyProtection="1">
      <alignment horizontal="left"/>
      <protection locked="0"/>
    </xf>
    <xf numFmtId="169" fontId="0" fillId="4" borderId="0" xfId="0" applyNumberFormat="1" applyFill="1" applyAlignment="1" applyProtection="1">
      <alignment horizontal="left"/>
      <protection locked="0"/>
    </xf>
    <xf numFmtId="0" fontId="0" fillId="2" borderId="5" xfId="0" applyFill="1" applyBorder="1" applyAlignment="1">
      <alignment horizontal="right"/>
    </xf>
    <xf numFmtId="0" fontId="10" fillId="0" borderId="0" xfId="2" applyBorder="1" applyAlignment="1">
      <alignment horizontal="center"/>
    </xf>
    <xf numFmtId="3" fontId="0" fillId="0" borderId="30" xfId="0" applyNumberFormat="1" applyBorder="1" applyAlignment="1" applyProtection="1">
      <alignment horizontal="center"/>
      <protection locked="0"/>
    </xf>
    <xf numFmtId="170" fontId="0" fillId="0" borderId="0" xfId="0" applyNumberFormat="1" applyAlignment="1" applyProtection="1">
      <alignment horizontal="center"/>
      <protection locked="0"/>
    </xf>
    <xf numFmtId="3" fontId="0" fillId="0" borderId="21" xfId="0" applyNumberFormat="1" applyBorder="1" applyAlignment="1" applyProtection="1">
      <alignment horizontal="center"/>
      <protection locked="0"/>
    </xf>
    <xf numFmtId="170" fontId="0" fillId="0" borderId="1" xfId="0" applyNumberFormat="1" applyBorder="1" applyAlignment="1" applyProtection="1">
      <alignment horizontal="center"/>
      <protection locked="0"/>
    </xf>
    <xf numFmtId="0" fontId="2" fillId="0" borderId="12" xfId="0" applyFont="1" applyBorder="1" applyAlignment="1" applyProtection="1">
      <alignment horizontal="center"/>
      <protection locked="0"/>
    </xf>
    <xf numFmtId="9" fontId="0" fillId="0" borderId="17" xfId="0" applyNumberFormat="1" applyBorder="1" applyAlignment="1" applyProtection="1">
      <alignment horizontal="center"/>
      <protection locked="0"/>
    </xf>
    <xf numFmtId="9" fontId="0" fillId="0" borderId="18" xfId="0" applyNumberFormat="1" applyBorder="1" applyAlignment="1" applyProtection="1">
      <alignment horizontal="center"/>
      <protection locked="0"/>
    </xf>
    <xf numFmtId="171" fontId="0" fillId="0" borderId="18" xfId="0" applyNumberFormat="1" applyBorder="1" applyAlignment="1" applyProtection="1">
      <alignment horizontal="center"/>
      <protection locked="0"/>
    </xf>
    <xf numFmtId="0" fontId="0" fillId="4" borderId="0" xfId="0" applyFill="1" applyAlignment="1" applyProtection="1">
      <alignment horizontal="left"/>
      <protection locked="0"/>
    </xf>
    <xf numFmtId="171" fontId="0" fillId="4" borderId="0" xfId="0" applyNumberFormat="1" applyFill="1" applyAlignment="1" applyProtection="1">
      <alignment horizontal="left"/>
      <protection locked="0"/>
    </xf>
    <xf numFmtId="8" fontId="0" fillId="4" borderId="0" xfId="0" applyNumberFormat="1" applyFill="1" applyProtection="1">
      <protection locked="0"/>
    </xf>
    <xf numFmtId="0" fontId="0" fillId="4" borderId="16" xfId="0" applyFill="1" applyBorder="1" applyAlignment="1" applyProtection="1">
      <alignment horizontal="center"/>
      <protection locked="0"/>
    </xf>
    <xf numFmtId="0" fontId="0" fillId="4" borderId="31" xfId="0" applyFill="1" applyBorder="1" applyAlignment="1" applyProtection="1">
      <alignment horizontal="center"/>
      <protection locked="0"/>
    </xf>
    <xf numFmtId="164" fontId="0" fillId="4" borderId="31" xfId="1" applyNumberFormat="1" applyFont="1" applyFill="1" applyBorder="1" applyAlignment="1" applyProtection="1">
      <alignment horizontal="center"/>
      <protection locked="0"/>
    </xf>
    <xf numFmtId="0" fontId="0" fillId="4" borderId="20" xfId="0" applyFill="1" applyBorder="1" applyAlignment="1" applyProtection="1">
      <alignment horizontal="center"/>
      <protection locked="0"/>
    </xf>
    <xf numFmtId="0" fontId="0" fillId="4" borderId="17" xfId="0" applyFill="1" applyBorder="1" applyAlignment="1" applyProtection="1">
      <alignment horizontal="center"/>
      <protection locked="0"/>
    </xf>
    <xf numFmtId="0" fontId="0" fillId="4" borderId="0" xfId="0" applyFill="1" applyAlignment="1" applyProtection="1">
      <alignment horizontal="center"/>
      <protection locked="0"/>
    </xf>
    <xf numFmtId="164" fontId="0" fillId="4" borderId="0" xfId="1" applyNumberFormat="1" applyFont="1" applyFill="1" applyBorder="1" applyAlignment="1" applyProtection="1">
      <alignment horizontal="center"/>
      <protection locked="0"/>
    </xf>
    <xf numFmtId="0" fontId="0" fillId="4" borderId="15" xfId="0" applyFill="1" applyBorder="1" applyAlignment="1" applyProtection="1">
      <alignment horizontal="center"/>
      <protection locked="0"/>
    </xf>
    <xf numFmtId="0" fontId="0" fillId="4" borderId="18" xfId="0" applyFill="1" applyBorder="1" applyAlignment="1" applyProtection="1">
      <alignment horizontal="center"/>
      <protection locked="0"/>
    </xf>
    <xf numFmtId="0" fontId="0" fillId="4" borderId="1" xfId="0" applyFill="1" applyBorder="1" applyAlignment="1" applyProtection="1">
      <alignment horizontal="center"/>
      <protection locked="0"/>
    </xf>
    <xf numFmtId="164" fontId="0" fillId="4" borderId="1" xfId="1" applyNumberFormat="1" applyFont="1" applyFill="1" applyBorder="1" applyAlignment="1" applyProtection="1">
      <alignment horizontal="center"/>
      <protection locked="0"/>
    </xf>
    <xf numFmtId="0" fontId="0" fillId="4" borderId="22" xfId="0" applyFill="1" applyBorder="1" applyAlignment="1" applyProtection="1">
      <alignment horizontal="center"/>
      <protection locked="0"/>
    </xf>
    <xf numFmtId="2" fontId="0" fillId="0" borderId="15" xfId="0" applyNumberFormat="1" applyBorder="1" applyAlignment="1" applyProtection="1">
      <alignment horizontal="center"/>
      <protection locked="0"/>
    </xf>
    <xf numFmtId="2" fontId="0" fillId="0" borderId="22" xfId="0" applyNumberFormat="1" applyBorder="1" applyAlignment="1" applyProtection="1">
      <alignment horizontal="center"/>
      <protection locked="0"/>
    </xf>
    <xf numFmtId="6" fontId="0" fillId="4" borderId="0" xfId="0" applyNumberFormat="1" applyFill="1" applyProtection="1">
      <protection locked="0"/>
    </xf>
    <xf numFmtId="6" fontId="0" fillId="4" borderId="0" xfId="0" applyNumberFormat="1" applyFill="1" applyAlignment="1" applyProtection="1">
      <alignment horizontal="left"/>
      <protection locked="0"/>
    </xf>
    <xf numFmtId="3" fontId="0" fillId="0" borderId="0" xfId="0" applyNumberFormat="1" applyProtection="1">
      <protection locked="0"/>
    </xf>
    <xf numFmtId="0" fontId="2" fillId="2" borderId="4" xfId="0" applyFont="1" applyFill="1" applyBorder="1" applyAlignment="1" applyProtection="1">
      <alignment horizontal="center"/>
      <protection locked="0"/>
    </xf>
    <xf numFmtId="0" fontId="0" fillId="2" borderId="5" xfId="0" applyFill="1" applyBorder="1" applyProtection="1">
      <protection locked="0"/>
    </xf>
    <xf numFmtId="0" fontId="5" fillId="2" borderId="7" xfId="0" applyFont="1" applyFill="1" applyBorder="1" applyAlignment="1" applyProtection="1">
      <alignment horizontal="center"/>
      <protection locked="0"/>
    </xf>
    <xf numFmtId="0" fontId="6" fillId="2" borderId="7" xfId="0" applyFont="1" applyFill="1" applyBorder="1" applyAlignment="1" applyProtection="1">
      <alignment horizontal="center"/>
      <protection locked="0"/>
    </xf>
    <xf numFmtId="6" fontId="0" fillId="0" borderId="16" xfId="0" applyNumberFormat="1" applyBorder="1" applyAlignment="1" applyProtection="1">
      <alignment horizontal="center"/>
      <protection locked="0"/>
    </xf>
    <xf numFmtId="165" fontId="0" fillId="4" borderId="0" xfId="0" applyNumberFormat="1" applyFill="1" applyAlignment="1" applyProtection="1">
      <alignment horizontal="center"/>
      <protection locked="0"/>
    </xf>
    <xf numFmtId="6" fontId="0" fillId="0" borderId="20" xfId="0" applyNumberFormat="1" applyBorder="1" applyAlignment="1" applyProtection="1">
      <alignment horizontal="center"/>
      <protection locked="0"/>
    </xf>
    <xf numFmtId="0" fontId="9" fillId="2" borderId="0" xfId="0" applyFont="1" applyFill="1" applyProtection="1">
      <protection locked="0"/>
    </xf>
    <xf numFmtId="6" fontId="0" fillId="2" borderId="16" xfId="0" applyNumberFormat="1" applyFill="1" applyBorder="1" applyAlignment="1" applyProtection="1">
      <alignment horizontal="center"/>
      <protection locked="0"/>
    </xf>
    <xf numFmtId="0" fontId="0" fillId="2" borderId="19" xfId="0" applyFill="1" applyBorder="1" applyProtection="1">
      <protection locked="0"/>
    </xf>
    <xf numFmtId="0" fontId="0" fillId="2" borderId="31" xfId="0" applyFill="1" applyBorder="1" applyProtection="1">
      <protection locked="0"/>
    </xf>
    <xf numFmtId="0" fontId="0" fillId="2" borderId="20" xfId="0" applyFill="1" applyBorder="1" applyProtection="1">
      <protection locked="0"/>
    </xf>
    <xf numFmtId="0" fontId="0" fillId="2" borderId="17" xfId="0" applyFill="1" applyBorder="1" applyAlignment="1" applyProtection="1">
      <alignment horizontal="center"/>
      <protection locked="0"/>
    </xf>
    <xf numFmtId="0" fontId="0" fillId="2" borderId="30" xfId="0" applyFill="1" applyBorder="1" applyProtection="1">
      <protection locked="0"/>
    </xf>
    <xf numFmtId="0" fontId="0" fillId="2" borderId="15" xfId="0" applyFill="1" applyBorder="1" applyProtection="1">
      <protection locked="0"/>
    </xf>
    <xf numFmtId="172" fontId="0" fillId="2" borderId="17" xfId="0" applyNumberFormat="1" applyFill="1" applyBorder="1" applyAlignment="1" applyProtection="1">
      <alignment horizontal="center"/>
      <protection locked="0"/>
    </xf>
    <xf numFmtId="6" fontId="0" fillId="2" borderId="17" xfId="0" applyNumberFormat="1" applyFill="1" applyBorder="1" applyAlignment="1" applyProtection="1">
      <alignment horizontal="center"/>
      <protection locked="0"/>
    </xf>
    <xf numFmtId="2" fontId="0" fillId="2" borderId="18" xfId="0" applyNumberFormat="1" applyFill="1" applyBorder="1" applyAlignment="1" applyProtection="1">
      <alignment horizontal="center"/>
      <protection locked="0"/>
    </xf>
    <xf numFmtId="0" fontId="0" fillId="2" borderId="21" xfId="0" applyFill="1" applyBorder="1" applyProtection="1">
      <protection locked="0"/>
    </xf>
    <xf numFmtId="0" fontId="0" fillId="2" borderId="1" xfId="0" applyFill="1" applyBorder="1" applyProtection="1">
      <protection locked="0"/>
    </xf>
    <xf numFmtId="0" fontId="0" fillId="2" borderId="22" xfId="0" applyFill="1" applyBorder="1" applyProtection="1">
      <protection locked="0"/>
    </xf>
    <xf numFmtId="0" fontId="7" fillId="2" borderId="0" xfId="0" applyFont="1" applyFill="1" applyProtection="1">
      <protection locked="0"/>
    </xf>
    <xf numFmtId="0" fontId="0" fillId="2" borderId="0" xfId="0" applyFill="1" applyAlignment="1" applyProtection="1">
      <alignment horizontal="center"/>
      <protection locked="0"/>
    </xf>
    <xf numFmtId="6" fontId="0" fillId="2" borderId="0" xfId="0" applyNumberFormat="1" applyFill="1" applyAlignment="1" applyProtection="1">
      <alignment horizontal="center"/>
      <protection locked="0"/>
    </xf>
    <xf numFmtId="0" fontId="0" fillId="2" borderId="12" xfId="0" applyFill="1" applyBorder="1" applyAlignment="1" applyProtection="1">
      <alignment horizontal="center"/>
      <protection locked="0"/>
    </xf>
    <xf numFmtId="0" fontId="0" fillId="2" borderId="13" xfId="0" applyFill="1" applyBorder="1" applyAlignment="1" applyProtection="1">
      <alignment horizontal="center"/>
      <protection locked="0"/>
    </xf>
    <xf numFmtId="0" fontId="0" fillId="2" borderId="30" xfId="0" applyFill="1" applyBorder="1" applyAlignment="1" applyProtection="1">
      <alignment horizontal="center"/>
      <protection locked="0"/>
    </xf>
    <xf numFmtId="2" fontId="0" fillId="2" borderId="15" xfId="0" applyNumberFormat="1" applyFill="1" applyBorder="1" applyAlignment="1" applyProtection="1">
      <alignment horizontal="center"/>
      <protection locked="0"/>
    </xf>
    <xf numFmtId="3" fontId="0" fillId="2" borderId="15" xfId="0" applyNumberFormat="1" applyFill="1" applyBorder="1" applyAlignment="1" applyProtection="1">
      <alignment horizontal="center"/>
      <protection locked="0"/>
    </xf>
    <xf numFmtId="0" fontId="0" fillId="2" borderId="21" xfId="0" applyFill="1" applyBorder="1" applyAlignment="1" applyProtection="1">
      <alignment horizontal="center"/>
      <protection locked="0"/>
    </xf>
    <xf numFmtId="2" fontId="0" fillId="2" borderId="22" xfId="0" applyNumberFormat="1" applyFill="1" applyBorder="1" applyAlignment="1" applyProtection="1">
      <alignment horizontal="center"/>
      <protection locked="0"/>
    </xf>
    <xf numFmtId="3" fontId="0" fillId="2" borderId="22" xfId="0" applyNumberFormat="1" applyFill="1" applyBorder="1" applyAlignment="1" applyProtection="1">
      <alignment horizontal="center"/>
      <protection locked="0"/>
    </xf>
    <xf numFmtId="0" fontId="0" fillId="2" borderId="10" xfId="0" applyFill="1" applyBorder="1" applyProtection="1">
      <protection locked="0"/>
    </xf>
    <xf numFmtId="0" fontId="0" fillId="2" borderId="11" xfId="0" applyFill="1" applyBorder="1" applyProtection="1">
      <protection locked="0"/>
    </xf>
    <xf numFmtId="0" fontId="0" fillId="2" borderId="2" xfId="0" applyFill="1" applyBorder="1" applyAlignment="1" applyProtection="1">
      <alignment horizontal="center"/>
      <protection locked="0"/>
    </xf>
    <xf numFmtId="0" fontId="0" fillId="2" borderId="18" xfId="0" applyFill="1" applyBorder="1" applyAlignment="1" applyProtection="1">
      <alignment horizontal="center"/>
      <protection locked="0"/>
    </xf>
    <xf numFmtId="6" fontId="0" fillId="2" borderId="15" xfId="0" applyNumberFormat="1" applyFill="1" applyBorder="1" applyAlignment="1" applyProtection="1">
      <alignment horizontal="center"/>
      <protection locked="0"/>
    </xf>
    <xf numFmtId="6" fontId="0" fillId="2" borderId="22" xfId="0" applyNumberFormat="1" applyFill="1" applyBorder="1" applyAlignment="1" applyProtection="1">
      <alignment horizontal="center"/>
      <protection locked="0"/>
    </xf>
    <xf numFmtId="6" fontId="0" fillId="2" borderId="18" xfId="0" applyNumberFormat="1" applyFill="1" applyBorder="1" applyAlignment="1" applyProtection="1">
      <alignment horizontal="center"/>
      <protection locked="0"/>
    </xf>
    <xf numFmtId="0" fontId="0" fillId="2" borderId="0" xfId="0" applyFill="1" applyAlignment="1" applyProtection="1">
      <alignment horizontal="left" indent="1"/>
      <protection locked="0"/>
    </xf>
    <xf numFmtId="0" fontId="0" fillId="2" borderId="0" xfId="0" applyFill="1" applyAlignment="1" applyProtection="1">
      <alignment horizontal="left" indent="2"/>
      <protection locked="0"/>
    </xf>
    <xf numFmtId="0" fontId="0" fillId="2" borderId="0" xfId="0" applyFill="1" applyAlignment="1">
      <alignment horizontal="left" indent="2"/>
    </xf>
    <xf numFmtId="0" fontId="0" fillId="0" borderId="0" xfId="0" applyAlignment="1" applyProtection="1">
      <alignment horizontal="left" indent="1"/>
      <protection locked="0"/>
    </xf>
    <xf numFmtId="0" fontId="0" fillId="2" borderId="13" xfId="0" applyFill="1" applyBorder="1" applyAlignment="1">
      <alignment horizontal="center"/>
    </xf>
    <xf numFmtId="0" fontId="0" fillId="2" borderId="15" xfId="0" applyFill="1" applyBorder="1" applyAlignment="1">
      <alignment horizontal="center"/>
    </xf>
    <xf numFmtId="0" fontId="0" fillId="2" borderId="22" xfId="0" applyFill="1" applyBorder="1" applyAlignment="1">
      <alignment horizontal="center"/>
    </xf>
    <xf numFmtId="0" fontId="0" fillId="4" borderId="0" xfId="0" applyFill="1"/>
    <xf numFmtId="0" fontId="0" fillId="0" borderId="19" xfId="0" applyBorder="1" applyProtection="1">
      <protection locked="0"/>
    </xf>
    <xf numFmtId="0" fontId="0" fillId="0" borderId="31" xfId="0" applyBorder="1" applyAlignment="1">
      <alignment horizontal="center"/>
    </xf>
    <xf numFmtId="0" fontId="0" fillId="0" borderId="20" xfId="0" applyBorder="1" applyAlignment="1">
      <alignment horizontal="center"/>
    </xf>
    <xf numFmtId="0" fontId="0" fillId="0" borderId="30" xfId="0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21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22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4" borderId="13" xfId="0" applyFill="1" applyBorder="1" applyAlignment="1">
      <alignment horizontal="center"/>
    </xf>
    <xf numFmtId="0" fontId="0" fillId="0" borderId="17" xfId="0" applyBorder="1" applyAlignment="1">
      <alignment horizontal="center"/>
    </xf>
    <xf numFmtId="0" fontId="0" fillId="0" borderId="18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16" xfId="0" applyBorder="1" applyAlignment="1">
      <alignment horizontal="center"/>
    </xf>
    <xf numFmtId="3" fontId="0" fillId="0" borderId="17" xfId="0" applyNumberFormat="1" applyBorder="1" applyAlignment="1">
      <alignment horizontal="center"/>
    </xf>
    <xf numFmtId="3" fontId="0" fillId="0" borderId="2" xfId="0" applyNumberFormat="1" applyBorder="1" applyAlignment="1">
      <alignment horizontal="center"/>
    </xf>
    <xf numFmtId="0" fontId="0" fillId="2" borderId="21" xfId="0" applyFill="1" applyBorder="1"/>
    <xf numFmtId="0" fontId="0" fillId="4" borderId="2" xfId="0" applyFill="1" applyBorder="1" applyAlignment="1" applyProtection="1">
      <alignment horizontal="center"/>
      <protection locked="0"/>
    </xf>
    <xf numFmtId="2" fontId="0" fillId="0" borderId="17" xfId="0" applyNumberFormat="1" applyBorder="1" applyAlignment="1">
      <alignment horizontal="center"/>
    </xf>
    <xf numFmtId="0" fontId="0" fillId="6" borderId="19" xfId="0" applyFill="1" applyBorder="1" applyProtection="1">
      <protection locked="0"/>
    </xf>
    <xf numFmtId="0" fontId="0" fillId="6" borderId="31" xfId="0" applyFill="1" applyBorder="1" applyProtection="1">
      <protection locked="0"/>
    </xf>
    <xf numFmtId="0" fontId="0" fillId="6" borderId="20" xfId="0" applyFill="1" applyBorder="1" applyProtection="1">
      <protection locked="0"/>
    </xf>
    <xf numFmtId="0" fontId="0" fillId="6" borderId="21" xfId="0" applyFill="1" applyBorder="1" applyProtection="1">
      <protection locked="0"/>
    </xf>
    <xf numFmtId="0" fontId="0" fillId="6" borderId="1" xfId="0" applyFill="1" applyBorder="1" applyProtection="1">
      <protection locked="0"/>
    </xf>
    <xf numFmtId="0" fontId="0" fillId="6" borderId="22" xfId="0" applyFill="1" applyBorder="1" applyProtection="1">
      <protection locked="0"/>
    </xf>
    <xf numFmtId="0" fontId="7" fillId="0" borderId="0" xfId="0" applyFont="1" applyProtection="1">
      <protection locked="0"/>
    </xf>
    <xf numFmtId="0" fontId="0" fillId="2" borderId="0" xfId="0" applyFill="1" applyAlignment="1">
      <alignment horizontal="centerContinuous"/>
    </xf>
    <xf numFmtId="0" fontId="0" fillId="2" borderId="19" xfId="0" applyFill="1" applyBorder="1" applyAlignment="1" applyProtection="1">
      <alignment horizontal="center"/>
      <protection locked="0"/>
    </xf>
    <xf numFmtId="0" fontId="0" fillId="2" borderId="16" xfId="0" applyFill="1" applyBorder="1" applyAlignment="1" applyProtection="1">
      <alignment horizontal="center"/>
      <protection locked="0"/>
    </xf>
    <xf numFmtId="0" fontId="0" fillId="2" borderId="31" xfId="0" applyFill="1" applyBorder="1" applyAlignment="1" applyProtection="1">
      <alignment horizontal="center"/>
      <protection locked="0"/>
    </xf>
    <xf numFmtId="0" fontId="0" fillId="2" borderId="20" xfId="0" applyFill="1" applyBorder="1" applyAlignment="1" applyProtection="1">
      <alignment horizontal="center"/>
      <protection locked="0"/>
    </xf>
    <xf numFmtId="3" fontId="0" fillId="2" borderId="31" xfId="0" applyNumberFormat="1" applyFill="1" applyBorder="1" applyAlignment="1">
      <alignment horizontal="center"/>
    </xf>
    <xf numFmtId="3" fontId="0" fillId="2" borderId="20" xfId="0" applyNumberFormat="1" applyFill="1" applyBorder="1" applyAlignment="1">
      <alignment horizontal="center"/>
    </xf>
    <xf numFmtId="0" fontId="2" fillId="2" borderId="0" xfId="0" applyFont="1" applyFill="1" applyAlignment="1" applyProtection="1">
      <alignment horizontal="centerContinuous"/>
      <protection locked="0"/>
    </xf>
    <xf numFmtId="0" fontId="9" fillId="0" borderId="0" xfId="0" applyFont="1" applyAlignment="1">
      <alignment horizontal="left"/>
    </xf>
    <xf numFmtId="173" fontId="0" fillId="2" borderId="15" xfId="0" applyNumberFormat="1" applyFill="1" applyBorder="1" applyAlignment="1">
      <alignment horizontal="center"/>
    </xf>
    <xf numFmtId="173" fontId="0" fillId="2" borderId="22" xfId="0" applyNumberFormat="1" applyFill="1" applyBorder="1" applyAlignment="1">
      <alignment horizontal="center"/>
    </xf>
    <xf numFmtId="6" fontId="0" fillId="2" borderId="16" xfId="0" applyNumberFormat="1" applyFill="1" applyBorder="1" applyAlignment="1">
      <alignment horizontal="center"/>
    </xf>
    <xf numFmtId="169" fontId="0" fillId="2" borderId="17" xfId="0" applyNumberFormat="1" applyFill="1" applyBorder="1" applyAlignment="1">
      <alignment horizontal="center"/>
    </xf>
    <xf numFmtId="0" fontId="7" fillId="0" borderId="0" xfId="0" applyFont="1"/>
    <xf numFmtId="6" fontId="0" fillId="0" borderId="30" xfId="0" applyNumberFormat="1" applyBorder="1" applyAlignment="1">
      <alignment horizontal="center"/>
    </xf>
    <xf numFmtId="6" fontId="0" fillId="0" borderId="21" xfId="0" applyNumberFormat="1" applyBorder="1" applyAlignment="1">
      <alignment horizontal="center"/>
    </xf>
    <xf numFmtId="0" fontId="0" fillId="0" borderId="12" xfId="0" applyBorder="1" applyAlignment="1">
      <alignment horizontal="center"/>
    </xf>
    <xf numFmtId="6" fontId="0" fillId="0" borderId="17" xfId="0" applyNumberFormat="1" applyBorder="1" applyAlignment="1">
      <alignment horizontal="center"/>
    </xf>
    <xf numFmtId="6" fontId="0" fillId="0" borderId="18" xfId="0" applyNumberFormat="1" applyBorder="1" applyAlignment="1">
      <alignment horizontal="center"/>
    </xf>
    <xf numFmtId="6" fontId="0" fillId="0" borderId="0" xfId="0" applyNumberFormat="1" applyAlignment="1">
      <alignment horizontal="center"/>
    </xf>
    <xf numFmtId="0" fontId="8" fillId="0" borderId="0" xfId="0" applyFont="1" applyProtection="1">
      <protection locked="0"/>
    </xf>
    <xf numFmtId="165" fontId="0" fillId="4" borderId="0" xfId="0" applyNumberFormat="1" applyFill="1" applyAlignment="1">
      <alignment horizontal="center"/>
    </xf>
    <xf numFmtId="0" fontId="0" fillId="2" borderId="30" xfId="0" applyFill="1" applyBorder="1"/>
    <xf numFmtId="3" fontId="0" fillId="0" borderId="30" xfId="0" applyNumberFormat="1" applyBorder="1" applyAlignment="1">
      <alignment horizontal="center"/>
    </xf>
    <xf numFmtId="3" fontId="0" fillId="0" borderId="21" xfId="0" applyNumberFormat="1" applyBorder="1" applyAlignment="1">
      <alignment horizontal="center"/>
    </xf>
    <xf numFmtId="0" fontId="0" fillId="0" borderId="31" xfId="0" applyBorder="1" applyAlignment="1" applyProtection="1">
      <alignment horizontal="centerContinuous"/>
      <protection locked="0"/>
    </xf>
    <xf numFmtId="0" fontId="0" fillId="0" borderId="20" xfId="0" applyBorder="1" applyAlignment="1" applyProtection="1">
      <alignment horizontal="centerContinuous"/>
      <protection locked="0"/>
    </xf>
    <xf numFmtId="0" fontId="0" fillId="0" borderId="16" xfId="0" applyBorder="1" applyProtection="1">
      <protection locked="0"/>
    </xf>
    <xf numFmtId="173" fontId="0" fillId="0" borderId="17" xfId="0" applyNumberFormat="1" applyBorder="1" applyAlignment="1">
      <alignment horizontal="center"/>
    </xf>
    <xf numFmtId="173" fontId="0" fillId="0" borderId="18" xfId="0" applyNumberFormat="1" applyBorder="1" applyAlignment="1">
      <alignment horizontal="center"/>
    </xf>
    <xf numFmtId="165" fontId="0" fillId="2" borderId="15" xfId="0" applyNumberFormat="1" applyFill="1" applyBorder="1" applyAlignment="1">
      <alignment horizontal="center"/>
    </xf>
    <xf numFmtId="165" fontId="0" fillId="2" borderId="22" xfId="0" applyNumberFormat="1" applyFill="1" applyBorder="1" applyAlignment="1">
      <alignment horizontal="center"/>
    </xf>
    <xf numFmtId="8" fontId="0" fillId="0" borderId="0" xfId="0" applyNumberFormat="1"/>
    <xf numFmtId="165" fontId="0" fillId="0" borderId="22" xfId="0" applyNumberFormat="1" applyBorder="1" applyAlignment="1" applyProtection="1">
      <alignment horizontal="center"/>
      <protection locked="0"/>
    </xf>
    <xf numFmtId="3" fontId="0" fillId="0" borderId="18" xfId="0" applyNumberFormat="1" applyBorder="1" applyAlignment="1">
      <alignment horizontal="center"/>
    </xf>
    <xf numFmtId="174" fontId="0" fillId="4" borderId="0" xfId="0" applyNumberFormat="1" applyFill="1" applyAlignment="1">
      <alignment horizontal="center"/>
    </xf>
    <xf numFmtId="172" fontId="0" fillId="4" borderId="0" xfId="0" applyNumberFormat="1" applyFill="1" applyAlignment="1">
      <alignment horizontal="center"/>
    </xf>
    <xf numFmtId="175" fontId="0" fillId="4" borderId="15" xfId="0" applyNumberFormat="1" applyFill="1" applyBorder="1" applyAlignment="1">
      <alignment horizontal="center"/>
    </xf>
    <xf numFmtId="174" fontId="0" fillId="4" borderId="1" xfId="0" applyNumberFormat="1" applyFill="1" applyBorder="1" applyAlignment="1">
      <alignment horizontal="center"/>
    </xf>
    <xf numFmtId="172" fontId="0" fillId="4" borderId="1" xfId="0" applyNumberFormat="1" applyFill="1" applyBorder="1" applyAlignment="1">
      <alignment horizontal="center"/>
    </xf>
    <xf numFmtId="175" fontId="0" fillId="4" borderId="22" xfId="0" applyNumberFormat="1" applyFill="1" applyBorder="1" applyAlignment="1">
      <alignment horizontal="center"/>
    </xf>
    <xf numFmtId="10" fontId="0" fillId="2" borderId="17" xfId="0" applyNumberFormat="1" applyFill="1" applyBorder="1" applyAlignment="1">
      <alignment horizontal="center"/>
    </xf>
    <xf numFmtId="173" fontId="0" fillId="0" borderId="0" xfId="0" applyNumberFormat="1" applyAlignment="1">
      <alignment horizontal="left"/>
    </xf>
    <xf numFmtId="173" fontId="0" fillId="4" borderId="0" xfId="0" applyNumberFormat="1" applyFill="1" applyAlignment="1">
      <alignment horizontal="center"/>
    </xf>
    <xf numFmtId="4" fontId="0" fillId="4" borderId="0" xfId="0" applyNumberFormat="1" applyFill="1" applyAlignment="1">
      <alignment horizontal="center"/>
    </xf>
    <xf numFmtId="0" fontId="0" fillId="0" borderId="13" xfId="0" applyBorder="1" applyAlignment="1">
      <alignment horizontal="center"/>
    </xf>
    <xf numFmtId="3" fontId="0" fillId="2" borderId="13" xfId="0" applyNumberFormat="1" applyFill="1" applyBorder="1" applyAlignment="1">
      <alignment horizontal="center"/>
    </xf>
    <xf numFmtId="3" fontId="0" fillId="0" borderId="0" xfId="0" applyNumberFormat="1" applyAlignment="1">
      <alignment horizontal="left"/>
    </xf>
    <xf numFmtId="4" fontId="0" fillId="4" borderId="17" xfId="0" applyNumberFormat="1" applyFill="1" applyBorder="1" applyAlignment="1">
      <alignment horizontal="center"/>
    </xf>
    <xf numFmtId="3" fontId="0" fillId="4" borderId="30" xfId="0" applyNumberFormat="1" applyFill="1" applyBorder="1" applyAlignment="1">
      <alignment horizontal="center"/>
    </xf>
    <xf numFmtId="3" fontId="0" fillId="0" borderId="12" xfId="0" applyNumberFormat="1" applyBorder="1" applyAlignment="1">
      <alignment horizontal="center"/>
    </xf>
    <xf numFmtId="4" fontId="0" fillId="0" borderId="15" xfId="0" applyNumberFormat="1" applyBorder="1" applyAlignment="1">
      <alignment horizontal="center"/>
    </xf>
    <xf numFmtId="0" fontId="2" fillId="0" borderId="15" xfId="0" applyFont="1" applyBorder="1" applyAlignment="1">
      <alignment horizontal="center" wrapText="1"/>
    </xf>
    <xf numFmtId="0" fontId="2" fillId="0" borderId="22" xfId="0" applyFont="1" applyBorder="1" applyAlignment="1">
      <alignment horizontal="center" wrapText="1"/>
    </xf>
    <xf numFmtId="0" fontId="10" fillId="0" borderId="0" xfId="2" applyAlignment="1">
      <alignment horizontal="left"/>
    </xf>
    <xf numFmtId="0" fontId="10" fillId="2" borderId="5" xfId="2" applyFill="1" applyBorder="1" applyAlignment="1" applyProtection="1">
      <alignment horizontal="right"/>
    </xf>
    <xf numFmtId="0" fontId="10" fillId="2" borderId="6" xfId="2" applyFill="1" applyBorder="1" applyAlignment="1" applyProtection="1">
      <alignment horizontal="right"/>
    </xf>
    <xf numFmtId="6" fontId="0" fillId="2" borderId="19" xfId="0" applyNumberFormat="1" applyFill="1" applyBorder="1" applyAlignment="1">
      <alignment horizontal="center"/>
    </xf>
    <xf numFmtId="6" fontId="0" fillId="2" borderId="20" xfId="0" applyNumberFormat="1" applyFill="1" applyBorder="1" applyAlignment="1">
      <alignment horizontal="center"/>
    </xf>
    <xf numFmtId="6" fontId="0" fillId="2" borderId="30" xfId="0" applyNumberFormat="1" applyFill="1" applyBorder="1" applyAlignment="1">
      <alignment horizontal="center"/>
    </xf>
    <xf numFmtId="6" fontId="0" fillId="2" borderId="15" xfId="0" applyNumberFormat="1" applyFill="1" applyBorder="1" applyAlignment="1">
      <alignment horizontal="center"/>
    </xf>
    <xf numFmtId="6" fontId="0" fillId="2" borderId="21" xfId="0" applyNumberFormat="1" applyFill="1" applyBorder="1" applyAlignment="1">
      <alignment horizontal="center"/>
    </xf>
    <xf numFmtId="6" fontId="0" fillId="2" borderId="22" xfId="0" applyNumberFormat="1" applyFill="1" applyBorder="1" applyAlignment="1">
      <alignment horizontal="center"/>
    </xf>
    <xf numFmtId="0" fontId="10" fillId="2" borderId="5" xfId="2" applyFill="1" applyBorder="1" applyAlignment="1" applyProtection="1">
      <alignment horizontal="right"/>
      <protection locked="0"/>
    </xf>
    <xf numFmtId="0" fontId="10" fillId="2" borderId="6" xfId="2" applyFill="1" applyBorder="1" applyAlignment="1" applyProtection="1">
      <alignment horizontal="right"/>
      <protection locked="0"/>
    </xf>
    <xf numFmtId="0" fontId="0" fillId="2" borderId="0" xfId="0" applyFill="1" applyBorder="1"/>
    <xf numFmtId="0" fontId="9" fillId="2" borderId="1" xfId="0" applyFont="1" applyFill="1" applyBorder="1"/>
    <xf numFmtId="0" fontId="0" fillId="0" borderId="1" xfId="0" applyBorder="1"/>
    <xf numFmtId="0" fontId="0" fillId="0" borderId="0" xfId="0" applyFill="1" applyBorder="1" applyAlignment="1">
      <alignment horizontal="center"/>
    </xf>
    <xf numFmtId="0" fontId="0" fillId="2" borderId="0" xfId="0" applyFill="1" applyBorder="1" applyAlignment="1">
      <alignment horizontal="center"/>
    </xf>
    <xf numFmtId="0" fontId="8" fillId="2" borderId="0" xfId="0" applyFont="1" applyFill="1" applyBorder="1" applyAlignment="1">
      <alignment horizontal="center"/>
    </xf>
    <xf numFmtId="165" fontId="0" fillId="2" borderId="0" xfId="0" applyNumberFormat="1" applyFill="1" applyBorder="1" applyAlignment="1">
      <alignment horizontal="center"/>
    </xf>
    <xf numFmtId="173" fontId="0" fillId="2" borderId="0" xfId="0" applyNumberFormat="1" applyFill="1" applyBorder="1" applyAlignment="1">
      <alignment horizontal="center"/>
    </xf>
    <xf numFmtId="3" fontId="0" fillId="2" borderId="0" xfId="0" applyNumberFormat="1" applyFill="1" applyBorder="1" applyAlignment="1">
      <alignment horizontal="center"/>
    </xf>
  </cellXfs>
  <cellStyles count="3">
    <cellStyle name="Hyperlink" xfId="2" builtinId="8"/>
    <cellStyle name="Normal" xfId="0" builtinId="0"/>
    <cellStyle name="Percent" xfId="1" builtinId="5"/>
  </cellStyles>
  <dxfs count="84"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0"/>
      </font>
      <fill>
        <patternFill patternType="none">
          <bgColor auto="1"/>
        </patternFill>
      </fill>
    </dxf>
    <dxf>
      <fill>
        <patternFill>
          <bgColor theme="0" tint="-4.9989318521683403E-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0" tint="-4.9989318521683403E-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theme" Target="theme/theme1.xml"/><Relationship Id="rId30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390525</xdr:colOff>
      <xdr:row>0</xdr:row>
      <xdr:rowOff>0</xdr:rowOff>
    </xdr:from>
    <xdr:to>
      <xdr:col>9</xdr:col>
      <xdr:colOff>111972</xdr:colOff>
      <xdr:row>4</xdr:row>
      <xdr:rowOff>32174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9325" y="0"/>
          <a:ext cx="3379047" cy="794174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7</xdr:row>
      <xdr:rowOff>19050</xdr:rowOff>
    </xdr:from>
    <xdr:to>
      <xdr:col>4</xdr:col>
      <xdr:colOff>1228726</xdr:colOff>
      <xdr:row>10</xdr:row>
      <xdr:rowOff>19050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1800-000002000000}"/>
            </a:ext>
          </a:extLst>
        </xdr:cNvPr>
        <xdr:cNvSpPr txBox="1"/>
      </xdr:nvSpPr>
      <xdr:spPr>
        <a:xfrm>
          <a:off x="1762125" y="1362075"/>
          <a:ext cx="3609976" cy="590550"/>
        </a:xfrm>
        <a:prstGeom prst="rect">
          <a:avLst/>
        </a:prstGeom>
        <a:ln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GB" sz="1000"/>
            <a:t>Re-run the model excluding some of the most</a:t>
          </a:r>
          <a:r>
            <a:rPr lang="en-GB" sz="1000" baseline="0"/>
            <a:t> influential data points. If the parameter estimates materially change then consider reducing the associated weights.</a:t>
          </a:r>
          <a:endParaRPr lang="en-GB" sz="1000"/>
        </a:p>
      </xdr:txBody>
    </xdr:sp>
    <xdr:clientData/>
  </xdr:twoCellAnchor>
  <xdr:twoCellAnchor>
    <xdr:from>
      <xdr:col>2</xdr:col>
      <xdr:colOff>0</xdr:colOff>
      <xdr:row>10</xdr:row>
      <xdr:rowOff>19050</xdr:rowOff>
    </xdr:from>
    <xdr:to>
      <xdr:col>4</xdr:col>
      <xdr:colOff>1228726</xdr:colOff>
      <xdr:row>13</xdr:row>
      <xdr:rowOff>19050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00000000-0008-0000-1800-000003000000}"/>
            </a:ext>
          </a:extLst>
        </xdr:cNvPr>
        <xdr:cNvSpPr txBox="1"/>
      </xdr:nvSpPr>
      <xdr:spPr>
        <a:xfrm>
          <a:off x="1762125" y="1952625"/>
          <a:ext cx="3609976" cy="571500"/>
        </a:xfrm>
        <a:prstGeom prst="rect">
          <a:avLst/>
        </a:prstGeom>
        <a:ln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GB" sz="1000"/>
            <a:t>Slice the data set into k folds. For each of the k-folds, train the</a:t>
          </a:r>
          <a:r>
            <a:rPr lang="en-GB" sz="1000" baseline="0"/>
            <a:t> model on the remaining k-1 folds. If the model is stable, the parameter estimates should be similar across the folds.</a:t>
          </a:r>
          <a:endParaRPr lang="en-GB" sz="1000"/>
        </a:p>
      </xdr:txBody>
    </xdr:sp>
    <xdr:clientData/>
  </xdr:twoCellAnchor>
  <xdr:twoCellAnchor>
    <xdr:from>
      <xdr:col>2</xdr:col>
      <xdr:colOff>0</xdr:colOff>
      <xdr:row>13</xdr:row>
      <xdr:rowOff>19050</xdr:rowOff>
    </xdr:from>
    <xdr:to>
      <xdr:col>4</xdr:col>
      <xdr:colOff>1228726</xdr:colOff>
      <xdr:row>16</xdr:row>
      <xdr:rowOff>38100</xdr:rowOff>
    </xdr:to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00000000-0008-0000-1800-000004000000}"/>
            </a:ext>
          </a:extLst>
        </xdr:cNvPr>
        <xdr:cNvSpPr txBox="1"/>
      </xdr:nvSpPr>
      <xdr:spPr>
        <a:xfrm>
          <a:off x="1762125" y="2524125"/>
          <a:ext cx="3609976" cy="590550"/>
        </a:xfrm>
        <a:prstGeom prst="rect">
          <a:avLst/>
        </a:prstGeom>
        <a:ln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GB" sz="1000"/>
            <a:t>Randomly sample the training data with replacement to create</a:t>
          </a:r>
          <a:r>
            <a:rPr lang="en-GB" sz="1000" baseline="0"/>
            <a:t> a new data sets. Fit the model to each and use the results to produce confidence intervals for the parameter estimates.</a:t>
          </a:r>
          <a:endParaRPr lang="en-GB" sz="10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6</xdr:col>
      <xdr:colOff>51646</xdr:colOff>
      <xdr:row>4</xdr:row>
      <xdr:rowOff>18627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3375660" cy="750147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4</xdr:col>
      <xdr:colOff>558588</xdr:colOff>
      <xdr:row>4</xdr:row>
      <xdr:rowOff>18627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3311313" cy="780627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12</xdr:col>
      <xdr:colOff>190500</xdr:colOff>
      <xdr:row>0</xdr:row>
      <xdr:rowOff>176212</xdr:rowOff>
    </xdr:from>
    <xdr:ext cx="672556" cy="289888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5" name="TextBox 4">
              <a:extLst>
                <a:ext uri="{FF2B5EF4-FFF2-40B4-BE49-F238E27FC236}">
                  <a16:creationId xmlns:a16="http://schemas.microsoft.com/office/drawing/2014/main" id="{00000000-0008-0000-0400-000005000000}"/>
                </a:ext>
              </a:extLst>
            </xdr:cNvPr>
            <xdr:cNvSpPr txBox="1"/>
          </xdr:nvSpPr>
          <xdr:spPr>
            <a:xfrm>
              <a:off x="7772400" y="176212"/>
              <a:ext cx="672556" cy="289888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m:rPr>
                        <m:sty m:val="p"/>
                      </m:rPr>
                      <a:rPr lang="en-US" sz="1100" b="0" i="1">
                        <a:latin typeface="Cambria Math" panose="02040503050406030204" pitchFamily="18" charset="0"/>
                      </a:rPr>
                      <m:t>ln</m:t>
                    </m:r>
                    <m:r>
                      <a:rPr lang="en-US" sz="1100" b="0" i="1">
                        <a:latin typeface="Cambria Math" panose="02040503050406030204" pitchFamily="18" charset="0"/>
                      </a:rPr>
                      <m:t> </m:t>
                    </m:r>
                    <m:d>
                      <m:dPr>
                        <m:ctrlPr>
                          <a:rPr lang="en-US" sz="1100" b="0" i="1">
                            <a:latin typeface="Cambria Math" panose="02040503050406030204" pitchFamily="18" charset="0"/>
                          </a:rPr>
                        </m:ctrlPr>
                      </m:dPr>
                      <m:e>
                        <m:f>
                          <m:fPr>
                            <m:ctrlPr>
                              <a:rPr lang="en-US" sz="1100" b="0" i="1">
                                <a:latin typeface="Cambria Math" panose="02040503050406030204" pitchFamily="18" charset="0"/>
                              </a:rPr>
                            </m:ctrlPr>
                          </m:fPr>
                          <m:num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𝑢</m:t>
                            </m:r>
                          </m:num>
                          <m:den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1−</m:t>
                            </m:r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𝑢</m:t>
                            </m:r>
                          </m:den>
                        </m:f>
                      </m:e>
                    </m:d>
                  </m:oMath>
                </m:oMathPara>
              </a14:m>
              <a:endParaRPr lang="en-GB" sz="1100"/>
            </a:p>
          </xdr:txBody>
        </xdr:sp>
      </mc:Choice>
      <mc:Fallback xmlns="">
        <xdr:sp macro="" textlink="">
          <xdr:nvSpPr>
            <xdr:cNvPr id="5" name="TextBox 4">
              <a:extLst>
                <a:ext uri="{FF2B5EF4-FFF2-40B4-BE49-F238E27FC236}">
                  <a16:creationId xmlns:a16="http://schemas.microsoft.com/office/drawing/2014/main" id="{3DAC7A76-7B14-2F88-3445-66954FE27E28}"/>
                </a:ext>
              </a:extLst>
            </xdr:cNvPr>
            <xdr:cNvSpPr txBox="1"/>
          </xdr:nvSpPr>
          <xdr:spPr>
            <a:xfrm>
              <a:off x="7772400" y="176212"/>
              <a:ext cx="672556" cy="289888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en-US" sz="1100" b="0" i="0">
                  <a:latin typeface="Cambria Math" panose="02040503050406030204" pitchFamily="18" charset="0"/>
                </a:rPr>
                <a:t>ln (𝑢/(1−𝑢))</a:t>
              </a:r>
              <a:endParaRPr lang="en-GB" sz="1100"/>
            </a:p>
          </xdr:txBody>
        </xdr:sp>
      </mc:Fallback>
    </mc:AlternateContent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10</xdr:col>
      <xdr:colOff>771525</xdr:colOff>
      <xdr:row>0</xdr:row>
      <xdr:rowOff>128587</xdr:rowOff>
    </xdr:from>
    <xdr:ext cx="2545569" cy="392480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" name="TextBox 1">
              <a:extLst>
                <a:ext uri="{FF2B5EF4-FFF2-40B4-BE49-F238E27FC236}">
                  <a16:creationId xmlns:a16="http://schemas.microsoft.com/office/drawing/2014/main" id="{00000000-0008-0000-1300-000002000000}"/>
                </a:ext>
              </a:extLst>
            </xdr:cNvPr>
            <xdr:cNvSpPr txBox="1"/>
          </xdr:nvSpPr>
          <xdr:spPr>
            <a:xfrm>
              <a:off x="7943850" y="128587"/>
              <a:ext cx="2545569" cy="39248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n-US" sz="1100" b="0" i="1">
                        <a:latin typeface="Cambria Math" panose="02040503050406030204" pitchFamily="18" charset="0"/>
                      </a:rPr>
                      <m:t>𝜌</m:t>
                    </m:r>
                    <m:d>
                      <m:dPr>
                        <m:ctrlPr>
                          <a:rPr lang="en-US" sz="1100" b="0" i="1">
                            <a:latin typeface="Cambria Math" panose="02040503050406030204" pitchFamily="18" charset="0"/>
                          </a:rPr>
                        </m:ctrlPr>
                      </m:dPr>
                      <m:e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𝐿</m:t>
                        </m:r>
                      </m:e>
                    </m:d>
                    <m:r>
                      <a:rPr lang="en-US" sz="1100" b="0" i="1">
                        <a:latin typeface="Cambria Math" panose="02040503050406030204" pitchFamily="18" charset="0"/>
                      </a:rPr>
                      <m:t>=</m:t>
                    </m:r>
                    <m:f>
                      <m:fPr>
                        <m:ctrlPr>
                          <a:rPr lang="en-US" sz="1100" b="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𝑘</m:t>
                        </m:r>
                      </m:num>
                      <m:den>
                        <m:rad>
                          <m:radPr>
                            <m:degHide m:val="on"/>
                            <m:ctrlPr>
                              <a:rPr lang="en-US" sz="1100" b="0" i="1">
                                <a:latin typeface="Cambria Math" panose="02040503050406030204" pitchFamily="18" charset="0"/>
                              </a:rPr>
                            </m:ctrlPr>
                          </m:radPr>
                          <m:deg/>
                          <m:e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𝐸</m:t>
                            </m:r>
                            <m:d>
                              <m:dPr>
                                <m:begChr m:val="["/>
                                <m:endChr m:val="]"/>
                                <m:ctrlPr>
                                  <a:rPr lang="en-US" sz="1100" b="0" i="1">
                                    <a:latin typeface="Cambria Math" panose="02040503050406030204" pitchFamily="18" charset="0"/>
                                  </a:rPr>
                                </m:ctrlPr>
                              </m:dPr>
                              <m:e>
                                <m:r>
                                  <a:rPr lang="en-US" sz="1100" b="0" i="1">
                                    <a:latin typeface="Cambria Math" panose="02040503050406030204" pitchFamily="18" charset="0"/>
                                  </a:rPr>
                                  <m:t>𝑁</m:t>
                                </m:r>
                              </m:e>
                            </m:d>
                          </m:e>
                        </m:rad>
                      </m:den>
                    </m:f>
                    <m:r>
                      <a:rPr lang="en-US" sz="1100" b="0" i="1">
                        <a:latin typeface="Cambria Math" panose="02040503050406030204" pitchFamily="18" charset="0"/>
                      </a:rPr>
                      <m:t>⋅</m:t>
                    </m:r>
                    <m:rad>
                      <m:radPr>
                        <m:degHide m:val="on"/>
                        <m:ctrlPr>
                          <a:rPr lang="en-US" sz="1100" b="0" i="1">
                            <a:latin typeface="Cambria Math" panose="02040503050406030204" pitchFamily="18" charset="0"/>
                          </a:rPr>
                        </m:ctrlPr>
                      </m:radPr>
                      <m:deg/>
                      <m:e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𝐸</m:t>
                        </m:r>
                        <m:d>
                          <m:dPr>
                            <m:begChr m:val="["/>
                            <m:endChr m:val="]"/>
                            <m:ctrlPr>
                              <a:rPr lang="en-US" sz="1100" b="0" i="1">
                                <a:latin typeface="Cambria Math" panose="02040503050406030204" pitchFamily="18" charset="0"/>
                              </a:rPr>
                            </m:ctrlPr>
                          </m:dPr>
                          <m:e>
                            <m:sSup>
                              <m:sSupPr>
                                <m:ctrlPr>
                                  <a:rPr lang="en-US" sz="1100" b="0" i="1">
                                    <a:latin typeface="Cambria Math" panose="02040503050406030204" pitchFamily="18" charset="0"/>
                                  </a:rPr>
                                </m:ctrlPr>
                              </m:sSupPr>
                              <m:e>
                                <m:r>
                                  <a:rPr lang="en-US" sz="1100" b="0" i="1">
                                    <a:latin typeface="Cambria Math" panose="02040503050406030204" pitchFamily="18" charset="0"/>
                                  </a:rPr>
                                  <m:t>𝑋</m:t>
                                </m:r>
                              </m:e>
                              <m:sup>
                                <m:r>
                                  <a:rPr lang="en-US" sz="1100" b="0" i="1">
                                    <a:latin typeface="Cambria Math" panose="02040503050406030204" pitchFamily="18" charset="0"/>
                                  </a:rPr>
                                  <m:t>2</m:t>
                                </m:r>
                              </m:sup>
                            </m:sSup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;</m:t>
                            </m:r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𝐿</m:t>
                            </m:r>
                          </m:e>
                        </m:d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+</m:t>
                        </m:r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𝛿</m:t>
                        </m:r>
                        <m:sSup>
                          <m:sSupPr>
                            <m:ctrlPr>
                              <a:rPr lang="en-US" sz="1100" b="0" i="1">
                                <a:latin typeface="Cambria Math" panose="02040503050406030204" pitchFamily="18" charset="0"/>
                              </a:rPr>
                            </m:ctrlPr>
                          </m:sSupPr>
                          <m:e>
                            <m:d>
                              <m:dPr>
                                <m:ctrlPr>
                                  <a:rPr lang="en-US" sz="1100" b="0" i="1">
                                    <a:latin typeface="Cambria Math" panose="02040503050406030204" pitchFamily="18" charset="0"/>
                                  </a:rPr>
                                </m:ctrlPr>
                              </m:dPr>
                              <m:e>
                                <m:r>
                                  <a:rPr lang="en-US" sz="1100" b="0" i="1">
                                    <a:latin typeface="Cambria Math" panose="02040503050406030204" pitchFamily="18" charset="0"/>
                                  </a:rPr>
                                  <m:t>𝐸</m:t>
                                </m:r>
                                <m:d>
                                  <m:dPr>
                                    <m:begChr m:val="["/>
                                    <m:endChr m:val="]"/>
                                    <m:ctrlPr>
                                      <a:rPr lang="en-US" sz="1100" b="0" i="1">
                                        <a:latin typeface="Cambria Math" panose="02040503050406030204" pitchFamily="18" charset="0"/>
                                      </a:rPr>
                                    </m:ctrlPr>
                                  </m:dPr>
                                  <m:e>
                                    <m:r>
                                      <a:rPr lang="en-US" sz="1100" b="0" i="1">
                                        <a:latin typeface="Cambria Math" panose="02040503050406030204" pitchFamily="18" charset="0"/>
                                      </a:rPr>
                                      <m:t>𝑋</m:t>
                                    </m:r>
                                    <m:r>
                                      <a:rPr lang="en-US" sz="1100" b="0" i="1">
                                        <a:latin typeface="Cambria Math" panose="02040503050406030204" pitchFamily="18" charset="0"/>
                                      </a:rPr>
                                      <m:t>;</m:t>
                                    </m:r>
                                    <m:r>
                                      <a:rPr lang="en-US" sz="1100" b="0" i="1">
                                        <a:latin typeface="Cambria Math" panose="02040503050406030204" pitchFamily="18" charset="0"/>
                                      </a:rPr>
                                      <m:t>𝐿</m:t>
                                    </m:r>
                                  </m:e>
                                </m:d>
                              </m:e>
                            </m:d>
                          </m:e>
                          <m:sup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2</m:t>
                            </m:r>
                          </m:sup>
                        </m:sSup>
                      </m:e>
                    </m:rad>
                  </m:oMath>
                </m:oMathPara>
              </a14:m>
              <a:endParaRPr lang="en-GB" sz="1100"/>
            </a:p>
          </xdr:txBody>
        </xdr:sp>
      </mc:Choice>
      <mc:Fallback xmlns="">
        <xdr:sp macro="" textlink="">
          <xdr:nvSpPr>
            <xdr:cNvPr id="2" name="TextBox 1">
              <a:extLst>
                <a:ext uri="{FF2B5EF4-FFF2-40B4-BE49-F238E27FC236}">
                  <a16:creationId xmlns:a16="http://schemas.microsoft.com/office/drawing/2014/main" id="{0C570760-A531-63B6-9D6B-3A99CE4C36B5}"/>
                </a:ext>
              </a:extLst>
            </xdr:cNvPr>
            <xdr:cNvSpPr txBox="1"/>
          </xdr:nvSpPr>
          <xdr:spPr>
            <a:xfrm>
              <a:off x="7943850" y="128587"/>
              <a:ext cx="2545569" cy="39248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en-US" sz="1100" b="0" i="0">
                  <a:latin typeface="Cambria Math" panose="02040503050406030204" pitchFamily="18" charset="0"/>
                </a:rPr>
                <a:t>𝜌(𝐿)=𝑘/√(𝐸[𝑁] )⋅√(𝐸[𝑋^2;𝐿]+𝛿(𝐸[𝑋;𝐿])^2 )</a:t>
              </a:r>
              <a:endParaRPr lang="en-GB" sz="1100"/>
            </a:p>
          </xdr:txBody>
        </xdr:sp>
      </mc:Fallback>
    </mc:AlternateContent>
    <xdr:clientData/>
  </xdr:oneCellAnchor>
  <xdr:oneCellAnchor>
    <xdr:from>
      <xdr:col>8</xdr:col>
      <xdr:colOff>47625</xdr:colOff>
      <xdr:row>4</xdr:row>
      <xdr:rowOff>33337</xdr:rowOff>
    </xdr:from>
    <xdr:ext cx="2141676" cy="358881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3" name="TextBox 2">
              <a:extLst>
                <a:ext uri="{FF2B5EF4-FFF2-40B4-BE49-F238E27FC236}">
                  <a16:creationId xmlns:a16="http://schemas.microsoft.com/office/drawing/2014/main" id="{00000000-0008-0000-1300-000003000000}"/>
                </a:ext>
              </a:extLst>
            </xdr:cNvPr>
            <xdr:cNvSpPr txBox="1"/>
          </xdr:nvSpPr>
          <xdr:spPr>
            <a:xfrm>
              <a:off x="5734050" y="804862"/>
              <a:ext cx="2141676" cy="358881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n-US" sz="1100" b="0" i="1">
                        <a:latin typeface="Cambria Math" panose="02040503050406030204" pitchFamily="18" charset="0"/>
                      </a:rPr>
                      <m:t>𝐼</m:t>
                    </m:r>
                    <m:d>
                      <m:dPr>
                        <m:ctrlPr>
                          <a:rPr lang="en-US" sz="1100" b="0" i="1">
                            <a:latin typeface="Cambria Math" panose="02040503050406030204" pitchFamily="18" charset="0"/>
                          </a:rPr>
                        </m:ctrlPr>
                      </m:dPr>
                      <m:e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𝐿</m:t>
                        </m:r>
                      </m:e>
                    </m:d>
                    <m:r>
                      <a:rPr lang="en-US" sz="1100" b="0" i="1">
                        <a:latin typeface="Cambria Math" panose="02040503050406030204" pitchFamily="18" charset="0"/>
                      </a:rPr>
                      <m:t>=</m:t>
                    </m:r>
                    <m:f>
                      <m:fPr>
                        <m:ctrlPr>
                          <a:rPr lang="en-US" sz="1100" b="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d>
                          <m:dPr>
                            <m:ctrlPr>
                              <a:rPr lang="en-US" sz="1100" b="0" i="1">
                                <a:latin typeface="Cambria Math" panose="02040503050406030204" pitchFamily="18" charset="0"/>
                              </a:rPr>
                            </m:ctrlPr>
                          </m:dPr>
                          <m:e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𝐸</m:t>
                            </m:r>
                            <m:d>
                              <m:dPr>
                                <m:begChr m:val="["/>
                                <m:endChr m:val="]"/>
                                <m:ctrlPr>
                                  <a:rPr lang="en-US" sz="1100" b="0" i="1">
                                    <a:latin typeface="Cambria Math" panose="02040503050406030204" pitchFamily="18" charset="0"/>
                                  </a:rPr>
                                </m:ctrlPr>
                              </m:dPr>
                              <m:e>
                                <m:r>
                                  <a:rPr lang="en-US" sz="1100" b="0" i="1">
                                    <a:latin typeface="Cambria Math" panose="02040503050406030204" pitchFamily="18" charset="0"/>
                                  </a:rPr>
                                  <m:t>𝑋</m:t>
                                </m:r>
                                <m:r>
                                  <a:rPr lang="en-US" sz="1100" b="0" i="1">
                                    <a:latin typeface="Cambria Math" panose="02040503050406030204" pitchFamily="18" charset="0"/>
                                  </a:rPr>
                                  <m:t>;</m:t>
                                </m:r>
                                <m:r>
                                  <a:rPr lang="en-US" sz="1100" b="0" i="1">
                                    <a:latin typeface="Cambria Math" panose="02040503050406030204" pitchFamily="18" charset="0"/>
                                  </a:rPr>
                                  <m:t>𝐿</m:t>
                                </m:r>
                              </m:e>
                            </m:d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+</m:t>
                            </m:r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𝜖</m:t>
                            </m:r>
                          </m:e>
                        </m:d>
                        <m:d>
                          <m:dPr>
                            <m:ctrlPr>
                              <a:rPr lang="en-US" sz="1100" b="0" i="1">
                                <a:latin typeface="Cambria Math" panose="02040503050406030204" pitchFamily="18" charset="0"/>
                              </a:rPr>
                            </m:ctrlPr>
                          </m:dPr>
                          <m:e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1+</m:t>
                            </m:r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𝑢</m:t>
                            </m:r>
                          </m:e>
                        </m:d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+</m:t>
                        </m:r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𝜌</m:t>
                        </m:r>
                        <m:d>
                          <m:dPr>
                            <m:ctrlPr>
                              <a:rPr lang="en-US" sz="1100" b="0" i="1">
                                <a:latin typeface="Cambria Math" panose="02040503050406030204" pitchFamily="18" charset="0"/>
                              </a:rPr>
                            </m:ctrlPr>
                          </m:dPr>
                          <m:e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𝐿</m:t>
                            </m:r>
                          </m:e>
                        </m:d>
                      </m:num>
                      <m:den>
                        <m:d>
                          <m:dPr>
                            <m:ctrlPr>
                              <a:rPr lang="en-US" sz="1100" b="0" i="1">
                                <a:latin typeface="Cambria Math" panose="02040503050406030204" pitchFamily="18" charset="0"/>
                              </a:rPr>
                            </m:ctrlPr>
                          </m:dPr>
                          <m:e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𝐸</m:t>
                            </m:r>
                            <m:d>
                              <m:dPr>
                                <m:begChr m:val="["/>
                                <m:endChr m:val="]"/>
                                <m:ctrlPr>
                                  <a:rPr lang="en-US" sz="1100" b="0" i="1">
                                    <a:latin typeface="Cambria Math" panose="02040503050406030204" pitchFamily="18" charset="0"/>
                                  </a:rPr>
                                </m:ctrlPr>
                              </m:dPr>
                              <m:e>
                                <m:r>
                                  <a:rPr lang="en-US" sz="1100" b="0" i="1">
                                    <a:latin typeface="Cambria Math" panose="02040503050406030204" pitchFamily="18" charset="0"/>
                                  </a:rPr>
                                  <m:t>𝑋</m:t>
                                </m:r>
                                <m:r>
                                  <a:rPr lang="en-US" sz="1100" b="0" i="1">
                                    <a:latin typeface="Cambria Math" panose="02040503050406030204" pitchFamily="18" charset="0"/>
                                  </a:rPr>
                                  <m:t>;</m:t>
                                </m:r>
                                <m:r>
                                  <a:rPr lang="en-US" sz="1100" b="0" i="1">
                                    <a:latin typeface="Cambria Math" panose="02040503050406030204" pitchFamily="18" charset="0"/>
                                  </a:rPr>
                                  <m:t>𝑏</m:t>
                                </m:r>
                              </m:e>
                            </m:d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+</m:t>
                            </m:r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𝜖</m:t>
                            </m:r>
                          </m:e>
                        </m:d>
                        <m:d>
                          <m:dPr>
                            <m:ctrlPr>
                              <a:rPr lang="en-US" sz="1100" b="0" i="1">
                                <a:latin typeface="Cambria Math" panose="02040503050406030204" pitchFamily="18" charset="0"/>
                              </a:rPr>
                            </m:ctrlPr>
                          </m:dPr>
                          <m:e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1+</m:t>
                            </m:r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𝑢</m:t>
                            </m:r>
                          </m:e>
                        </m:d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+</m:t>
                        </m:r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𝜌</m:t>
                        </m:r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(</m:t>
                        </m:r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𝑏</m:t>
                        </m:r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)</m:t>
                        </m:r>
                      </m:den>
                    </m:f>
                  </m:oMath>
                </m:oMathPara>
              </a14:m>
              <a:endParaRPr lang="en-GB" sz="1100"/>
            </a:p>
          </xdr:txBody>
        </xdr:sp>
      </mc:Choice>
      <mc:Fallback xmlns="">
        <xdr:sp macro="" textlink="">
          <xdr:nvSpPr>
            <xdr:cNvPr id="3" name="TextBox 2">
              <a:extLst>
                <a:ext uri="{FF2B5EF4-FFF2-40B4-BE49-F238E27FC236}">
                  <a16:creationId xmlns:a16="http://schemas.microsoft.com/office/drawing/2014/main" id="{B303A3AB-C7EB-72DB-FB61-A69F2D0FEBD5}"/>
                </a:ext>
              </a:extLst>
            </xdr:cNvPr>
            <xdr:cNvSpPr txBox="1"/>
          </xdr:nvSpPr>
          <xdr:spPr>
            <a:xfrm>
              <a:off x="5734050" y="804862"/>
              <a:ext cx="2141676" cy="358881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en-US" sz="1100" b="0" i="0">
                  <a:latin typeface="Cambria Math" panose="02040503050406030204" pitchFamily="18" charset="0"/>
                </a:rPr>
                <a:t>𝐼(𝐿)=((𝐸[𝑋;𝐿]+𝜖)(1+𝑢)+𝜌(𝐿))/((𝐸[𝑋;𝑏]+𝜖)(1+𝑢)+𝜌(𝑏))</a:t>
              </a:r>
              <a:endParaRPr lang="en-GB" sz="1100"/>
            </a:p>
          </xdr:txBody>
        </xdr:sp>
      </mc:Fallback>
    </mc:AlternateContent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9</xdr:col>
      <xdr:colOff>19050</xdr:colOff>
      <xdr:row>1</xdr:row>
      <xdr:rowOff>14287</xdr:rowOff>
    </xdr:from>
    <xdr:ext cx="2386551" cy="379912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" name="TextBox 1">
              <a:extLst>
                <a:ext uri="{FF2B5EF4-FFF2-40B4-BE49-F238E27FC236}">
                  <a16:creationId xmlns:a16="http://schemas.microsoft.com/office/drawing/2014/main" id="{00000000-0008-0000-1400-000002000000}"/>
                </a:ext>
              </a:extLst>
            </xdr:cNvPr>
            <xdr:cNvSpPr txBox="1"/>
          </xdr:nvSpPr>
          <xdr:spPr>
            <a:xfrm>
              <a:off x="6648450" y="214312"/>
              <a:ext cx="2386551" cy="379912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n-US" sz="1100" b="0" i="1">
                        <a:latin typeface="Cambria Math" panose="02040503050406030204" pitchFamily="18" charset="0"/>
                      </a:rPr>
                      <m:t>𝑀𝑜𝑑</m:t>
                    </m:r>
                    <m:r>
                      <a:rPr lang="en-US" sz="1100" b="0" i="1">
                        <a:latin typeface="Cambria Math" panose="02040503050406030204" pitchFamily="18" charset="0"/>
                      </a:rPr>
                      <m:t>. =</m:t>
                    </m:r>
                    <m:f>
                      <m:fPr>
                        <m:ctrlPr>
                          <a:rPr lang="en-US" sz="1100" b="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sSub>
                          <m:sSubPr>
                            <m:ctrlPr>
                              <a:rPr lang="en-US" sz="1100" b="0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𝐴</m:t>
                            </m:r>
                          </m:e>
                          <m:sub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𝑝</m:t>
                            </m:r>
                          </m:sub>
                        </m:sSub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+</m:t>
                        </m:r>
                        <m:d>
                          <m:dPr>
                            <m:ctrlPr>
                              <a:rPr lang="en-US" sz="1100" b="0" i="1">
                                <a:latin typeface="Cambria Math" panose="02040503050406030204" pitchFamily="18" charset="0"/>
                              </a:rPr>
                            </m:ctrlPr>
                          </m:dPr>
                          <m:e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1−</m:t>
                            </m:r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𝑊</m:t>
                            </m:r>
                          </m:e>
                        </m:d>
                        <m:sSub>
                          <m:sSubPr>
                            <m:ctrlPr>
                              <a:rPr lang="en-US" sz="1100" b="0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𝐸</m:t>
                            </m:r>
                          </m:e>
                          <m:sub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𝑒</m:t>
                            </m:r>
                          </m:sub>
                        </m:sSub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+</m:t>
                        </m:r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𝐵</m:t>
                        </m:r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+</m:t>
                        </m:r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𝑊</m:t>
                        </m:r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⋅</m:t>
                        </m:r>
                        <m:sSub>
                          <m:sSubPr>
                            <m:ctrlPr>
                              <a:rPr lang="en-US" sz="1100" b="0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𝐴</m:t>
                            </m:r>
                          </m:e>
                          <m:sub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𝑒</m:t>
                            </m:r>
                          </m:sub>
                        </m:sSub>
                      </m:num>
                      <m:den>
                        <m:sSub>
                          <m:sSubPr>
                            <m:ctrlPr>
                              <a:rPr lang="en-US" sz="1100" b="0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𝐸</m:t>
                            </m:r>
                          </m:e>
                          <m:sub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𝑝</m:t>
                            </m:r>
                          </m:sub>
                        </m:sSub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+</m:t>
                        </m:r>
                        <m:d>
                          <m:dPr>
                            <m:ctrlPr>
                              <a:rPr lang="en-US" sz="1100" b="0" i="1">
                                <a:latin typeface="Cambria Math" panose="02040503050406030204" pitchFamily="18" charset="0"/>
                              </a:rPr>
                            </m:ctrlPr>
                          </m:dPr>
                          <m:e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1−</m:t>
                            </m:r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𝑊</m:t>
                            </m:r>
                          </m:e>
                        </m:d>
                        <m:sSub>
                          <m:sSubPr>
                            <m:ctrlPr>
                              <a:rPr lang="en-US" sz="1100" b="0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𝐸</m:t>
                            </m:r>
                          </m:e>
                          <m:sub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𝑒</m:t>
                            </m:r>
                          </m:sub>
                        </m:sSub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+</m:t>
                        </m:r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𝐵</m:t>
                        </m:r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+</m:t>
                        </m:r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𝑊</m:t>
                        </m:r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⋅</m:t>
                        </m:r>
                        <m:sSub>
                          <m:sSubPr>
                            <m:ctrlPr>
                              <a:rPr lang="en-US" sz="1100" b="0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𝐸</m:t>
                            </m:r>
                          </m:e>
                          <m:sub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𝑒</m:t>
                            </m:r>
                          </m:sub>
                        </m:sSub>
                      </m:den>
                    </m:f>
                  </m:oMath>
                </m:oMathPara>
              </a14:m>
              <a:endParaRPr lang="en-GB" sz="1100"/>
            </a:p>
          </xdr:txBody>
        </xdr:sp>
      </mc:Choice>
      <mc:Fallback xmlns="">
        <xdr:sp macro="" textlink="">
          <xdr:nvSpPr>
            <xdr:cNvPr id="2" name="TextBox 1">
              <a:extLst>
                <a:ext uri="{FF2B5EF4-FFF2-40B4-BE49-F238E27FC236}">
                  <a16:creationId xmlns:a16="http://schemas.microsoft.com/office/drawing/2014/main" id="{3A6D3BE3-E2A8-8D79-EAF2-282B7CEFA6E7}"/>
                </a:ext>
              </a:extLst>
            </xdr:cNvPr>
            <xdr:cNvSpPr txBox="1"/>
          </xdr:nvSpPr>
          <xdr:spPr>
            <a:xfrm>
              <a:off x="6648450" y="214312"/>
              <a:ext cx="2386551" cy="379912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en-US" sz="1100" b="0" i="0">
                  <a:latin typeface="Cambria Math" panose="02040503050406030204" pitchFamily="18" charset="0"/>
                </a:rPr>
                <a:t>𝑀𝑜𝑑. =(𝐴_𝑝+(1−𝑊) 𝐸_𝑒+𝐵+𝑊⋅𝐴_𝑒)/(𝐸_𝑝+(1−𝑊) 𝐸_𝑒+𝐵+𝑊⋅𝐸_𝑒 )</a:t>
              </a:r>
              <a:endParaRPr lang="en-GB" sz="1100"/>
            </a:p>
          </xdr:txBody>
        </xdr:sp>
      </mc:Fallback>
    </mc:AlternateContent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oneCellAnchor>
    <xdr:from>
      <xdr:col>12</xdr:col>
      <xdr:colOff>600075</xdr:colOff>
      <xdr:row>0</xdr:row>
      <xdr:rowOff>166687</xdr:rowOff>
    </xdr:from>
    <xdr:ext cx="1156919" cy="353174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" name="TextBox 1">
              <a:extLst>
                <a:ext uri="{FF2B5EF4-FFF2-40B4-BE49-F238E27FC236}">
                  <a16:creationId xmlns:a16="http://schemas.microsoft.com/office/drawing/2014/main" id="{00000000-0008-0000-1500-000002000000}"/>
                </a:ext>
              </a:extLst>
            </xdr:cNvPr>
            <xdr:cNvSpPr txBox="1"/>
          </xdr:nvSpPr>
          <xdr:spPr>
            <a:xfrm>
              <a:off x="7677150" y="166687"/>
              <a:ext cx="1156919" cy="353174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f>
                      <m:fPr>
                        <m:ctrlPr>
                          <a:rPr lang="en-US" sz="1100" b="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𝐸</m:t>
                        </m:r>
                        <m:d>
                          <m:dPr>
                            <m:begChr m:val="["/>
                            <m:endChr m:val="]"/>
                            <m:ctrlPr>
                              <a:rPr lang="en-US" sz="1100" b="0" i="1">
                                <a:latin typeface="Cambria Math" panose="02040503050406030204" pitchFamily="18" charset="0"/>
                              </a:rPr>
                            </m:ctrlPr>
                          </m:dPr>
                          <m:e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𝑋</m:t>
                            </m:r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;</m:t>
                            </m:r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𝑑</m:t>
                            </m:r>
                          </m:e>
                        </m:d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+</m:t>
                        </m:r>
                        <m:sSub>
                          <m:sSubPr>
                            <m:ctrlPr>
                              <a:rPr lang="en-US" sz="1100" b="0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𝐹</m:t>
                            </m:r>
                          </m:e>
                          <m:sub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𝑋</m:t>
                            </m:r>
                          </m:sub>
                        </m:sSub>
                        <m:d>
                          <m:dPr>
                            <m:ctrlPr>
                              <a:rPr lang="en-US" sz="1100" b="0" i="1">
                                <a:latin typeface="Cambria Math" panose="02040503050406030204" pitchFamily="18" charset="0"/>
                              </a:rPr>
                            </m:ctrlPr>
                          </m:dPr>
                          <m:e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𝑑</m:t>
                            </m:r>
                          </m:e>
                        </m:d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⋅</m:t>
                        </m:r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𝜖</m:t>
                        </m:r>
                      </m:num>
                      <m:den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𝐸</m:t>
                        </m:r>
                        <m:d>
                          <m:dPr>
                            <m:begChr m:val="["/>
                            <m:endChr m:val="]"/>
                            <m:ctrlPr>
                              <a:rPr lang="en-US" sz="1100" b="0" i="1">
                                <a:latin typeface="Cambria Math" panose="02040503050406030204" pitchFamily="18" charset="0"/>
                              </a:rPr>
                            </m:ctrlPr>
                          </m:dPr>
                          <m:e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𝑋</m:t>
                            </m:r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;</m:t>
                            </m:r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𝑏</m:t>
                            </m:r>
                          </m:e>
                        </m:d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+</m:t>
                        </m:r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𝜖</m:t>
                        </m:r>
                      </m:den>
                    </m:f>
                  </m:oMath>
                </m:oMathPara>
              </a14:m>
              <a:endParaRPr lang="en-GB" sz="1100"/>
            </a:p>
          </xdr:txBody>
        </xdr:sp>
      </mc:Choice>
      <mc:Fallback xmlns="">
        <xdr:sp macro="" textlink="">
          <xdr:nvSpPr>
            <xdr:cNvPr id="2" name="TextBox 1">
              <a:extLst>
                <a:ext uri="{FF2B5EF4-FFF2-40B4-BE49-F238E27FC236}">
                  <a16:creationId xmlns:a16="http://schemas.microsoft.com/office/drawing/2014/main" id="{0E4048D1-9DAA-18A3-81FD-0AE71DEC695B}"/>
                </a:ext>
              </a:extLst>
            </xdr:cNvPr>
            <xdr:cNvSpPr txBox="1"/>
          </xdr:nvSpPr>
          <xdr:spPr>
            <a:xfrm>
              <a:off x="7677150" y="166687"/>
              <a:ext cx="1156919" cy="353174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en-US" sz="1100" b="0" i="0">
                  <a:latin typeface="Cambria Math" panose="02040503050406030204" pitchFamily="18" charset="0"/>
                </a:rPr>
                <a:t>(𝐸[𝑋;𝑑]+𝐹_𝑋 (𝑑)⋅𝜖)/(𝐸[𝑋;𝑏]+𝜖)</a:t>
              </a:r>
              <a:endParaRPr lang="en-GB" sz="1100"/>
            </a:p>
          </xdr:txBody>
        </xdr:sp>
      </mc:Fallback>
    </mc:AlternateContent>
    <xdr:clientData/>
  </xdr:oneCellAnchor>
  <xdr:oneCellAnchor>
    <xdr:from>
      <xdr:col>11</xdr:col>
      <xdr:colOff>514350</xdr:colOff>
      <xdr:row>4</xdr:row>
      <xdr:rowOff>138112</xdr:rowOff>
    </xdr:from>
    <xdr:ext cx="2836802" cy="39337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3" name="TextBox 2">
              <a:extLst>
                <a:ext uri="{FF2B5EF4-FFF2-40B4-BE49-F238E27FC236}">
                  <a16:creationId xmlns:a16="http://schemas.microsoft.com/office/drawing/2014/main" id="{00000000-0008-0000-1500-000003000000}"/>
                </a:ext>
              </a:extLst>
            </xdr:cNvPr>
            <xdr:cNvSpPr txBox="1"/>
          </xdr:nvSpPr>
          <xdr:spPr>
            <a:xfrm>
              <a:off x="7096125" y="947737"/>
              <a:ext cx="2836802" cy="39337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d>
                      <m:dPr>
                        <m:ctrlPr>
                          <a:rPr lang="en-US" sz="1100" b="0" i="1">
                            <a:latin typeface="Cambria Math" panose="02040503050406030204" pitchFamily="18" charset="0"/>
                          </a:rPr>
                        </m:ctrlPr>
                      </m:dPr>
                      <m:e>
                        <m:f>
                          <m:fPr>
                            <m:ctrlPr>
                              <a:rPr lang="en-US" sz="1100" b="0" i="1">
                                <a:latin typeface="Cambria Math" panose="02040503050406030204" pitchFamily="18" charset="0"/>
                              </a:rPr>
                            </m:ctrlPr>
                          </m:fPr>
                          <m:num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𝐸</m:t>
                            </m:r>
                            <m:d>
                              <m:dPr>
                                <m:begChr m:val="["/>
                                <m:endChr m:val="]"/>
                                <m:ctrlPr>
                                  <a:rPr lang="en-US" sz="1100" b="0" i="1">
                                    <a:latin typeface="Cambria Math" panose="02040503050406030204" pitchFamily="18" charset="0"/>
                                  </a:rPr>
                                </m:ctrlPr>
                              </m:dPr>
                              <m:e>
                                <m:r>
                                  <a:rPr lang="en-US" sz="1100" b="0" i="1">
                                    <a:latin typeface="Cambria Math" panose="02040503050406030204" pitchFamily="18" charset="0"/>
                                  </a:rPr>
                                  <m:t>𝑋</m:t>
                                </m:r>
                                <m:r>
                                  <a:rPr lang="en-US" sz="1100" b="0" i="1">
                                    <a:latin typeface="Cambria Math" panose="02040503050406030204" pitchFamily="18" charset="0"/>
                                  </a:rPr>
                                  <m:t>;</m:t>
                                </m:r>
                                <m:r>
                                  <a:rPr lang="en-US" sz="1100" b="0" i="1">
                                    <a:latin typeface="Cambria Math" panose="02040503050406030204" pitchFamily="18" charset="0"/>
                                  </a:rPr>
                                  <m:t>𝑏</m:t>
                                </m:r>
                              </m:e>
                            </m:d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−</m:t>
                            </m:r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𝐸</m:t>
                            </m:r>
                            <m:d>
                              <m:dPr>
                                <m:begChr m:val="["/>
                                <m:endChr m:val="]"/>
                                <m:ctrlPr>
                                  <a:rPr lang="en-US" sz="1100" b="0" i="1">
                                    <a:latin typeface="Cambria Math" panose="02040503050406030204" pitchFamily="18" charset="0"/>
                                  </a:rPr>
                                </m:ctrlPr>
                              </m:dPr>
                              <m:e>
                                <m:r>
                                  <a:rPr lang="en-US" sz="1100" b="0" i="1">
                                    <a:latin typeface="Cambria Math" panose="02040503050406030204" pitchFamily="18" charset="0"/>
                                  </a:rPr>
                                  <m:t>𝑋</m:t>
                                </m:r>
                                <m:r>
                                  <a:rPr lang="en-US" sz="1100" b="0" i="1">
                                    <a:latin typeface="Cambria Math" panose="02040503050406030204" pitchFamily="18" charset="0"/>
                                  </a:rPr>
                                  <m:t>;</m:t>
                                </m:r>
                                <m:r>
                                  <a:rPr lang="en-US" sz="1100" b="0" i="1">
                                    <a:latin typeface="Cambria Math" panose="02040503050406030204" pitchFamily="18" charset="0"/>
                                  </a:rPr>
                                  <m:t>𝑑</m:t>
                                </m:r>
                              </m:e>
                            </m:d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+</m:t>
                            </m:r>
                            <m:d>
                              <m:dPr>
                                <m:ctrlPr>
                                  <a:rPr lang="en-US" sz="1100" b="0" i="1">
                                    <a:latin typeface="Cambria Math" panose="02040503050406030204" pitchFamily="18" charset="0"/>
                                  </a:rPr>
                                </m:ctrlPr>
                              </m:dPr>
                              <m:e>
                                <m:r>
                                  <a:rPr lang="en-US" sz="1100" b="0" i="1">
                                    <a:latin typeface="Cambria Math" panose="02040503050406030204" pitchFamily="18" charset="0"/>
                                  </a:rPr>
                                  <m:t>1−</m:t>
                                </m:r>
                                <m:sSub>
                                  <m:sSubPr>
                                    <m:ctrlPr>
                                      <a:rPr lang="en-US" sz="1100" b="0" i="1">
                                        <a:latin typeface="Cambria Math" panose="02040503050406030204" pitchFamily="18" charset="0"/>
                                      </a:rPr>
                                    </m:ctrlPr>
                                  </m:sSubPr>
                                  <m:e>
                                    <m:r>
                                      <a:rPr lang="en-US" sz="1100" b="0" i="1">
                                        <a:latin typeface="Cambria Math" panose="02040503050406030204" pitchFamily="18" charset="0"/>
                                      </a:rPr>
                                      <m:t>𝐹</m:t>
                                    </m:r>
                                  </m:e>
                                  <m:sub>
                                    <m:r>
                                      <a:rPr lang="en-US" sz="1100" b="0" i="1">
                                        <a:latin typeface="Cambria Math" panose="02040503050406030204" pitchFamily="18" charset="0"/>
                                      </a:rPr>
                                      <m:t>𝑋</m:t>
                                    </m:r>
                                  </m:sub>
                                </m:sSub>
                                <m:d>
                                  <m:dPr>
                                    <m:ctrlPr>
                                      <a:rPr lang="en-US" sz="1100" b="0" i="1">
                                        <a:latin typeface="Cambria Math" panose="02040503050406030204" pitchFamily="18" charset="0"/>
                                      </a:rPr>
                                    </m:ctrlPr>
                                  </m:dPr>
                                  <m:e>
                                    <m:r>
                                      <a:rPr lang="en-US" sz="1100" b="0" i="1">
                                        <a:latin typeface="Cambria Math" panose="02040503050406030204" pitchFamily="18" charset="0"/>
                                      </a:rPr>
                                      <m:t>𝑑</m:t>
                                    </m:r>
                                  </m:e>
                                </m:d>
                              </m:e>
                            </m:d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⋅</m:t>
                            </m:r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𝜖</m:t>
                            </m:r>
                          </m:num>
                          <m:den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1−</m:t>
                            </m:r>
                            <m:sSub>
                              <m:sSubPr>
                                <m:ctrlPr>
                                  <a:rPr lang="en-US" sz="1100" b="0" i="1">
                                    <a:latin typeface="Cambria Math" panose="02040503050406030204" pitchFamily="18" charset="0"/>
                                  </a:rPr>
                                </m:ctrlPr>
                              </m:sSubPr>
                              <m:e>
                                <m:r>
                                  <a:rPr lang="en-US" sz="1100" b="0" i="1">
                                    <a:latin typeface="Cambria Math" panose="02040503050406030204" pitchFamily="18" charset="0"/>
                                  </a:rPr>
                                  <m:t>𝐹</m:t>
                                </m:r>
                              </m:e>
                              <m:sub>
                                <m:r>
                                  <a:rPr lang="en-US" sz="1100" b="0" i="1">
                                    <a:latin typeface="Cambria Math" panose="02040503050406030204" pitchFamily="18" charset="0"/>
                                  </a:rPr>
                                  <m:t>𝑋</m:t>
                                </m:r>
                              </m:sub>
                            </m:sSub>
                            <m:d>
                              <m:dPr>
                                <m:ctrlPr>
                                  <a:rPr lang="en-US" sz="1100" b="0" i="1">
                                    <a:latin typeface="Cambria Math" panose="02040503050406030204" pitchFamily="18" charset="0"/>
                                  </a:rPr>
                                </m:ctrlPr>
                              </m:dPr>
                              <m:e>
                                <m:r>
                                  <a:rPr lang="en-US" sz="1100" b="0" i="1">
                                    <a:latin typeface="Cambria Math" panose="02040503050406030204" pitchFamily="18" charset="0"/>
                                  </a:rPr>
                                  <m:t>𝑑</m:t>
                                </m:r>
                              </m:e>
                            </m:d>
                          </m:den>
                        </m:f>
                      </m:e>
                    </m:d>
                    <m:r>
                      <a:rPr lang="en-US" sz="1100" b="0" i="1">
                        <a:latin typeface="Cambria Math" panose="02040503050406030204" pitchFamily="18" charset="0"/>
                      </a:rPr>
                      <m:t>⋅</m:t>
                    </m:r>
                    <m:d>
                      <m:dPr>
                        <m:ctrlPr>
                          <a:rPr lang="en-US" sz="1100" b="0" i="1">
                            <a:latin typeface="Cambria Math" panose="02040503050406030204" pitchFamily="18" charset="0"/>
                          </a:rPr>
                        </m:ctrlPr>
                      </m:dPr>
                      <m:e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1+</m:t>
                        </m:r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𝑢</m:t>
                        </m:r>
                      </m:e>
                    </m:d>
                  </m:oMath>
                </m:oMathPara>
              </a14:m>
              <a:endParaRPr lang="en-GB" sz="1100"/>
            </a:p>
          </xdr:txBody>
        </xdr:sp>
      </mc:Choice>
      <mc:Fallback xmlns="">
        <xdr:sp macro="" textlink="">
          <xdr:nvSpPr>
            <xdr:cNvPr id="3" name="TextBox 2">
              <a:extLst>
                <a:ext uri="{FF2B5EF4-FFF2-40B4-BE49-F238E27FC236}">
                  <a16:creationId xmlns:a16="http://schemas.microsoft.com/office/drawing/2014/main" id="{B10FCE63-0DBE-7FE5-4C35-3E400E91BF16}"/>
                </a:ext>
              </a:extLst>
            </xdr:cNvPr>
            <xdr:cNvSpPr txBox="1"/>
          </xdr:nvSpPr>
          <xdr:spPr>
            <a:xfrm>
              <a:off x="7096125" y="947737"/>
              <a:ext cx="2836802" cy="39337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en-US" sz="1100" b="0" i="0">
                  <a:latin typeface="Cambria Math" panose="02040503050406030204" pitchFamily="18" charset="0"/>
                </a:rPr>
                <a:t>((𝐸[𝑋;𝑏]−𝐸[𝑋;𝑑]+(1−𝐹_𝑋 (𝑑))⋅𝜖)/(1−𝐹_𝑋 (𝑑) ))⋅(1+𝑢)</a:t>
              </a:r>
              <a:endParaRPr lang="en-GB" sz="1100"/>
            </a:p>
          </xdr:txBody>
        </xdr:sp>
      </mc:Fallback>
    </mc:AlternateContent>
    <xdr:clientData/>
  </xdr:one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219075</xdr:colOff>
      <xdr:row>28</xdr:row>
      <xdr:rowOff>57150</xdr:rowOff>
    </xdr:from>
    <xdr:to>
      <xdr:col>3</xdr:col>
      <xdr:colOff>438150</xdr:colOff>
      <xdr:row>29</xdr:row>
      <xdr:rowOff>133350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1600-000002000000}"/>
            </a:ext>
          </a:extLst>
        </xdr:cNvPr>
        <xdr:cNvSpPr txBox="1"/>
      </xdr:nvSpPr>
      <xdr:spPr>
        <a:xfrm>
          <a:off x="657225" y="4876800"/>
          <a:ext cx="2152650" cy="276225"/>
        </a:xfrm>
        <a:prstGeom prst="rect">
          <a:avLst/>
        </a:prstGeom>
        <a:ln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GB" sz="1000"/>
            <a:t>General insurer administrative</a:t>
          </a:r>
          <a:r>
            <a:rPr lang="en-GB" sz="1000" baseline="0"/>
            <a:t> costs</a:t>
          </a:r>
          <a:endParaRPr lang="en-GB" sz="1000"/>
        </a:p>
      </xdr:txBody>
    </xdr:sp>
    <xdr:clientData/>
  </xdr:twoCellAnchor>
  <xdr:twoCellAnchor>
    <xdr:from>
      <xdr:col>1</xdr:col>
      <xdr:colOff>219075</xdr:colOff>
      <xdr:row>30</xdr:row>
      <xdr:rowOff>57150</xdr:rowOff>
    </xdr:from>
    <xdr:to>
      <xdr:col>3</xdr:col>
      <xdr:colOff>438150</xdr:colOff>
      <xdr:row>31</xdr:row>
      <xdr:rowOff>142875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00000000-0008-0000-1600-000003000000}"/>
            </a:ext>
          </a:extLst>
        </xdr:cNvPr>
        <xdr:cNvSpPr txBox="1"/>
      </xdr:nvSpPr>
      <xdr:spPr>
        <a:xfrm>
          <a:off x="657225" y="5267325"/>
          <a:ext cx="2152650" cy="276225"/>
        </a:xfrm>
        <a:prstGeom prst="rect">
          <a:avLst/>
        </a:prstGeom>
        <a:ln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GB" sz="1000"/>
            <a:t>Cost of related loss control services</a:t>
          </a:r>
        </a:p>
      </xdr:txBody>
    </xdr:sp>
    <xdr:clientData/>
  </xdr:twoCellAnchor>
  <xdr:twoCellAnchor>
    <xdr:from>
      <xdr:col>1</xdr:col>
      <xdr:colOff>219075</xdr:colOff>
      <xdr:row>32</xdr:row>
      <xdr:rowOff>57150</xdr:rowOff>
    </xdr:from>
    <xdr:to>
      <xdr:col>3</xdr:col>
      <xdr:colOff>438150</xdr:colOff>
      <xdr:row>33</xdr:row>
      <xdr:rowOff>142875</xdr:rowOff>
    </xdr:to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00000000-0008-0000-1600-000004000000}"/>
            </a:ext>
          </a:extLst>
        </xdr:cNvPr>
        <xdr:cNvSpPr txBox="1"/>
      </xdr:nvSpPr>
      <xdr:spPr>
        <a:xfrm>
          <a:off x="657225" y="5648325"/>
          <a:ext cx="2152650" cy="276225"/>
        </a:xfrm>
        <a:prstGeom prst="rect">
          <a:avLst/>
        </a:prstGeom>
        <a:ln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GB" sz="1000"/>
            <a:t>Net aggregate loss factor</a:t>
          </a:r>
        </a:p>
      </xdr:txBody>
    </xdr:sp>
    <xdr:clientData/>
  </xdr:twoCellAnchor>
  <xdr:twoCellAnchor>
    <xdr:from>
      <xdr:col>4</xdr:col>
      <xdr:colOff>38100</xdr:colOff>
      <xdr:row>28</xdr:row>
      <xdr:rowOff>66675</xdr:rowOff>
    </xdr:from>
    <xdr:to>
      <xdr:col>7</xdr:col>
      <xdr:colOff>590550</xdr:colOff>
      <xdr:row>29</xdr:row>
      <xdr:rowOff>142875</xdr:rowOff>
    </xdr:to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00000000-0008-0000-1600-000005000000}"/>
            </a:ext>
          </a:extLst>
        </xdr:cNvPr>
        <xdr:cNvSpPr txBox="1"/>
      </xdr:nvSpPr>
      <xdr:spPr>
        <a:xfrm>
          <a:off x="3019425" y="4886325"/>
          <a:ext cx="2152650" cy="276225"/>
        </a:xfrm>
        <a:prstGeom prst="rect">
          <a:avLst/>
        </a:prstGeom>
        <a:ln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GB" sz="1000"/>
            <a:t>Premium taxes</a:t>
          </a:r>
        </a:p>
      </xdr:txBody>
    </xdr:sp>
    <xdr:clientData/>
  </xdr:twoCellAnchor>
  <xdr:twoCellAnchor>
    <xdr:from>
      <xdr:col>4</xdr:col>
      <xdr:colOff>57150</xdr:colOff>
      <xdr:row>30</xdr:row>
      <xdr:rowOff>57150</xdr:rowOff>
    </xdr:from>
    <xdr:to>
      <xdr:col>7</xdr:col>
      <xdr:colOff>609600</xdr:colOff>
      <xdr:row>31</xdr:row>
      <xdr:rowOff>142875</xdr:rowOff>
    </xdr:to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00000000-0008-0000-1600-000006000000}"/>
            </a:ext>
          </a:extLst>
        </xdr:cNvPr>
        <xdr:cNvSpPr txBox="1"/>
      </xdr:nvSpPr>
      <xdr:spPr>
        <a:xfrm>
          <a:off x="3038475" y="5267325"/>
          <a:ext cx="2152650" cy="276225"/>
        </a:xfrm>
        <a:prstGeom prst="rect">
          <a:avLst/>
        </a:prstGeom>
        <a:ln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GB" sz="1000"/>
            <a:t>Claims adjustment expenses</a:t>
          </a:r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oneCellAnchor>
    <xdr:from>
      <xdr:col>11</xdr:col>
      <xdr:colOff>38100</xdr:colOff>
      <xdr:row>18</xdr:row>
      <xdr:rowOff>106680</xdr:rowOff>
    </xdr:from>
    <xdr:ext cx="2516651" cy="352789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5" name="TextBox 4">
              <a:extLst>
                <a:ext uri="{FF2B5EF4-FFF2-40B4-BE49-F238E27FC236}">
                  <a16:creationId xmlns:a16="http://schemas.microsoft.com/office/drawing/2014/main" id="{594EC808-CBE8-9161-5136-46CE2E287FEB}"/>
                </a:ext>
              </a:extLst>
            </xdr:cNvPr>
            <xdr:cNvSpPr txBox="1"/>
          </xdr:nvSpPr>
          <xdr:spPr>
            <a:xfrm>
              <a:off x="7056120" y="3474720"/>
              <a:ext cx="2516651" cy="352789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n-US" sz="1100" b="0" i="1">
                        <a:latin typeface="Cambria Math" panose="02040503050406030204" pitchFamily="18" charset="0"/>
                      </a:rPr>
                      <m:t>𝑒</m:t>
                    </m:r>
                    <m:d>
                      <m:dPr>
                        <m:ctrlPr>
                          <a:rPr lang="en-US" sz="1100" b="0" i="1">
                            <a:latin typeface="Cambria Math" panose="02040503050406030204" pitchFamily="18" charset="0"/>
                          </a:rPr>
                        </m:ctrlPr>
                      </m:dPr>
                      <m:e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𝑥</m:t>
                        </m:r>
                      </m:e>
                    </m:d>
                    <m:r>
                      <a:rPr lang="en-US" sz="1100" b="0" i="1">
                        <a:latin typeface="Cambria Math" panose="02040503050406030204" pitchFamily="18" charset="0"/>
                      </a:rPr>
                      <m:t>=</m:t>
                    </m:r>
                    <m:f>
                      <m:fPr>
                        <m:ctrlPr>
                          <a:rPr lang="en-US" sz="1100" b="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𝐸</m:t>
                        </m:r>
                        <m:d>
                          <m:dPr>
                            <m:begChr m:val="["/>
                            <m:endChr m:val="]"/>
                            <m:ctrlPr>
                              <a:rPr lang="en-US" sz="1100" b="0" i="1">
                                <a:latin typeface="Cambria Math" panose="02040503050406030204" pitchFamily="18" charset="0"/>
                              </a:rPr>
                            </m:ctrlPr>
                          </m:dPr>
                          <m:e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𝑋</m:t>
                            </m:r>
                          </m:e>
                        </m:d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−</m:t>
                        </m:r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𝐸</m:t>
                        </m:r>
                        <m:d>
                          <m:dPr>
                            <m:begChr m:val="["/>
                            <m:endChr m:val="]"/>
                            <m:ctrlPr>
                              <a:rPr lang="en-US" sz="1100" b="0" i="1">
                                <a:latin typeface="Cambria Math" panose="02040503050406030204" pitchFamily="18" charset="0"/>
                              </a:rPr>
                            </m:ctrlPr>
                          </m:dPr>
                          <m:e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𝑋</m:t>
                            </m:r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;</m:t>
                            </m:r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𝑥</m:t>
                            </m:r>
                          </m:e>
                        </m:d>
                      </m:num>
                      <m:den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𝑆</m:t>
                        </m:r>
                        <m:d>
                          <m:dPr>
                            <m:ctrlPr>
                              <a:rPr lang="en-US" sz="1100" b="0" i="1">
                                <a:latin typeface="Cambria Math" panose="02040503050406030204" pitchFamily="18" charset="0"/>
                              </a:rPr>
                            </m:ctrlPr>
                          </m:dPr>
                          <m:e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𝑥</m:t>
                            </m:r>
                          </m:e>
                        </m:d>
                      </m:den>
                    </m:f>
                    <m:r>
                      <a:rPr lang="en-US" sz="1100" b="0" i="1">
                        <a:latin typeface="Cambria Math" panose="02040503050406030204" pitchFamily="18" charset="0"/>
                      </a:rPr>
                      <m:t>=</m:t>
                    </m:r>
                    <m:f>
                      <m:fPr>
                        <m:ctrlPr>
                          <a:rPr lang="en-US" sz="1100" b="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𝑥</m:t>
                        </m:r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+</m:t>
                        </m:r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𝛽</m:t>
                        </m:r>
                      </m:num>
                      <m:den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𝛼</m:t>
                        </m:r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−1</m:t>
                        </m:r>
                      </m:den>
                    </m:f>
                    <m:r>
                      <a:rPr lang="en-US" sz="1100" b="0" i="1">
                        <a:latin typeface="Cambria Math" panose="02040503050406030204" pitchFamily="18" charset="0"/>
                      </a:rPr>
                      <m:t>=</m:t>
                    </m:r>
                    <m:r>
                      <a:rPr lang="en-US" sz="1100" b="0" i="1">
                        <a:latin typeface="Cambria Math" panose="02040503050406030204" pitchFamily="18" charset="0"/>
                      </a:rPr>
                      <m:t>𝑚𝑥</m:t>
                    </m:r>
                    <m:r>
                      <a:rPr lang="en-US" sz="1100" b="0" i="1">
                        <a:latin typeface="Cambria Math" panose="02040503050406030204" pitchFamily="18" charset="0"/>
                      </a:rPr>
                      <m:t>+</m:t>
                    </m:r>
                    <m:r>
                      <a:rPr lang="en-US" sz="1100" b="0" i="1">
                        <a:latin typeface="Cambria Math" panose="02040503050406030204" pitchFamily="18" charset="0"/>
                      </a:rPr>
                      <m:t>𝑏</m:t>
                    </m:r>
                  </m:oMath>
                </m:oMathPara>
              </a14:m>
              <a:endParaRPr lang="en-GB" sz="1100"/>
            </a:p>
          </xdr:txBody>
        </xdr:sp>
      </mc:Choice>
      <mc:Fallback xmlns="">
        <xdr:sp macro="" textlink="">
          <xdr:nvSpPr>
            <xdr:cNvPr id="5" name="TextBox 4">
              <a:extLst>
                <a:ext uri="{FF2B5EF4-FFF2-40B4-BE49-F238E27FC236}">
                  <a16:creationId xmlns:a16="http://schemas.microsoft.com/office/drawing/2014/main" id="{594EC808-CBE8-9161-5136-46CE2E287FEB}"/>
                </a:ext>
              </a:extLst>
            </xdr:cNvPr>
            <xdr:cNvSpPr txBox="1"/>
          </xdr:nvSpPr>
          <xdr:spPr>
            <a:xfrm>
              <a:off x="7056120" y="3474720"/>
              <a:ext cx="2516651" cy="352789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en-US" sz="1100" b="0" i="0">
                  <a:latin typeface="Cambria Math" panose="02040503050406030204" pitchFamily="18" charset="0"/>
                </a:rPr>
                <a:t>𝑒(𝑥)=(𝐸[𝑋]−𝐸[𝑋;𝑥])/𝑆(𝑥) =(𝑥+𝛽)/(𝛼−1)=𝑚𝑥+𝑏</a:t>
              </a:r>
              <a:endParaRPr lang="en-GB" sz="1100"/>
            </a:p>
          </xdr:txBody>
        </xdr:sp>
      </mc:Fallback>
    </mc:AlternateContent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15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16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17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8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9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20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4BD9DB-C068-4322-AF54-257C50C10B4B}">
  <sheetPr codeName="Sheet1"/>
  <dimension ref="A6:M32"/>
  <sheetViews>
    <sheetView tabSelected="1" workbookViewId="0"/>
  </sheetViews>
  <sheetFormatPr defaultRowHeight="15" x14ac:dyDescent="0.25"/>
  <cols>
    <col min="12" max="12" width="7" customWidth="1"/>
    <col min="13" max="13" width="12.42578125" customWidth="1"/>
  </cols>
  <sheetData>
    <row r="6" spans="1:13" ht="21" x14ac:dyDescent="0.35">
      <c r="A6" s="15" t="s">
        <v>26</v>
      </c>
      <c r="B6" s="15"/>
      <c r="C6" s="15"/>
      <c r="D6" s="15"/>
      <c r="E6" s="15"/>
      <c r="F6" s="15"/>
      <c r="G6" s="15"/>
      <c r="H6" s="15"/>
      <c r="I6" s="15"/>
      <c r="J6" s="15"/>
      <c r="K6" s="15"/>
      <c r="L6" s="15"/>
      <c r="M6" s="15"/>
    </row>
    <row r="8" spans="1:13" x14ac:dyDescent="0.25">
      <c r="A8" t="s">
        <v>27</v>
      </c>
    </row>
    <row r="10" spans="1:13" x14ac:dyDescent="0.25">
      <c r="A10" t="s">
        <v>41</v>
      </c>
    </row>
    <row r="12" spans="1:13" x14ac:dyDescent="0.25">
      <c r="A12" t="s">
        <v>28</v>
      </c>
    </row>
    <row r="14" spans="1:13" x14ac:dyDescent="0.25">
      <c r="A14" t="s">
        <v>29</v>
      </c>
    </row>
    <row r="15" spans="1:13" x14ac:dyDescent="0.25">
      <c r="A15" t="s">
        <v>30</v>
      </c>
    </row>
    <row r="17" spans="1:13" x14ac:dyDescent="0.25">
      <c r="A17" t="s">
        <v>31</v>
      </c>
    </row>
    <row r="18" spans="1:13" x14ac:dyDescent="0.25">
      <c r="A18" t="s">
        <v>35</v>
      </c>
    </row>
    <row r="19" spans="1:13" x14ac:dyDescent="0.25">
      <c r="A19" t="s">
        <v>36</v>
      </c>
    </row>
    <row r="20" spans="1:13" ht="15.75" thickBot="1" x14ac:dyDescent="0.3"/>
    <row r="21" spans="1:13" ht="15.75" thickBot="1" x14ac:dyDescent="0.3">
      <c r="A21" t="s">
        <v>34</v>
      </c>
      <c r="M21" s="4"/>
    </row>
    <row r="23" spans="1:13" x14ac:dyDescent="0.25">
      <c r="A23" t="s">
        <v>42</v>
      </c>
    </row>
    <row r="25" spans="1:13" x14ac:dyDescent="0.25">
      <c r="A25" t="s">
        <v>32</v>
      </c>
    </row>
    <row r="26" spans="1:13" x14ac:dyDescent="0.25">
      <c r="A26" t="s">
        <v>33</v>
      </c>
    </row>
    <row r="28" spans="1:13" x14ac:dyDescent="0.25">
      <c r="A28" t="s">
        <v>44</v>
      </c>
    </row>
    <row r="29" spans="1:13" x14ac:dyDescent="0.25">
      <c r="A29" t="s">
        <v>45</v>
      </c>
      <c r="B29" s="11"/>
      <c r="C29" s="11"/>
      <c r="D29" s="11"/>
      <c r="E29" s="11"/>
      <c r="F29" s="11"/>
      <c r="G29" s="11"/>
      <c r="H29" s="11"/>
      <c r="I29" s="11"/>
      <c r="J29" s="11"/>
      <c r="K29" s="11"/>
      <c r="L29" s="11"/>
      <c r="M29" s="11"/>
    </row>
    <row r="31" spans="1:13" x14ac:dyDescent="0.25">
      <c r="A31" t="s">
        <v>43</v>
      </c>
    </row>
    <row r="32" spans="1:13" ht="15.75" x14ac:dyDescent="0.25">
      <c r="A32" s="16" t="s">
        <v>37</v>
      </c>
      <c r="B32" s="11"/>
      <c r="C32" s="11"/>
      <c r="D32" s="11"/>
      <c r="E32" s="11"/>
      <c r="F32" s="11"/>
      <c r="G32" s="11"/>
      <c r="H32" s="11"/>
      <c r="I32" s="11"/>
      <c r="J32" s="11"/>
      <c r="K32" s="11"/>
      <c r="L32" s="11"/>
      <c r="M32" s="11"/>
    </row>
  </sheetData>
  <sheetProtection formatCells="0" formatColumns="0" formatRows="0"/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5A30FF-1244-41B9-972B-56024645645D}">
  <sheetPr codeName="Sheet9"/>
  <dimension ref="A1:S80"/>
  <sheetViews>
    <sheetView zoomScaleNormal="100" workbookViewId="0"/>
  </sheetViews>
  <sheetFormatPr defaultColWidth="9.140625" defaultRowHeight="15" x14ac:dyDescent="0.25"/>
  <cols>
    <col min="1" max="1" width="6.5703125" style="3" bestFit="1" customWidth="1"/>
    <col min="2" max="2" width="16" style="3" bestFit="1" customWidth="1"/>
    <col min="3" max="3" width="14.5703125" style="3" customWidth="1"/>
    <col min="4" max="4" width="9.28515625" style="3" customWidth="1"/>
    <col min="5" max="5" width="16.28515625" style="3" bestFit="1" customWidth="1"/>
    <col min="6" max="6" width="10.7109375" style="3" customWidth="1"/>
    <col min="7" max="7" width="8.7109375" style="3" customWidth="1"/>
    <col min="8" max="8" width="2.7109375" style="3" customWidth="1"/>
    <col min="9" max="9" width="3.7109375" style="28" customWidth="1"/>
    <col min="10" max="10" width="9.140625" style="3"/>
    <col min="11" max="11" width="9.5703125" style="3" customWidth="1"/>
    <col min="12" max="12" width="9.5703125" style="3" bestFit="1" customWidth="1"/>
    <col min="13" max="13" width="10.7109375" style="3" bestFit="1" customWidth="1"/>
    <col min="14" max="14" width="11.28515625" style="3" bestFit="1" customWidth="1"/>
    <col min="15" max="15" width="12" style="3" bestFit="1" customWidth="1"/>
    <col min="16" max="16" width="16.28515625" style="3" bestFit="1" customWidth="1"/>
    <col min="17" max="17" width="9.140625" style="3"/>
    <col min="18" max="18" width="10" style="3" bestFit="1" customWidth="1"/>
    <col min="19" max="19" width="11.28515625" style="3" bestFit="1" customWidth="1"/>
    <col min="20" max="16384" width="9.140625" style="3"/>
  </cols>
  <sheetData>
    <row r="1" spans="1:19" ht="15.75" x14ac:dyDescent="0.25">
      <c r="A1" s="80">
        <v>7</v>
      </c>
      <c r="B1" s="78" t="s">
        <v>530</v>
      </c>
      <c r="C1" s="81"/>
      <c r="D1" s="81"/>
      <c r="E1" s="81"/>
      <c r="F1" s="81"/>
      <c r="G1" s="81"/>
      <c r="H1" s="77" t="s">
        <v>529</v>
      </c>
      <c r="J1" s="79" t="s">
        <v>38</v>
      </c>
    </row>
    <row r="2" spans="1:19" x14ac:dyDescent="0.25">
      <c r="A2" s="82"/>
      <c r="B2" s="83"/>
      <c r="C2" s="83"/>
      <c r="D2" s="83"/>
      <c r="E2" s="83"/>
      <c r="F2" s="83"/>
      <c r="G2" s="83"/>
      <c r="H2" s="84"/>
      <c r="I2" s="28" t="s">
        <v>63</v>
      </c>
      <c r="J2" s="3" t="s">
        <v>200</v>
      </c>
    </row>
    <row r="3" spans="1:19" x14ac:dyDescent="0.25">
      <c r="A3" s="85" t="s">
        <v>14</v>
      </c>
      <c r="B3" s="83" t="s">
        <v>190</v>
      </c>
      <c r="C3" s="83"/>
      <c r="D3" s="83"/>
      <c r="E3" s="83"/>
      <c r="F3" s="83"/>
      <c r="G3" s="83"/>
      <c r="H3" s="84"/>
      <c r="J3" s="35" t="s">
        <v>206</v>
      </c>
    </row>
    <row r="4" spans="1:19" x14ac:dyDescent="0.25">
      <c r="A4" s="86">
        <f>INDEX('Point Grid'!B:B,MATCH('7'!A1,'Point Grid'!A:A,0))</f>
        <v>3</v>
      </c>
      <c r="B4" s="83"/>
      <c r="C4" s="83"/>
      <c r="D4" s="83"/>
      <c r="E4" s="83"/>
      <c r="F4" s="83"/>
      <c r="G4" s="83"/>
      <c r="H4" s="84"/>
    </row>
    <row r="5" spans="1:19" x14ac:dyDescent="0.25">
      <c r="A5" s="82"/>
      <c r="B5" s="134"/>
      <c r="C5" s="135" t="s">
        <v>197</v>
      </c>
      <c r="D5" s="136"/>
      <c r="E5" s="135" t="s">
        <v>196</v>
      </c>
      <c r="F5" s="136"/>
      <c r="G5" s="83"/>
      <c r="H5" s="84"/>
      <c r="J5" s="54" t="s">
        <v>192</v>
      </c>
    </row>
    <row r="6" spans="1:19" x14ac:dyDescent="0.25">
      <c r="A6" s="82"/>
      <c r="B6" s="116" t="s">
        <v>191</v>
      </c>
      <c r="C6" s="137" t="s">
        <v>192</v>
      </c>
      <c r="D6" s="137" t="s">
        <v>193</v>
      </c>
      <c r="E6" s="137" t="s">
        <v>194</v>
      </c>
      <c r="F6" s="137" t="s">
        <v>195</v>
      </c>
      <c r="G6" s="83"/>
      <c r="H6" s="84"/>
      <c r="J6" s="50" t="s">
        <v>191</v>
      </c>
      <c r="K6" s="43" t="s">
        <v>204</v>
      </c>
      <c r="L6" s="28"/>
      <c r="M6" s="42" t="s">
        <v>203</v>
      </c>
      <c r="N6" s="50" t="s">
        <v>191</v>
      </c>
      <c r="O6" s="191" t="s">
        <v>205</v>
      </c>
      <c r="P6" s="50" t="s">
        <v>194</v>
      </c>
      <c r="Q6" s="191" t="s">
        <v>195</v>
      </c>
      <c r="R6" s="50" t="s">
        <v>201</v>
      </c>
      <c r="S6" s="43" t="s">
        <v>202</v>
      </c>
    </row>
    <row r="7" spans="1:19" x14ac:dyDescent="0.25">
      <c r="A7" s="82"/>
      <c r="B7" s="114">
        <v>1</v>
      </c>
      <c r="C7" s="114">
        <v>0.8</v>
      </c>
      <c r="D7" s="114">
        <v>1.03</v>
      </c>
      <c r="E7" s="131">
        <v>75000</v>
      </c>
      <c r="F7" s="93">
        <v>60000</v>
      </c>
      <c r="G7" s="83"/>
      <c r="H7" s="84"/>
      <c r="J7" s="52">
        <v>1</v>
      </c>
      <c r="K7" s="47">
        <f>_xlfn.RANK.AVG(C7,$C$7:$C$11,1)</f>
        <v>1</v>
      </c>
      <c r="L7" s="28"/>
      <c r="M7" s="46">
        <v>1</v>
      </c>
      <c r="N7" s="52">
        <f>INDEX($J$7:$J$11,MATCH(M7,$K$7:$K$11,0))</f>
        <v>1</v>
      </c>
      <c r="O7" s="28">
        <f>INDEX($C$7:$C$11,MATCH(M7,$K$7:$K$11,0))</f>
        <v>0.8</v>
      </c>
      <c r="P7" s="192">
        <f>INDEX($E$7:$E$11,MATCH(M7,$K$7:$K$11,0))</f>
        <v>75000</v>
      </c>
      <c r="Q7" s="57">
        <f>INDEX($F$7:$F$11,MATCH(M7,$K$7:$K$11,0))</f>
        <v>60000</v>
      </c>
      <c r="R7" s="194">
        <f>Q7/P7</f>
        <v>0.8</v>
      </c>
      <c r="S7" s="187">
        <f>Q7/(P7*O7)</f>
        <v>1</v>
      </c>
    </row>
    <row r="8" spans="1:19" x14ac:dyDescent="0.25">
      <c r="A8" s="82"/>
      <c r="B8" s="114">
        <v>2</v>
      </c>
      <c r="C8" s="114">
        <v>0.85</v>
      </c>
      <c r="D8" s="114">
        <v>0.69</v>
      </c>
      <c r="E8" s="131">
        <v>75000</v>
      </c>
      <c r="F8" s="93">
        <v>58000</v>
      </c>
      <c r="G8" s="83"/>
      <c r="H8" s="84"/>
      <c r="J8" s="52">
        <v>2</v>
      </c>
      <c r="K8" s="47">
        <f t="shared" ref="K8:K11" si="0">_xlfn.RANK.AVG(C8,$C$7:$C$11,1)</f>
        <v>2</v>
      </c>
      <c r="L8" s="28"/>
      <c r="M8" s="46">
        <v>2</v>
      </c>
      <c r="N8" s="52">
        <f t="shared" ref="N8:N11" si="1">INDEX($J$7:$J$11,MATCH(M8,$K$7:$K$11,0))</f>
        <v>2</v>
      </c>
      <c r="O8" s="28">
        <f t="shared" ref="O8:O11" si="2">INDEX($C$7:$C$11,MATCH(M8,$K$7:$K$11,0))</f>
        <v>0.85</v>
      </c>
      <c r="P8" s="192">
        <f t="shared" ref="P8:P11" si="3">INDEX($E$7:$E$11,MATCH(M8,$K$7:$K$11,0))</f>
        <v>75000</v>
      </c>
      <c r="Q8" s="57">
        <f t="shared" ref="Q8:Q11" si="4">INDEX($F$7:$F$11,MATCH(M8,$K$7:$K$11,0))</f>
        <v>58000</v>
      </c>
      <c r="R8" s="194">
        <f t="shared" ref="R8:R11" si="5">Q8/P8</f>
        <v>0.77333333333333332</v>
      </c>
      <c r="S8" s="187">
        <f t="shared" ref="S8:S11" si="6">Q8/(P8*O8)</f>
        <v>0.90980392156862744</v>
      </c>
    </row>
    <row r="9" spans="1:19" x14ac:dyDescent="0.25">
      <c r="A9" s="82"/>
      <c r="B9" s="114">
        <v>3</v>
      </c>
      <c r="C9" s="138">
        <v>0.9</v>
      </c>
      <c r="D9" s="114">
        <v>0.75</v>
      </c>
      <c r="E9" s="131">
        <v>75000</v>
      </c>
      <c r="F9" s="93">
        <v>61000</v>
      </c>
      <c r="G9" s="83"/>
      <c r="H9" s="84"/>
      <c r="J9" s="52">
        <v>3</v>
      </c>
      <c r="K9" s="47">
        <f t="shared" si="0"/>
        <v>3</v>
      </c>
      <c r="L9" s="28"/>
      <c r="M9" s="46">
        <v>3</v>
      </c>
      <c r="N9" s="52">
        <f t="shared" si="1"/>
        <v>3</v>
      </c>
      <c r="O9" s="28">
        <f t="shared" si="2"/>
        <v>0.9</v>
      </c>
      <c r="P9" s="192">
        <f t="shared" si="3"/>
        <v>75000</v>
      </c>
      <c r="Q9" s="57">
        <f t="shared" si="4"/>
        <v>61000</v>
      </c>
      <c r="R9" s="194">
        <f t="shared" si="5"/>
        <v>0.81333333333333335</v>
      </c>
      <c r="S9" s="187">
        <f t="shared" si="6"/>
        <v>0.90370370370370368</v>
      </c>
    </row>
    <row r="10" spans="1:19" x14ac:dyDescent="0.25">
      <c r="A10" s="82"/>
      <c r="B10" s="114">
        <v>4</v>
      </c>
      <c r="C10" s="114">
        <v>0.91</v>
      </c>
      <c r="D10" s="114">
        <v>0.89</v>
      </c>
      <c r="E10" s="131">
        <v>125000</v>
      </c>
      <c r="F10" s="93">
        <v>104000</v>
      </c>
      <c r="G10" s="83"/>
      <c r="H10" s="84"/>
      <c r="J10" s="52">
        <v>4</v>
      </c>
      <c r="K10" s="47">
        <f t="shared" si="0"/>
        <v>4</v>
      </c>
      <c r="L10" s="28"/>
      <c r="M10" s="46">
        <v>4</v>
      </c>
      <c r="N10" s="52">
        <f t="shared" si="1"/>
        <v>4</v>
      </c>
      <c r="O10" s="28">
        <f t="shared" si="2"/>
        <v>0.91</v>
      </c>
      <c r="P10" s="192">
        <f t="shared" si="3"/>
        <v>125000</v>
      </c>
      <c r="Q10" s="57">
        <f t="shared" si="4"/>
        <v>104000</v>
      </c>
      <c r="R10" s="194">
        <f t="shared" si="5"/>
        <v>0.83199999999999996</v>
      </c>
      <c r="S10" s="187">
        <f t="shared" si="6"/>
        <v>0.91428571428571426</v>
      </c>
    </row>
    <row r="11" spans="1:19" x14ac:dyDescent="0.25">
      <c r="A11" s="82"/>
      <c r="B11" s="116">
        <v>5</v>
      </c>
      <c r="C11" s="116">
        <v>0.96</v>
      </c>
      <c r="D11" s="116">
        <v>0.87</v>
      </c>
      <c r="E11" s="133">
        <v>125000</v>
      </c>
      <c r="F11" s="97">
        <v>116000</v>
      </c>
      <c r="G11" s="83"/>
      <c r="H11" s="84"/>
      <c r="J11" s="53">
        <v>5</v>
      </c>
      <c r="K11" s="49">
        <f t="shared" si="0"/>
        <v>5</v>
      </c>
      <c r="L11" s="28"/>
      <c r="M11" s="48">
        <v>5</v>
      </c>
      <c r="N11" s="53">
        <f t="shared" si="1"/>
        <v>5</v>
      </c>
      <c r="O11" s="188">
        <f t="shared" si="2"/>
        <v>0.96</v>
      </c>
      <c r="P11" s="193">
        <f t="shared" si="3"/>
        <v>125000</v>
      </c>
      <c r="Q11" s="189">
        <f t="shared" si="4"/>
        <v>116000</v>
      </c>
      <c r="R11" s="195">
        <f t="shared" si="5"/>
        <v>0.92800000000000005</v>
      </c>
      <c r="S11" s="190">
        <f t="shared" si="6"/>
        <v>0.96666666666666667</v>
      </c>
    </row>
    <row r="12" spans="1:19" x14ac:dyDescent="0.25">
      <c r="A12" s="82"/>
      <c r="B12" s="83"/>
      <c r="C12" s="83"/>
      <c r="D12" s="83"/>
      <c r="E12" s="83"/>
      <c r="F12" s="83"/>
      <c r="G12" s="83"/>
      <c r="H12" s="84"/>
    </row>
    <row r="13" spans="1:19" x14ac:dyDescent="0.25">
      <c r="A13" s="98" t="s">
        <v>2</v>
      </c>
      <c r="B13" s="83" t="s">
        <v>198</v>
      </c>
      <c r="C13" s="83"/>
      <c r="D13" s="83"/>
      <c r="E13" s="83"/>
      <c r="F13" s="83"/>
      <c r="G13" s="83"/>
      <c r="H13" s="84"/>
      <c r="J13" s="54" t="s">
        <v>193</v>
      </c>
    </row>
    <row r="14" spans="1:19" ht="15.75" thickBot="1" x14ac:dyDescent="0.3">
      <c r="A14" s="86">
        <f>INDEX('Point Grid'!$C$8:$I$28,MATCH($A$1,'Point Grid'!$A$8:$A$28,0),MATCH(A13,'Point Grid'!$C$7:$I$7,0))</f>
        <v>2.5</v>
      </c>
      <c r="B14" s="83"/>
      <c r="C14" s="83"/>
      <c r="D14" s="83"/>
      <c r="E14" s="83"/>
      <c r="F14" s="83"/>
      <c r="G14" s="83"/>
      <c r="H14" s="84"/>
      <c r="J14" s="50" t="s">
        <v>191</v>
      </c>
      <c r="K14" s="43" t="s">
        <v>204</v>
      </c>
      <c r="L14" s="28"/>
      <c r="M14" s="42" t="s">
        <v>203</v>
      </c>
      <c r="N14" s="50" t="s">
        <v>191</v>
      </c>
      <c r="O14" s="191" t="s">
        <v>205</v>
      </c>
      <c r="P14" s="50" t="s">
        <v>194</v>
      </c>
      <c r="Q14" s="191" t="s">
        <v>195</v>
      </c>
      <c r="R14" s="50" t="s">
        <v>201</v>
      </c>
      <c r="S14" s="43" t="s">
        <v>202</v>
      </c>
    </row>
    <row r="15" spans="1:19" ht="15.75" thickBot="1" x14ac:dyDescent="0.3">
      <c r="A15" s="4">
        <v>2.5</v>
      </c>
      <c r="B15" s="83"/>
      <c r="C15" s="83"/>
      <c r="D15" s="83"/>
      <c r="E15" s="83"/>
      <c r="F15" s="83"/>
      <c r="G15" s="83"/>
      <c r="H15" s="84"/>
      <c r="J15" s="52">
        <v>1</v>
      </c>
      <c r="K15" s="47">
        <f>_xlfn.RANK.AVG(D7,$D$7:$D$11,1)</f>
        <v>5</v>
      </c>
      <c r="L15" s="56"/>
      <c r="M15" s="46">
        <v>1</v>
      </c>
      <c r="N15" s="52">
        <f>INDEX($J$15:$J$19,MATCH(M15,$K$15:$K$19,0))</f>
        <v>2</v>
      </c>
      <c r="O15" s="28">
        <f>INDEX($D$7:$D$11,MATCH(M15,$K$15:$K$19,0))</f>
        <v>0.69</v>
      </c>
      <c r="P15" s="192">
        <f>INDEX($E$7:$E$11,MATCH(M15,$K$15:$K$19,0))</f>
        <v>75000</v>
      </c>
      <c r="Q15" s="57">
        <f>INDEX($F$7:$F$11,MATCH(M15,$K$15:$K$19,0))</f>
        <v>58000</v>
      </c>
      <c r="R15" s="194">
        <f>Q15/P15</f>
        <v>0.77333333333333332</v>
      </c>
      <c r="S15" s="187">
        <f>Q15/(P15*O15)</f>
        <v>1.1207729468599035</v>
      </c>
    </row>
    <row r="16" spans="1:19" x14ac:dyDescent="0.25">
      <c r="A16" s="82"/>
      <c r="B16" s="83"/>
      <c r="C16" s="83"/>
      <c r="D16" s="83"/>
      <c r="E16" s="83"/>
      <c r="F16" s="83"/>
      <c r="G16" s="83"/>
      <c r="H16" s="84"/>
      <c r="J16" s="52">
        <v>2</v>
      </c>
      <c r="K16" s="47">
        <f t="shared" ref="K16:K19" si="7">_xlfn.RANK.AVG(D8,$D$7:$D$11,1)</f>
        <v>1</v>
      </c>
      <c r="L16" s="56"/>
      <c r="M16" s="46">
        <v>2</v>
      </c>
      <c r="N16" s="52">
        <f t="shared" ref="N16:N19" si="8">INDEX($J$15:$J$19,MATCH(M16,$K$15:$K$19,0))</f>
        <v>3</v>
      </c>
      <c r="O16" s="28">
        <f t="shared" ref="O16:O19" si="9">INDEX($D$7:$D$11,MATCH(M16,$K$15:$K$19,0))</f>
        <v>0.75</v>
      </c>
      <c r="P16" s="192">
        <f t="shared" ref="P16:P19" si="10">INDEX($E$7:$E$11,MATCH(M16,$K$15:$K$19,0))</f>
        <v>75000</v>
      </c>
      <c r="Q16" s="57">
        <f t="shared" ref="Q16:Q19" si="11">INDEX($F$7:$F$11,MATCH(M16,$K$15:$K$19,0))</f>
        <v>61000</v>
      </c>
      <c r="R16" s="194">
        <f t="shared" ref="R16:R19" si="12">Q16/P16</f>
        <v>0.81333333333333335</v>
      </c>
      <c r="S16" s="187">
        <f t="shared" ref="S16:S19" si="13">Q16/(P16*O16)</f>
        <v>1.0844444444444445</v>
      </c>
    </row>
    <row r="17" spans="1:19" x14ac:dyDescent="0.25">
      <c r="A17" s="98" t="s">
        <v>3</v>
      </c>
      <c r="B17" s="83" t="s">
        <v>199</v>
      </c>
      <c r="C17" s="83"/>
      <c r="D17" s="83"/>
      <c r="E17" s="83"/>
      <c r="F17" s="83"/>
      <c r="G17" s="83"/>
      <c r="H17" s="84"/>
      <c r="J17" s="52">
        <v>3</v>
      </c>
      <c r="K17" s="47">
        <f t="shared" si="7"/>
        <v>2</v>
      </c>
      <c r="L17" s="56"/>
      <c r="M17" s="46">
        <v>3</v>
      </c>
      <c r="N17" s="52">
        <f t="shared" si="8"/>
        <v>5</v>
      </c>
      <c r="O17" s="28">
        <f t="shared" si="9"/>
        <v>0.87</v>
      </c>
      <c r="P17" s="192">
        <f t="shared" si="10"/>
        <v>125000</v>
      </c>
      <c r="Q17" s="57">
        <f t="shared" si="11"/>
        <v>116000</v>
      </c>
      <c r="R17" s="194">
        <f t="shared" si="12"/>
        <v>0.92800000000000005</v>
      </c>
      <c r="S17" s="187">
        <f t="shared" si="13"/>
        <v>1.0666666666666667</v>
      </c>
    </row>
    <row r="18" spans="1:19" ht="15.75" thickBot="1" x14ac:dyDescent="0.3">
      <c r="A18" s="86">
        <f>INDEX('Point Grid'!$C$8:$I$28,MATCH($A$1,'Point Grid'!$A$8:$A$28,0),MATCH(A17,'Point Grid'!$C$7:$I$7,0))</f>
        <v>0.5</v>
      </c>
      <c r="B18" s="83"/>
      <c r="C18" s="83"/>
      <c r="D18" s="83"/>
      <c r="E18" s="83"/>
      <c r="F18" s="83"/>
      <c r="G18" s="83"/>
      <c r="H18" s="84"/>
      <c r="J18" s="52">
        <v>4</v>
      </c>
      <c r="K18" s="47">
        <f t="shared" si="7"/>
        <v>4</v>
      </c>
      <c r="L18" s="56"/>
      <c r="M18" s="46">
        <v>4</v>
      </c>
      <c r="N18" s="52">
        <f t="shared" si="8"/>
        <v>4</v>
      </c>
      <c r="O18" s="28">
        <f t="shared" si="9"/>
        <v>0.89</v>
      </c>
      <c r="P18" s="192">
        <f t="shared" si="10"/>
        <v>125000</v>
      </c>
      <c r="Q18" s="57">
        <f t="shared" si="11"/>
        <v>104000</v>
      </c>
      <c r="R18" s="194">
        <f t="shared" si="12"/>
        <v>0.83199999999999996</v>
      </c>
      <c r="S18" s="187">
        <f t="shared" si="13"/>
        <v>0.93483146067415734</v>
      </c>
    </row>
    <row r="19" spans="1:19" ht="15.75" thickBot="1" x14ac:dyDescent="0.3">
      <c r="A19" s="4">
        <v>0.5</v>
      </c>
      <c r="B19" s="100"/>
      <c r="C19" s="100"/>
      <c r="D19" s="100"/>
      <c r="E19" s="100"/>
      <c r="F19" s="100"/>
      <c r="G19" s="100"/>
      <c r="H19" s="101"/>
      <c r="J19" s="53">
        <v>5</v>
      </c>
      <c r="K19" s="49">
        <f t="shared" si="7"/>
        <v>3</v>
      </c>
      <c r="L19" s="56"/>
      <c r="M19" s="48">
        <v>5</v>
      </c>
      <c r="N19" s="53">
        <f t="shared" si="8"/>
        <v>1</v>
      </c>
      <c r="O19" s="188">
        <f t="shared" si="9"/>
        <v>1.03</v>
      </c>
      <c r="P19" s="193">
        <f t="shared" si="10"/>
        <v>75000</v>
      </c>
      <c r="Q19" s="189">
        <f t="shared" si="11"/>
        <v>60000</v>
      </c>
      <c r="R19" s="195">
        <f t="shared" si="12"/>
        <v>0.8</v>
      </c>
      <c r="S19" s="190">
        <f t="shared" si="13"/>
        <v>0.77669902912621358</v>
      </c>
    </row>
    <row r="20" spans="1:19" x14ac:dyDescent="0.25">
      <c r="I20" s="3"/>
    </row>
    <row r="21" spans="1:19" x14ac:dyDescent="0.25">
      <c r="I21" s="3"/>
      <c r="J21" s="3" t="s">
        <v>210</v>
      </c>
      <c r="M21" s="58">
        <f>MAX(R7:R11)-MIN(R7:R11)</f>
        <v>0.15466666666666673</v>
      </c>
    </row>
    <row r="22" spans="1:19" x14ac:dyDescent="0.25">
      <c r="I22" s="3"/>
      <c r="J22" s="3" t="s">
        <v>209</v>
      </c>
    </row>
    <row r="23" spans="1:19" x14ac:dyDescent="0.25">
      <c r="I23" s="3"/>
      <c r="J23" s="35" t="s">
        <v>211</v>
      </c>
    </row>
    <row r="24" spans="1:19" x14ac:dyDescent="0.25">
      <c r="I24" s="3"/>
      <c r="J24" s="35" t="s">
        <v>212</v>
      </c>
    </row>
    <row r="25" spans="1:19" x14ac:dyDescent="0.25">
      <c r="I25" s="3"/>
    </row>
    <row r="26" spans="1:19" x14ac:dyDescent="0.25">
      <c r="I26" s="3"/>
      <c r="J26" s="3" t="s">
        <v>207</v>
      </c>
      <c r="N26" s="58">
        <f>MAX(S7:S11)-MIN(S7:S11)</f>
        <v>9.6296296296296324E-2</v>
      </c>
    </row>
    <row r="27" spans="1:19" x14ac:dyDescent="0.25">
      <c r="I27" s="3"/>
      <c r="J27" s="3" t="s">
        <v>208</v>
      </c>
      <c r="N27" s="58">
        <f>MAX(S15:S19)-MIN(S15:S19)</f>
        <v>0.34407391773368989</v>
      </c>
    </row>
    <row r="28" spans="1:19" x14ac:dyDescent="0.25">
      <c r="I28" s="3"/>
    </row>
    <row r="29" spans="1:19" x14ac:dyDescent="0.25">
      <c r="I29" s="3"/>
      <c r="J29" s="3" t="s">
        <v>213</v>
      </c>
    </row>
    <row r="30" spans="1:19" x14ac:dyDescent="0.25">
      <c r="I30" s="3"/>
      <c r="J30" s="3" t="s">
        <v>214</v>
      </c>
    </row>
    <row r="31" spans="1:19" x14ac:dyDescent="0.25">
      <c r="I31" s="3"/>
    </row>
    <row r="32" spans="1:19" x14ac:dyDescent="0.25">
      <c r="I32" s="3" t="s">
        <v>84</v>
      </c>
      <c r="J32" s="3" t="s">
        <v>215</v>
      </c>
    </row>
    <row r="33" spans="9:10" x14ac:dyDescent="0.25">
      <c r="I33" s="3"/>
      <c r="J33" s="3" t="s">
        <v>216</v>
      </c>
    </row>
    <row r="34" spans="9:10" x14ac:dyDescent="0.25">
      <c r="I34" s="3"/>
    </row>
    <row r="35" spans="9:10" x14ac:dyDescent="0.25">
      <c r="I35" s="3"/>
    </row>
    <row r="36" spans="9:10" x14ac:dyDescent="0.25">
      <c r="I36" s="3"/>
    </row>
    <row r="37" spans="9:10" x14ac:dyDescent="0.25">
      <c r="I37" s="3"/>
    </row>
    <row r="38" spans="9:10" x14ac:dyDescent="0.25">
      <c r="I38" s="3"/>
    </row>
    <row r="39" spans="9:10" x14ac:dyDescent="0.25">
      <c r="I39" s="3"/>
    </row>
    <row r="40" spans="9:10" x14ac:dyDescent="0.25">
      <c r="I40" s="3"/>
    </row>
    <row r="41" spans="9:10" x14ac:dyDescent="0.25">
      <c r="I41" s="3"/>
    </row>
    <row r="42" spans="9:10" x14ac:dyDescent="0.25">
      <c r="I42" s="3"/>
    </row>
    <row r="43" spans="9:10" x14ac:dyDescent="0.25">
      <c r="I43" s="3"/>
    </row>
    <row r="44" spans="9:10" x14ac:dyDescent="0.25">
      <c r="I44" s="3"/>
    </row>
    <row r="45" spans="9:10" x14ac:dyDescent="0.25">
      <c r="I45" s="3"/>
    </row>
    <row r="46" spans="9:10" x14ac:dyDescent="0.25">
      <c r="I46" s="3"/>
    </row>
    <row r="47" spans="9:10" x14ac:dyDescent="0.25">
      <c r="I47" s="3"/>
    </row>
    <row r="48" spans="9:10" x14ac:dyDescent="0.25">
      <c r="I48" s="3"/>
    </row>
    <row r="49" s="3" customFormat="1" x14ac:dyDescent="0.25"/>
    <row r="50" s="3" customFormat="1" x14ac:dyDescent="0.25"/>
    <row r="51" s="3" customFormat="1" x14ac:dyDescent="0.25"/>
    <row r="52" s="3" customFormat="1" x14ac:dyDescent="0.25"/>
    <row r="53" s="3" customFormat="1" x14ac:dyDescent="0.25"/>
    <row r="54" s="3" customFormat="1" x14ac:dyDescent="0.25"/>
    <row r="55" s="3" customFormat="1" x14ac:dyDescent="0.25"/>
    <row r="56" s="3" customFormat="1" x14ac:dyDescent="0.25"/>
    <row r="57" s="3" customFormat="1" x14ac:dyDescent="0.25"/>
    <row r="58" s="3" customFormat="1" x14ac:dyDescent="0.25"/>
    <row r="59" s="3" customFormat="1" x14ac:dyDescent="0.25"/>
    <row r="60" s="3" customFormat="1" x14ac:dyDescent="0.25"/>
    <row r="61" s="3" customFormat="1" x14ac:dyDescent="0.25"/>
    <row r="62" s="3" customFormat="1" x14ac:dyDescent="0.25"/>
    <row r="63" s="3" customFormat="1" x14ac:dyDescent="0.25"/>
    <row r="64" s="3" customFormat="1" x14ac:dyDescent="0.25"/>
    <row r="65" s="3" customFormat="1" x14ac:dyDescent="0.25"/>
    <row r="66" s="3" customFormat="1" x14ac:dyDescent="0.25"/>
    <row r="67" s="3" customFormat="1" x14ac:dyDescent="0.25"/>
    <row r="68" s="3" customFormat="1" x14ac:dyDescent="0.25"/>
    <row r="69" s="3" customFormat="1" x14ac:dyDescent="0.25"/>
    <row r="70" s="3" customFormat="1" x14ac:dyDescent="0.25"/>
    <row r="71" s="3" customFormat="1" x14ac:dyDescent="0.25"/>
    <row r="72" s="3" customFormat="1" x14ac:dyDescent="0.25"/>
    <row r="73" s="3" customFormat="1" x14ac:dyDescent="0.25"/>
    <row r="74" s="3" customFormat="1" x14ac:dyDescent="0.25"/>
    <row r="75" s="3" customFormat="1" x14ac:dyDescent="0.25"/>
    <row r="76" s="3" customFormat="1" x14ac:dyDescent="0.25"/>
    <row r="77" s="3" customFormat="1" x14ac:dyDescent="0.25"/>
    <row r="78" s="3" customFormat="1" x14ac:dyDescent="0.25"/>
    <row r="79" s="3" customFormat="1" x14ac:dyDescent="0.25"/>
    <row r="80" s="3" customFormat="1" x14ac:dyDescent="0.25"/>
  </sheetData>
  <sheetProtection formatCells="0" formatColumns="0" formatRows="0"/>
  <sortState xmlns:xlrd2="http://schemas.microsoft.com/office/spreadsheetml/2017/richdata2" ref="B22:E26">
    <sortCondition ref="B21:B26"/>
  </sortState>
  <conditionalFormatting sqref="B1">
    <cfRule type="cellIs" dxfId="50" priority="1" operator="equal">
      <formula>"Incomplete"</formula>
    </cfRule>
    <cfRule type="cellIs" dxfId="49" priority="2" operator="equal">
      <formula>"Flag for Review"</formula>
    </cfRule>
    <cfRule type="cellIs" dxfId="48" priority="3" operator="equal">
      <formula>"Finished"</formula>
    </cfRule>
  </conditionalFormatting>
  <dataValidations count="2">
    <dataValidation type="decimal" allowBlank="1" showInputMessage="1" showErrorMessage="1" sqref="A15 A19" xr:uid="{B0EC8C3E-D841-4642-9598-5FF1DD8D31F4}">
      <formula1>0</formula1>
      <formula2>A14</formula2>
    </dataValidation>
    <dataValidation type="list" allowBlank="1" showInputMessage="1" showErrorMessage="1" sqref="B1" xr:uid="{8DC6A9CD-CF15-4D5B-B04A-16D3C831B9AE}">
      <formula1>"Finished, Flag for Review, Incomplete"</formula1>
    </dataValidation>
  </dataValidations>
  <hyperlinks>
    <hyperlink ref="H1" location="Navigator!A1" display="Navigator" xr:uid="{3FC6E814-2FED-4229-A454-6E9CA67B9E20}"/>
  </hyperlinks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2CBC35-A01B-4CFF-AF2A-24F0425533F6}">
  <sheetPr codeName="Sheet10"/>
  <dimension ref="A1:M36"/>
  <sheetViews>
    <sheetView workbookViewId="0"/>
  </sheetViews>
  <sheetFormatPr defaultColWidth="9.140625" defaultRowHeight="15" x14ac:dyDescent="0.25"/>
  <cols>
    <col min="1" max="1" width="6.5703125" style="3" bestFit="1" customWidth="1"/>
    <col min="2" max="2" width="16" style="3" bestFit="1" customWidth="1"/>
    <col min="3" max="3" width="32.28515625" style="3" customWidth="1"/>
    <col min="4" max="4" width="26.7109375" style="3" customWidth="1"/>
    <col min="5" max="5" width="15.42578125" style="3" customWidth="1"/>
    <col min="6" max="6" width="3.7109375" style="28" customWidth="1"/>
    <col min="7" max="7" width="19.28515625" style="3" bestFit="1" customWidth="1"/>
    <col min="8" max="8" width="10.85546875" style="3" bestFit="1" customWidth="1"/>
    <col min="9" max="9" width="11.5703125" style="3" bestFit="1" customWidth="1"/>
    <col min="10" max="10" width="12" style="3" customWidth="1"/>
    <col min="11" max="12" width="9.140625" style="3"/>
    <col min="13" max="13" width="20.28515625" style="3" bestFit="1" customWidth="1"/>
    <col min="14" max="16384" width="9.140625" style="3"/>
  </cols>
  <sheetData>
    <row r="1" spans="1:13" ht="15.75" x14ac:dyDescent="0.25">
      <c r="A1" s="80">
        <v>8</v>
      </c>
      <c r="B1" s="78" t="s">
        <v>530</v>
      </c>
      <c r="C1" s="81"/>
      <c r="D1" s="81"/>
      <c r="E1" s="77" t="s">
        <v>529</v>
      </c>
      <c r="G1" s="79" t="s">
        <v>38</v>
      </c>
    </row>
    <row r="2" spans="1:13" x14ac:dyDescent="0.25">
      <c r="A2" s="82"/>
      <c r="B2" s="83"/>
      <c r="C2" s="83"/>
      <c r="D2" s="83"/>
      <c r="E2" s="84"/>
      <c r="F2" s="28" t="s">
        <v>63</v>
      </c>
      <c r="G2" s="3" t="s">
        <v>225</v>
      </c>
    </row>
    <row r="3" spans="1:13" x14ac:dyDescent="0.25">
      <c r="A3" s="85" t="s">
        <v>14</v>
      </c>
      <c r="B3" s="83" t="s">
        <v>217</v>
      </c>
      <c r="C3" s="83"/>
      <c r="D3" s="83"/>
      <c r="E3" s="84"/>
      <c r="G3" s="63">
        <f>B22/((1+B27)^2)</f>
        <v>200012.16073937298</v>
      </c>
    </row>
    <row r="4" spans="1:13" ht="30" x14ac:dyDescent="0.25">
      <c r="A4" s="86">
        <f>INDEX('Point Grid'!B:B,MATCH('8'!A1,'Point Grid'!A:A,0))</f>
        <v>3.5</v>
      </c>
      <c r="B4" s="108" t="s">
        <v>218</v>
      </c>
      <c r="C4" s="109" t="s">
        <v>219</v>
      </c>
      <c r="D4" s="89" t="s">
        <v>220</v>
      </c>
      <c r="E4" s="84"/>
      <c r="G4" s="3" t="s">
        <v>227</v>
      </c>
    </row>
    <row r="5" spans="1:13" x14ac:dyDescent="0.25">
      <c r="A5" s="82"/>
      <c r="B5" s="139">
        <v>100000</v>
      </c>
      <c r="C5" s="140">
        <v>0.67300000000000004</v>
      </c>
      <c r="D5" s="141">
        <v>48000</v>
      </c>
      <c r="E5" s="84"/>
      <c r="G5" s="3" t="s">
        <v>246</v>
      </c>
    </row>
    <row r="6" spans="1:13" x14ac:dyDescent="0.25">
      <c r="A6" s="82"/>
      <c r="B6" s="139">
        <v>125000</v>
      </c>
      <c r="C6" s="140">
        <v>0.68899999999999995</v>
      </c>
      <c r="D6" s="141">
        <v>59000</v>
      </c>
      <c r="E6" s="84"/>
      <c r="G6" s="3" t="s">
        <v>247</v>
      </c>
    </row>
    <row r="7" spans="1:13" x14ac:dyDescent="0.25">
      <c r="A7" s="82"/>
      <c r="B7" s="139">
        <v>150000</v>
      </c>
      <c r="C7" s="140">
        <v>0.71199999999999997</v>
      </c>
      <c r="D7" s="141">
        <v>63500</v>
      </c>
      <c r="E7" s="84"/>
    </row>
    <row r="8" spans="1:13" x14ac:dyDescent="0.25">
      <c r="A8" s="82"/>
      <c r="B8" s="139">
        <v>175000</v>
      </c>
      <c r="C8" s="140">
        <v>0.71199999999999997</v>
      </c>
      <c r="D8" s="141">
        <v>68000</v>
      </c>
      <c r="E8" s="84"/>
      <c r="G8" s="3" t="s">
        <v>228</v>
      </c>
    </row>
    <row r="9" spans="1:13" x14ac:dyDescent="0.25">
      <c r="A9" s="82"/>
      <c r="B9" s="139">
        <v>200000</v>
      </c>
      <c r="C9" s="140">
        <v>0.81799999999999995</v>
      </c>
      <c r="D9" s="141">
        <v>73500</v>
      </c>
      <c r="E9" s="84"/>
      <c r="G9" s="3" t="s">
        <v>229</v>
      </c>
      <c r="I9" s="60">
        <f>1-C9</f>
        <v>0.18200000000000005</v>
      </c>
    </row>
    <row r="10" spans="1:13" x14ac:dyDescent="0.25">
      <c r="A10" s="82"/>
      <c r="B10" s="139">
        <v>225000</v>
      </c>
      <c r="C10" s="140">
        <v>0.81899999999999995</v>
      </c>
      <c r="D10" s="141">
        <v>90500</v>
      </c>
      <c r="E10" s="84"/>
    </row>
    <row r="11" spans="1:13" x14ac:dyDescent="0.25">
      <c r="A11" s="82"/>
      <c r="B11" s="139">
        <v>250000</v>
      </c>
      <c r="C11" s="140">
        <v>0.86399999999999999</v>
      </c>
      <c r="D11" s="141">
        <v>120000</v>
      </c>
      <c r="E11" s="84"/>
      <c r="G11" s="3" t="s">
        <v>230</v>
      </c>
      <c r="M11" s="62"/>
    </row>
    <row r="12" spans="1:13" x14ac:dyDescent="0.25">
      <c r="A12" s="82"/>
      <c r="B12" s="139">
        <v>300000</v>
      </c>
      <c r="C12" s="140">
        <v>0.88400000000000001</v>
      </c>
      <c r="D12" s="141">
        <v>123000</v>
      </c>
      <c r="E12" s="84"/>
      <c r="G12" s="3" t="s">
        <v>231</v>
      </c>
    </row>
    <row r="13" spans="1:13" x14ac:dyDescent="0.25">
      <c r="A13" s="82"/>
      <c r="B13" s="139">
        <v>400000</v>
      </c>
      <c r="C13" s="140">
        <v>0.89500000000000002</v>
      </c>
      <c r="D13" s="141">
        <v>124000</v>
      </c>
      <c r="E13" s="84"/>
      <c r="G13" s="60">
        <f>I9/(1-C11)-1</f>
        <v>0.33823529411764741</v>
      </c>
    </row>
    <row r="14" spans="1:13" x14ac:dyDescent="0.25">
      <c r="A14" s="82"/>
      <c r="B14" s="139">
        <v>500000</v>
      </c>
      <c r="C14" s="140">
        <v>0.90300000000000002</v>
      </c>
      <c r="D14" s="141">
        <v>130500</v>
      </c>
      <c r="E14" s="84"/>
    </row>
    <row r="15" spans="1:13" x14ac:dyDescent="0.25">
      <c r="A15" s="82"/>
      <c r="B15" s="139">
        <v>750000</v>
      </c>
      <c r="C15" s="140">
        <v>0.90300000000000002</v>
      </c>
      <c r="D15" s="141">
        <v>135000</v>
      </c>
      <c r="E15" s="84"/>
      <c r="G15" s="3" t="s">
        <v>232</v>
      </c>
    </row>
    <row r="16" spans="1:13" x14ac:dyDescent="0.25">
      <c r="A16" s="82"/>
      <c r="B16" s="139">
        <v>800000</v>
      </c>
      <c r="C16" s="140">
        <v>0.93</v>
      </c>
      <c r="D16" s="141">
        <v>140500</v>
      </c>
      <c r="E16" s="84"/>
      <c r="G16" s="213">
        <f>B23*(1+B28)^2*(1+G13)</f>
        <v>96.352941176470608</v>
      </c>
    </row>
    <row r="17" spans="1:10" x14ac:dyDescent="0.25">
      <c r="A17" s="82"/>
      <c r="B17" s="139">
        <v>900000</v>
      </c>
      <c r="C17" s="140">
        <v>0.95699999999999996</v>
      </c>
      <c r="D17" s="141">
        <v>153000</v>
      </c>
      <c r="E17" s="84"/>
    </row>
    <row r="18" spans="1:10" x14ac:dyDescent="0.25">
      <c r="A18" s="82"/>
      <c r="B18" s="139">
        <v>1000000</v>
      </c>
      <c r="C18" s="140">
        <v>0.97199999999999998</v>
      </c>
      <c r="D18" s="141">
        <v>159500</v>
      </c>
      <c r="E18" s="84"/>
      <c r="F18" s="28" t="s">
        <v>84</v>
      </c>
      <c r="G18" s="3" t="s">
        <v>233</v>
      </c>
    </row>
    <row r="19" spans="1:10" x14ac:dyDescent="0.25">
      <c r="A19" s="82"/>
      <c r="B19" s="139">
        <v>1250000</v>
      </c>
      <c r="C19" s="140">
        <v>0.97399999999999998</v>
      </c>
      <c r="D19" s="141">
        <v>178000</v>
      </c>
      <c r="E19" s="84"/>
      <c r="G19" s="3" t="s">
        <v>234</v>
      </c>
      <c r="H19" s="64">
        <f>G16</f>
        <v>96.352941176470608</v>
      </c>
    </row>
    <row r="20" spans="1:10" x14ac:dyDescent="0.25">
      <c r="A20" s="82"/>
      <c r="B20" s="142">
        <v>1500000</v>
      </c>
      <c r="C20" s="143">
        <v>0.97899999999999998</v>
      </c>
      <c r="D20" s="144">
        <v>186000</v>
      </c>
      <c r="E20" s="84"/>
    </row>
    <row r="21" spans="1:10" x14ac:dyDescent="0.25">
      <c r="A21" s="82"/>
      <c r="B21" s="83"/>
      <c r="C21" s="83"/>
      <c r="D21" s="83"/>
      <c r="E21" s="84"/>
      <c r="H21" s="28" t="s">
        <v>237</v>
      </c>
      <c r="I21" s="28" t="s">
        <v>238</v>
      </c>
      <c r="J21" s="28" t="s">
        <v>239</v>
      </c>
    </row>
    <row r="22" spans="1:10" x14ac:dyDescent="0.25">
      <c r="A22" s="82"/>
      <c r="B22" s="198">
        <v>250000</v>
      </c>
      <c r="C22" s="102" t="s">
        <v>226</v>
      </c>
      <c r="D22" s="185"/>
      <c r="E22" s="84"/>
      <c r="G22" s="3" t="s">
        <v>235</v>
      </c>
      <c r="H22" s="76">
        <f>10^6+250000</f>
        <v>1250000</v>
      </c>
      <c r="I22" s="76">
        <f>H22/((1+B27)^2)</f>
        <v>1000060.8036968649</v>
      </c>
      <c r="J22" s="76">
        <v>1000000</v>
      </c>
    </row>
    <row r="23" spans="1:10" x14ac:dyDescent="0.25">
      <c r="A23" s="82"/>
      <c r="B23" s="112">
        <v>50</v>
      </c>
      <c r="C23" s="164" t="s">
        <v>585</v>
      </c>
      <c r="D23" s="165"/>
      <c r="E23" s="84"/>
      <c r="G23" s="3" t="s">
        <v>236</v>
      </c>
      <c r="H23" s="76">
        <f>B22</f>
        <v>250000</v>
      </c>
      <c r="I23" s="76">
        <f>H23/((1+B27)^2)</f>
        <v>200012.16073937298</v>
      </c>
      <c r="J23" s="76">
        <v>200000</v>
      </c>
    </row>
    <row r="24" spans="1:10" x14ac:dyDescent="0.25">
      <c r="A24" s="82"/>
      <c r="B24" s="116"/>
      <c r="C24" s="104" t="s">
        <v>586</v>
      </c>
      <c r="D24" s="167"/>
      <c r="E24" s="84"/>
    </row>
    <row r="25" spans="1:10" x14ac:dyDescent="0.25">
      <c r="A25" s="82"/>
      <c r="B25" s="83"/>
      <c r="C25" s="83"/>
      <c r="D25" s="83"/>
      <c r="E25" s="84"/>
      <c r="G25" s="3" t="s">
        <v>243</v>
      </c>
      <c r="I25" s="61">
        <f>(D18-D9)/(1-C9)</f>
        <v>472527.47252747242</v>
      </c>
      <c r="J25" s="35" t="s">
        <v>244</v>
      </c>
    </row>
    <row r="26" spans="1:10" x14ac:dyDescent="0.25">
      <c r="A26" s="82"/>
      <c r="B26" s="83" t="s">
        <v>221</v>
      </c>
      <c r="C26" s="83"/>
      <c r="D26" s="83"/>
      <c r="E26" s="84"/>
      <c r="J26" s="35" t="s">
        <v>245</v>
      </c>
    </row>
    <row r="27" spans="1:10" x14ac:dyDescent="0.25">
      <c r="A27" s="82"/>
      <c r="B27" s="199">
        <v>0.11799999999999999</v>
      </c>
      <c r="C27" s="164" t="s">
        <v>222</v>
      </c>
      <c r="D27" s="165"/>
      <c r="E27" s="84"/>
      <c r="G27" s="3" t="s">
        <v>240</v>
      </c>
      <c r="I27" s="61">
        <f>I25*(1+B27)^2</f>
        <v>590623.42857142841</v>
      </c>
    </row>
    <row r="28" spans="1:10" x14ac:dyDescent="0.25">
      <c r="A28" s="82"/>
      <c r="B28" s="163">
        <v>0.2</v>
      </c>
      <c r="C28" s="104" t="s">
        <v>223</v>
      </c>
      <c r="D28" s="167"/>
      <c r="E28" s="84"/>
      <c r="G28" s="3" t="s">
        <v>241</v>
      </c>
    </row>
    <row r="29" spans="1:10" x14ac:dyDescent="0.25">
      <c r="A29" s="82"/>
      <c r="B29" s="83"/>
      <c r="C29" s="83"/>
      <c r="D29" s="83"/>
      <c r="E29" s="84"/>
    </row>
    <row r="30" spans="1:10" x14ac:dyDescent="0.25">
      <c r="A30" s="98" t="s">
        <v>2</v>
      </c>
      <c r="B30" s="83" t="s">
        <v>224</v>
      </c>
      <c r="C30" s="83"/>
      <c r="D30" s="83"/>
      <c r="E30" s="84"/>
      <c r="G30" s="3" t="s">
        <v>242</v>
      </c>
    </row>
    <row r="31" spans="1:10" ht="15.75" thickBot="1" x14ac:dyDescent="0.3">
      <c r="A31" s="86">
        <f>INDEX('Point Grid'!$C$8:$I$28,MATCH($A$1,'Point Grid'!$A$8:$A$28,0),MATCH(A30,'Point Grid'!$C$7:$I$7,0))</f>
        <v>1.5</v>
      </c>
      <c r="B31" s="83"/>
      <c r="C31" s="83"/>
      <c r="D31" s="83"/>
      <c r="E31" s="84"/>
      <c r="G31" s="212">
        <f>G16*I27</f>
        <v>56908304.47058823</v>
      </c>
    </row>
    <row r="32" spans="1:10" ht="15.75" thickBot="1" x14ac:dyDescent="0.3">
      <c r="A32" s="4">
        <v>1.5</v>
      </c>
      <c r="B32" s="83"/>
      <c r="C32" s="83"/>
      <c r="D32" s="83"/>
      <c r="E32" s="84"/>
    </row>
    <row r="33" spans="1:5" x14ac:dyDescent="0.25">
      <c r="A33" s="82"/>
      <c r="B33" s="83"/>
      <c r="C33" s="83"/>
      <c r="D33" s="83"/>
      <c r="E33" s="84"/>
    </row>
    <row r="34" spans="1:5" x14ac:dyDescent="0.25">
      <c r="A34" s="98" t="s">
        <v>3</v>
      </c>
      <c r="B34" s="83" t="s">
        <v>527</v>
      </c>
      <c r="C34" s="83"/>
      <c r="D34" s="83"/>
      <c r="E34" s="84"/>
    </row>
    <row r="35" spans="1:5" ht="15.75" thickBot="1" x14ac:dyDescent="0.3">
      <c r="A35" s="86">
        <f>INDEX('Point Grid'!$C$8:$I$28,MATCH($A$1,'Point Grid'!$A$8:$A$28,0),MATCH(A34,'Point Grid'!$C$7:$I$7,0))</f>
        <v>2</v>
      </c>
      <c r="B35" s="83" t="s">
        <v>528</v>
      </c>
      <c r="C35" s="83"/>
      <c r="D35" s="83"/>
      <c r="E35" s="84"/>
    </row>
    <row r="36" spans="1:5" ht="15.75" thickBot="1" x14ac:dyDescent="0.3">
      <c r="A36" s="4">
        <v>2</v>
      </c>
      <c r="B36" s="100"/>
      <c r="C36" s="100"/>
      <c r="D36" s="100"/>
      <c r="E36" s="101"/>
    </row>
  </sheetData>
  <sheetProtection formatCells="0" formatColumns="0" formatRows="0"/>
  <sortState xmlns:xlrd2="http://schemas.microsoft.com/office/spreadsheetml/2017/richdata2" ref="G34:G49">
    <sortCondition ref="G34:G49"/>
  </sortState>
  <conditionalFormatting sqref="B1">
    <cfRule type="cellIs" dxfId="47" priority="1" operator="equal">
      <formula>"Incomplete"</formula>
    </cfRule>
    <cfRule type="cellIs" dxfId="46" priority="2" operator="equal">
      <formula>"Flag for Review"</formula>
    </cfRule>
    <cfRule type="cellIs" dxfId="45" priority="3" operator="equal">
      <formula>"Finished"</formula>
    </cfRule>
  </conditionalFormatting>
  <dataValidations count="2">
    <dataValidation type="decimal" allowBlank="1" showInputMessage="1" showErrorMessage="1" sqref="A32 A36" xr:uid="{3D6138EB-1F11-482F-91AD-929986C48A70}">
      <formula1>0</formula1>
      <formula2>A31</formula2>
    </dataValidation>
    <dataValidation type="list" allowBlank="1" showInputMessage="1" showErrorMessage="1" sqref="B1" xr:uid="{E30F0E99-54A8-47AE-BF7C-220709EDA985}">
      <formula1>"Finished, Flag for Review, Incomplete"</formula1>
    </dataValidation>
  </dataValidations>
  <hyperlinks>
    <hyperlink ref="E1" location="Navigator!A1" display="Navigator" xr:uid="{6FCEEC6F-9F77-43D4-81A1-1A79217BECF5}"/>
  </hyperlinks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331AB0-FD86-41DA-A15C-B457059CF58A}">
  <sheetPr codeName="Sheet11"/>
  <dimension ref="A1:U54"/>
  <sheetViews>
    <sheetView workbookViewId="0"/>
  </sheetViews>
  <sheetFormatPr defaultColWidth="9.140625" defaultRowHeight="15" x14ac:dyDescent="0.25"/>
  <cols>
    <col min="1" max="1" width="6.5703125" style="3" bestFit="1" customWidth="1"/>
    <col min="2" max="2" width="16" style="3" bestFit="1" customWidth="1"/>
    <col min="3" max="3" width="14.42578125" style="3" customWidth="1"/>
    <col min="4" max="4" width="20.42578125" style="3" customWidth="1"/>
    <col min="5" max="8" width="9.7109375" style="3" customWidth="1"/>
    <col min="9" max="9" width="2.28515625" style="3" customWidth="1"/>
    <col min="10" max="10" width="3.7109375" style="28" customWidth="1"/>
    <col min="11" max="11" width="9.140625" style="3"/>
    <col min="12" max="12" width="11.28515625" style="3" bestFit="1" customWidth="1"/>
    <col min="13" max="16384" width="9.140625" style="3"/>
  </cols>
  <sheetData>
    <row r="1" spans="1:20" ht="15.75" x14ac:dyDescent="0.25">
      <c r="A1" s="80">
        <v>9</v>
      </c>
      <c r="B1" s="78" t="s">
        <v>530</v>
      </c>
      <c r="C1" s="81"/>
      <c r="D1" s="81"/>
      <c r="E1" s="81"/>
      <c r="F1" s="81"/>
      <c r="G1" s="81"/>
      <c r="H1" s="372" t="s">
        <v>529</v>
      </c>
      <c r="I1" s="373"/>
      <c r="K1" s="79" t="s">
        <v>38</v>
      </c>
    </row>
    <row r="2" spans="1:20" x14ac:dyDescent="0.25">
      <c r="A2" s="82"/>
      <c r="B2" s="83"/>
      <c r="C2" s="83"/>
      <c r="D2" s="83"/>
      <c r="E2" s="83"/>
      <c r="F2" s="83"/>
      <c r="G2" s="83"/>
      <c r="H2" s="83"/>
      <c r="I2" s="84"/>
      <c r="J2" s="28" t="s">
        <v>63</v>
      </c>
      <c r="K2" s="3" t="s">
        <v>262</v>
      </c>
    </row>
    <row r="3" spans="1:20" x14ac:dyDescent="0.25">
      <c r="A3" s="85" t="s">
        <v>14</v>
      </c>
      <c r="B3" s="83" t="s">
        <v>248</v>
      </c>
      <c r="C3" s="83"/>
      <c r="D3" s="83"/>
      <c r="E3" s="83"/>
      <c r="F3" s="83"/>
      <c r="G3" s="83"/>
      <c r="H3" s="83"/>
      <c r="I3" s="84"/>
      <c r="K3" s="3" t="s">
        <v>263</v>
      </c>
    </row>
    <row r="4" spans="1:20" x14ac:dyDescent="0.25">
      <c r="A4" s="86">
        <f>INDEX('Point Grid'!B:B,MATCH('9'!A1,'Point Grid'!A:A,0))</f>
        <v>4</v>
      </c>
      <c r="B4" s="83" t="s">
        <v>249</v>
      </c>
      <c r="C4" s="83"/>
      <c r="D4" s="83"/>
      <c r="E4" s="83"/>
      <c r="F4" s="83"/>
      <c r="G4" s="83"/>
      <c r="H4" s="83"/>
      <c r="I4" s="84"/>
    </row>
    <row r="5" spans="1:20" x14ac:dyDescent="0.25">
      <c r="A5" s="82"/>
      <c r="B5" s="83"/>
      <c r="C5" s="83"/>
      <c r="D5" s="83"/>
      <c r="E5" s="83"/>
      <c r="F5" s="83"/>
      <c r="G5" s="83"/>
      <c r="H5" s="83"/>
      <c r="I5" s="84"/>
      <c r="K5" s="3" t="s">
        <v>264</v>
      </c>
    </row>
    <row r="6" spans="1:20" x14ac:dyDescent="0.25">
      <c r="A6" s="82"/>
      <c r="B6" s="108" t="s">
        <v>250</v>
      </c>
      <c r="C6" s="146" t="s">
        <v>251</v>
      </c>
      <c r="D6" s="146" t="s">
        <v>252</v>
      </c>
      <c r="E6" s="110" t="s">
        <v>253</v>
      </c>
      <c r="F6" s="147"/>
      <c r="G6" s="147"/>
      <c r="H6" s="83"/>
      <c r="I6" s="84"/>
      <c r="K6" s="3" t="s">
        <v>265</v>
      </c>
    </row>
    <row r="7" spans="1:20" x14ac:dyDescent="0.25">
      <c r="A7" s="82"/>
      <c r="B7" s="90">
        <v>2016</v>
      </c>
      <c r="C7" s="114">
        <v>1</v>
      </c>
      <c r="D7" s="148">
        <v>25000</v>
      </c>
      <c r="E7" s="141">
        <v>1000</v>
      </c>
      <c r="F7" s="149"/>
      <c r="G7" s="149"/>
      <c r="H7" s="83"/>
      <c r="I7" s="84"/>
    </row>
    <row r="8" spans="1:20" x14ac:dyDescent="0.25">
      <c r="A8" s="82"/>
      <c r="B8" s="90">
        <v>2017</v>
      </c>
      <c r="C8" s="114">
        <v>2</v>
      </c>
      <c r="D8" s="148">
        <v>8500</v>
      </c>
      <c r="E8" s="141">
        <v>0</v>
      </c>
      <c r="F8" s="149"/>
      <c r="G8" s="149"/>
      <c r="H8" s="83"/>
      <c r="I8" s="84"/>
      <c r="K8" s="3" t="s">
        <v>270</v>
      </c>
    </row>
    <row r="9" spans="1:20" x14ac:dyDescent="0.25">
      <c r="A9" s="82"/>
      <c r="B9" s="90">
        <v>2018</v>
      </c>
      <c r="C9" s="114">
        <v>3</v>
      </c>
      <c r="D9" s="148">
        <v>100000</v>
      </c>
      <c r="E9" s="141">
        <v>55000</v>
      </c>
      <c r="F9" s="149"/>
      <c r="G9" s="149"/>
      <c r="H9" s="83"/>
      <c r="I9" s="84"/>
      <c r="K9" s="3" t="s">
        <v>278</v>
      </c>
    </row>
    <row r="10" spans="1:20" x14ac:dyDescent="0.25">
      <c r="A10" s="82"/>
      <c r="B10" s="90">
        <v>2018</v>
      </c>
      <c r="C10" s="114">
        <v>4</v>
      </c>
      <c r="D10" s="148">
        <v>55000</v>
      </c>
      <c r="E10" s="141">
        <v>5000</v>
      </c>
      <c r="F10" s="149"/>
      <c r="G10" s="149"/>
      <c r="H10" s="83"/>
      <c r="I10" s="84"/>
      <c r="K10" s="42" t="s">
        <v>271</v>
      </c>
      <c r="L10" s="50" t="s">
        <v>272</v>
      </c>
      <c r="M10" s="191" t="s">
        <v>276</v>
      </c>
      <c r="N10" s="50" t="s">
        <v>589</v>
      </c>
      <c r="O10" s="191" t="s">
        <v>590</v>
      </c>
      <c r="P10" s="50" t="s">
        <v>273</v>
      </c>
      <c r="Q10" s="191" t="s">
        <v>10</v>
      </c>
      <c r="R10" s="50" t="s">
        <v>304</v>
      </c>
      <c r="S10" s="50" t="s">
        <v>314</v>
      </c>
      <c r="T10" s="43" t="s">
        <v>10</v>
      </c>
    </row>
    <row r="11" spans="1:20" x14ac:dyDescent="0.25">
      <c r="A11" s="82"/>
      <c r="B11" s="90">
        <v>2020</v>
      </c>
      <c r="C11" s="114">
        <v>5</v>
      </c>
      <c r="D11" s="148">
        <v>0</v>
      </c>
      <c r="E11" s="141">
        <v>150000</v>
      </c>
      <c r="F11" s="149"/>
      <c r="G11" s="149"/>
      <c r="H11" s="83"/>
      <c r="I11" s="84"/>
      <c r="K11" s="46">
        <v>2018</v>
      </c>
      <c r="L11" s="52" t="s">
        <v>274</v>
      </c>
      <c r="M11" s="76">
        <f>$B$18*$B$20</f>
        <v>68000</v>
      </c>
      <c r="N11" s="203">
        <f>$D$28</f>
        <v>1.05</v>
      </c>
      <c r="O11" s="68">
        <f>$D$34</f>
        <v>0.94</v>
      </c>
      <c r="P11" s="52">
        <f>D44</f>
        <v>0.83899999999999997</v>
      </c>
      <c r="Q11" s="57">
        <f>PRODUCT(M11:P11)</f>
        <v>56310.324000000001</v>
      </c>
      <c r="R11" s="52">
        <f>$L$24</f>
        <v>0.91700000000000004</v>
      </c>
      <c r="S11" s="52">
        <v>0</v>
      </c>
      <c r="T11" s="47">
        <f>PRODUCT(Q11:S11)</f>
        <v>0</v>
      </c>
    </row>
    <row r="12" spans="1:20" x14ac:dyDescent="0.25">
      <c r="A12" s="82"/>
      <c r="B12" s="94">
        <v>2020</v>
      </c>
      <c r="C12" s="116">
        <v>6</v>
      </c>
      <c r="D12" s="150">
        <v>32000</v>
      </c>
      <c r="E12" s="144">
        <v>800</v>
      </c>
      <c r="F12" s="149"/>
      <c r="G12" s="149"/>
      <c r="H12" s="83"/>
      <c r="I12" s="84"/>
      <c r="K12" s="46">
        <v>2018</v>
      </c>
      <c r="L12" s="52" t="s">
        <v>275</v>
      </c>
      <c r="M12" s="76">
        <f>$B$19*$B$20</f>
        <v>17000</v>
      </c>
      <c r="N12" s="203">
        <f>$D$29</f>
        <v>1.24</v>
      </c>
      <c r="O12" s="68">
        <f>$D$35</f>
        <v>0.72</v>
      </c>
      <c r="P12" s="52">
        <f>D45</f>
        <v>0.77700000000000002</v>
      </c>
      <c r="Q12" s="57">
        <f t="shared" ref="Q12:Q16" si="0">PRODUCT(M12:P12)</f>
        <v>11792.995199999999</v>
      </c>
      <c r="R12" s="52">
        <f t="shared" ref="R12:R16" si="1">$L$24</f>
        <v>0.91700000000000004</v>
      </c>
      <c r="S12" s="52">
        <v>0</v>
      </c>
      <c r="T12" s="47">
        <f t="shared" ref="T12:T16" si="2">PRODUCT(Q12:S12)</f>
        <v>0</v>
      </c>
    </row>
    <row r="13" spans="1:20" x14ac:dyDescent="0.25">
      <c r="A13" s="82"/>
      <c r="B13" s="83"/>
      <c r="C13" s="83"/>
      <c r="D13" s="83"/>
      <c r="E13" s="83"/>
      <c r="F13" s="83"/>
      <c r="G13" s="83"/>
      <c r="H13" s="83"/>
      <c r="I13" s="84"/>
      <c r="K13" s="46">
        <v>2019</v>
      </c>
      <c r="L13" s="52" t="s">
        <v>274</v>
      </c>
      <c r="M13" s="76">
        <f>$B$18*$B$20</f>
        <v>68000</v>
      </c>
      <c r="N13" s="203">
        <f>$D$28</f>
        <v>1.05</v>
      </c>
      <c r="O13" s="68">
        <f>$D$34</f>
        <v>0.94</v>
      </c>
      <c r="P13" s="52">
        <f>D42</f>
        <v>0.876</v>
      </c>
      <c r="Q13" s="57">
        <f t="shared" si="0"/>
        <v>58793.616000000002</v>
      </c>
      <c r="R13" s="52">
        <f t="shared" si="1"/>
        <v>0.91700000000000004</v>
      </c>
      <c r="S13" s="52">
        <v>0</v>
      </c>
      <c r="T13" s="47">
        <f t="shared" si="2"/>
        <v>0</v>
      </c>
    </row>
    <row r="14" spans="1:20" x14ac:dyDescent="0.25">
      <c r="A14" s="82"/>
      <c r="B14" s="83" t="s">
        <v>254</v>
      </c>
      <c r="C14" s="83"/>
      <c r="D14" s="83"/>
      <c r="E14" s="83"/>
      <c r="F14" s="83"/>
      <c r="G14" s="83"/>
      <c r="H14" s="83"/>
      <c r="I14" s="84"/>
      <c r="K14" s="46">
        <v>2019</v>
      </c>
      <c r="L14" s="52" t="s">
        <v>275</v>
      </c>
      <c r="M14" s="76">
        <f>$B$19*$B$20</f>
        <v>17000</v>
      </c>
      <c r="N14" s="203">
        <f>$D$29</f>
        <v>1.24</v>
      </c>
      <c r="O14" s="68">
        <f>$D$35</f>
        <v>0.72</v>
      </c>
      <c r="P14" s="52">
        <f>D43</f>
        <v>0.82799999999999996</v>
      </c>
      <c r="Q14" s="57">
        <f t="shared" si="0"/>
        <v>12567.052799999998</v>
      </c>
      <c r="R14" s="52">
        <f t="shared" si="1"/>
        <v>0.91700000000000004</v>
      </c>
      <c r="S14" s="52">
        <v>0</v>
      </c>
      <c r="T14" s="47">
        <f t="shared" si="2"/>
        <v>0</v>
      </c>
    </row>
    <row r="15" spans="1:20" x14ac:dyDescent="0.25">
      <c r="A15" s="82"/>
      <c r="B15" s="83" t="s">
        <v>255</v>
      </c>
      <c r="C15" s="83"/>
      <c r="D15" s="83"/>
      <c r="E15" s="83"/>
      <c r="F15" s="83"/>
      <c r="G15" s="83"/>
      <c r="H15" s="83"/>
      <c r="I15" s="84"/>
      <c r="K15" s="46">
        <v>2020</v>
      </c>
      <c r="L15" s="52" t="s">
        <v>274</v>
      </c>
      <c r="M15" s="76">
        <f>$B$18*$B$20</f>
        <v>68000</v>
      </c>
      <c r="N15" s="203">
        <f>$D$28</f>
        <v>1.05</v>
      </c>
      <c r="O15" s="68">
        <f>$D$34</f>
        <v>0.94</v>
      </c>
      <c r="P15" s="52">
        <f>D40</f>
        <v>0.91600000000000004</v>
      </c>
      <c r="Q15" s="57">
        <f t="shared" si="0"/>
        <v>61478.256000000001</v>
      </c>
      <c r="R15" s="52">
        <f t="shared" si="1"/>
        <v>0.91700000000000004</v>
      </c>
      <c r="S15" s="52">
        <v>0</v>
      </c>
      <c r="T15" s="47">
        <f t="shared" si="2"/>
        <v>0</v>
      </c>
    </row>
    <row r="16" spans="1:20" x14ac:dyDescent="0.25">
      <c r="A16" s="82"/>
      <c r="B16" s="83" t="s">
        <v>260</v>
      </c>
      <c r="C16" s="83"/>
      <c r="D16" s="83"/>
      <c r="E16" s="83"/>
      <c r="F16" s="83"/>
      <c r="G16" s="83"/>
      <c r="H16" s="83"/>
      <c r="I16" s="84"/>
      <c r="K16" s="48">
        <v>2020</v>
      </c>
      <c r="L16" s="53" t="s">
        <v>275</v>
      </c>
      <c r="M16" s="201">
        <f>$B$19*$B$20</f>
        <v>17000</v>
      </c>
      <c r="N16" s="204">
        <f>$D$29</f>
        <v>1.24</v>
      </c>
      <c r="O16" s="202">
        <f>$D$35</f>
        <v>0.72</v>
      </c>
      <c r="P16" s="53">
        <f>D41</f>
        <v>0.88200000000000001</v>
      </c>
      <c r="Q16" s="189">
        <f t="shared" si="0"/>
        <v>13386.643199999999</v>
      </c>
      <c r="R16" s="53">
        <f t="shared" si="1"/>
        <v>0.91700000000000004</v>
      </c>
      <c r="S16" s="53">
        <v>0</v>
      </c>
      <c r="T16" s="49">
        <f t="shared" si="2"/>
        <v>0</v>
      </c>
    </row>
    <row r="17" spans="1:21" x14ac:dyDescent="0.25">
      <c r="A17" s="82"/>
      <c r="B17" s="83" t="s">
        <v>256</v>
      </c>
      <c r="C17" s="83"/>
      <c r="D17" s="83"/>
      <c r="E17" s="83"/>
      <c r="F17" s="83"/>
      <c r="G17" s="83"/>
      <c r="H17" s="83"/>
      <c r="I17" s="84"/>
      <c r="K17" s="28"/>
      <c r="L17" s="28"/>
      <c r="M17" s="28"/>
      <c r="N17" s="28"/>
      <c r="O17" s="28"/>
      <c r="P17" s="66" t="s">
        <v>588</v>
      </c>
      <c r="Q17" s="205">
        <f>SUM(Q11:Q16)</f>
        <v>214328.8872</v>
      </c>
      <c r="R17" s="66"/>
      <c r="S17" s="66"/>
      <c r="T17" s="66">
        <f>SUM(T11:T16)</f>
        <v>0</v>
      </c>
      <c r="U17" s="3" t="s">
        <v>587</v>
      </c>
    </row>
    <row r="18" spans="1:21" x14ac:dyDescent="0.25">
      <c r="A18" s="82"/>
      <c r="B18" s="328">
        <v>100000</v>
      </c>
      <c r="C18" s="151" t="s">
        <v>257</v>
      </c>
      <c r="D18" s="165"/>
      <c r="E18" s="83"/>
      <c r="F18" s="83"/>
      <c r="G18" s="83"/>
      <c r="H18" s="83"/>
      <c r="I18" s="84"/>
      <c r="K18" s="3" t="s">
        <v>277</v>
      </c>
    </row>
    <row r="19" spans="1:21" x14ac:dyDescent="0.25">
      <c r="A19" s="82"/>
      <c r="B19" s="148">
        <v>25000</v>
      </c>
      <c r="C19" s="339" t="s">
        <v>258</v>
      </c>
      <c r="D19" s="166"/>
      <c r="E19" s="83"/>
      <c r="F19" s="83"/>
      <c r="G19" s="83"/>
      <c r="H19" s="83"/>
      <c r="I19" s="84"/>
      <c r="K19" s="3" t="s">
        <v>279</v>
      </c>
    </row>
    <row r="20" spans="1:21" x14ac:dyDescent="0.25">
      <c r="A20" s="82"/>
      <c r="B20" s="163">
        <v>0.68</v>
      </c>
      <c r="C20" s="307" t="s">
        <v>259</v>
      </c>
      <c r="D20" s="167"/>
      <c r="E20" s="83"/>
      <c r="F20" s="83"/>
      <c r="G20" s="83"/>
      <c r="H20" s="83"/>
      <c r="I20" s="84"/>
      <c r="K20" s="3" t="s">
        <v>280</v>
      </c>
    </row>
    <row r="21" spans="1:21" x14ac:dyDescent="0.25">
      <c r="A21" s="82"/>
      <c r="B21" s="145"/>
      <c r="C21" s="83"/>
      <c r="D21" s="83"/>
      <c r="E21" s="83"/>
      <c r="F21" s="83"/>
      <c r="G21" s="83"/>
      <c r="H21" s="83"/>
      <c r="I21" s="84"/>
    </row>
    <row r="22" spans="1:21" x14ac:dyDescent="0.25">
      <c r="A22" s="98" t="s">
        <v>2</v>
      </c>
      <c r="B22" s="83" t="s">
        <v>266</v>
      </c>
      <c r="C22" s="83"/>
      <c r="D22" s="83"/>
      <c r="E22" s="83"/>
      <c r="F22" s="83"/>
      <c r="G22" s="83"/>
      <c r="H22" s="83"/>
      <c r="I22" s="84"/>
      <c r="K22" s="3" t="s">
        <v>302</v>
      </c>
    </row>
    <row r="23" spans="1:21" ht="15.75" thickBot="1" x14ac:dyDescent="0.3">
      <c r="A23" s="86">
        <f>INDEX('Point Grid'!$C$8:$I$28,MATCH($A$1,'Point Grid'!$A$8:$A$28,0),MATCH(A22,'Point Grid'!$C$7:$I$7,0))</f>
        <v>4</v>
      </c>
      <c r="B23" s="83" t="s">
        <v>267</v>
      </c>
      <c r="C23" s="83"/>
      <c r="D23" s="83"/>
      <c r="E23" s="83"/>
      <c r="F23" s="83"/>
      <c r="G23" s="83"/>
      <c r="H23" s="83"/>
      <c r="I23" s="84"/>
      <c r="K23" s="42" t="s">
        <v>591</v>
      </c>
      <c r="L23" s="191" t="s">
        <v>304</v>
      </c>
      <c r="M23" s="43" t="s">
        <v>305</v>
      </c>
    </row>
    <row r="24" spans="1:21" ht="15.75" thickBot="1" x14ac:dyDescent="0.3">
      <c r="A24" s="4">
        <v>4</v>
      </c>
      <c r="B24" s="83"/>
      <c r="C24" s="83"/>
      <c r="D24" s="83"/>
      <c r="E24" s="83"/>
      <c r="F24" s="83"/>
      <c r="G24" s="83"/>
      <c r="H24" s="83"/>
      <c r="I24" s="84"/>
      <c r="K24" s="48">
        <f>C51</f>
        <v>0.38</v>
      </c>
      <c r="L24" s="188">
        <f>D51</f>
        <v>0.91700000000000004</v>
      </c>
      <c r="M24" s="206">
        <f>E51</f>
        <v>153400</v>
      </c>
    </row>
    <row r="25" spans="1:21" x14ac:dyDescent="0.25">
      <c r="A25" s="82"/>
      <c r="B25" s="83" t="s">
        <v>261</v>
      </c>
      <c r="C25" s="83"/>
      <c r="D25" s="83"/>
      <c r="E25" s="83"/>
      <c r="F25" s="83"/>
      <c r="G25" s="83"/>
      <c r="H25" s="83"/>
      <c r="I25" s="84"/>
    </row>
    <row r="26" spans="1:21" x14ac:dyDescent="0.25">
      <c r="A26" s="82"/>
      <c r="B26" s="151"/>
      <c r="C26" s="112" t="s">
        <v>289</v>
      </c>
      <c r="D26" s="152" t="s">
        <v>287</v>
      </c>
      <c r="E26" s="152"/>
      <c r="F26" s="152"/>
      <c r="G26" s="152"/>
      <c r="H26" s="136"/>
      <c r="I26" s="200"/>
      <c r="K26" s="3" t="s">
        <v>312</v>
      </c>
    </row>
    <row r="27" spans="1:21" x14ac:dyDescent="0.25">
      <c r="A27" s="82"/>
      <c r="B27" s="94" t="s">
        <v>281</v>
      </c>
      <c r="C27" s="94" t="s">
        <v>290</v>
      </c>
      <c r="D27" s="137" t="s">
        <v>282</v>
      </c>
      <c r="E27" s="137" t="s">
        <v>283</v>
      </c>
      <c r="F27" s="137" t="s">
        <v>284</v>
      </c>
      <c r="G27" s="137" t="s">
        <v>285</v>
      </c>
      <c r="H27" s="137" t="s">
        <v>286</v>
      </c>
      <c r="I27" s="200"/>
      <c r="K27" s="3" t="s">
        <v>313</v>
      </c>
    </row>
    <row r="28" spans="1:21" x14ac:dyDescent="0.25">
      <c r="A28" s="82"/>
      <c r="B28" s="111" t="s">
        <v>274</v>
      </c>
      <c r="C28" s="153">
        <v>1</v>
      </c>
      <c r="D28" s="153">
        <v>1.05</v>
      </c>
      <c r="E28" s="153">
        <v>1.1399999999999999</v>
      </c>
      <c r="F28" s="153">
        <v>1.2</v>
      </c>
      <c r="G28" s="153">
        <v>1.32</v>
      </c>
      <c r="H28" s="153">
        <v>1.62</v>
      </c>
      <c r="I28" s="200"/>
    </row>
    <row r="29" spans="1:21" x14ac:dyDescent="0.25">
      <c r="A29" s="82"/>
      <c r="B29" s="94" t="s">
        <v>275</v>
      </c>
      <c r="C29" s="154">
        <v>1</v>
      </c>
      <c r="D29" s="154">
        <v>1.24</v>
      </c>
      <c r="E29" s="154">
        <v>1.51</v>
      </c>
      <c r="F29" s="154">
        <v>1.59</v>
      </c>
      <c r="G29" s="154">
        <v>2.0299999999999998</v>
      </c>
      <c r="H29" s="154">
        <v>2.39</v>
      </c>
      <c r="I29" s="200"/>
      <c r="K29" s="3" t="s">
        <v>315</v>
      </c>
    </row>
    <row r="30" spans="1:21" x14ac:dyDescent="0.25">
      <c r="A30" s="82"/>
      <c r="B30" s="155" t="s">
        <v>288</v>
      </c>
      <c r="C30" s="83"/>
      <c r="D30" s="83"/>
      <c r="E30" s="83"/>
      <c r="F30" s="83"/>
      <c r="G30" s="83"/>
      <c r="H30" s="83"/>
      <c r="I30" s="84"/>
      <c r="K30" s="3" t="s">
        <v>268</v>
      </c>
    </row>
    <row r="31" spans="1:21" x14ac:dyDescent="0.25">
      <c r="A31" s="82"/>
      <c r="B31" s="83"/>
      <c r="C31" s="83"/>
      <c r="D31" s="83"/>
      <c r="E31" s="83"/>
      <c r="F31" s="83"/>
      <c r="G31" s="83"/>
      <c r="H31" s="83"/>
      <c r="I31" s="84"/>
    </row>
    <row r="32" spans="1:21" x14ac:dyDescent="0.25">
      <c r="A32" s="82"/>
      <c r="B32" s="151"/>
      <c r="C32" s="112" t="s">
        <v>289</v>
      </c>
      <c r="D32" s="152" t="s">
        <v>287</v>
      </c>
      <c r="E32" s="152"/>
      <c r="F32" s="152"/>
      <c r="G32" s="152"/>
      <c r="H32" s="136"/>
      <c r="I32" s="200"/>
      <c r="K32" s="44"/>
      <c r="L32" s="51" t="s">
        <v>593</v>
      </c>
      <c r="M32" s="51" t="s">
        <v>594</v>
      </c>
      <c r="N32" s="45" t="s">
        <v>593</v>
      </c>
    </row>
    <row r="33" spans="1:14" x14ac:dyDescent="0.25">
      <c r="A33" s="82"/>
      <c r="B33" s="94" t="s">
        <v>281</v>
      </c>
      <c r="C33" s="94" t="s">
        <v>290</v>
      </c>
      <c r="D33" s="137" t="s">
        <v>282</v>
      </c>
      <c r="E33" s="137" t="s">
        <v>283</v>
      </c>
      <c r="F33" s="137" t="s">
        <v>284</v>
      </c>
      <c r="G33" s="137" t="s">
        <v>285</v>
      </c>
      <c r="H33" s="137" t="s">
        <v>286</v>
      </c>
      <c r="I33" s="200"/>
      <c r="K33" s="48" t="s">
        <v>23</v>
      </c>
      <c r="L33" s="53" t="s">
        <v>592</v>
      </c>
      <c r="M33" s="53" t="s">
        <v>253</v>
      </c>
      <c r="N33" s="49" t="s">
        <v>305</v>
      </c>
    </row>
    <row r="34" spans="1:14" x14ac:dyDescent="0.25">
      <c r="A34" s="82"/>
      <c r="B34" s="111" t="s">
        <v>274</v>
      </c>
      <c r="C34" s="153">
        <v>1</v>
      </c>
      <c r="D34" s="153">
        <v>0.94</v>
      </c>
      <c r="E34" s="153">
        <v>0.84</v>
      </c>
      <c r="F34" s="153">
        <v>0.78</v>
      </c>
      <c r="G34" s="153">
        <v>0.67</v>
      </c>
      <c r="H34" s="153">
        <v>0.47</v>
      </c>
      <c r="I34" s="200"/>
      <c r="K34" s="44">
        <v>1</v>
      </c>
      <c r="L34" s="51" t="s">
        <v>269</v>
      </c>
      <c r="M34" s="51" t="s">
        <v>269</v>
      </c>
      <c r="N34" s="45" t="s">
        <v>269</v>
      </c>
    </row>
    <row r="35" spans="1:14" x14ac:dyDescent="0.25">
      <c r="A35" s="82"/>
      <c r="B35" s="94" t="s">
        <v>275</v>
      </c>
      <c r="C35" s="154">
        <v>1</v>
      </c>
      <c r="D35" s="154">
        <v>0.72</v>
      </c>
      <c r="E35" s="154">
        <v>0.49</v>
      </c>
      <c r="F35" s="154">
        <v>0.43</v>
      </c>
      <c r="G35" s="154">
        <v>0.35</v>
      </c>
      <c r="H35" s="154">
        <v>0.22</v>
      </c>
      <c r="I35" s="200"/>
      <c r="K35" s="46">
        <v>2</v>
      </c>
      <c r="L35" s="52" t="s">
        <v>269</v>
      </c>
      <c r="M35" s="52" t="s">
        <v>269</v>
      </c>
      <c r="N35" s="47" t="s">
        <v>269</v>
      </c>
    </row>
    <row r="36" spans="1:14" x14ac:dyDescent="0.25">
      <c r="A36" s="82"/>
      <c r="B36" s="155" t="s">
        <v>291</v>
      </c>
      <c r="C36" s="83"/>
      <c r="D36" s="83"/>
      <c r="E36" s="83"/>
      <c r="F36" s="83"/>
      <c r="G36" s="83"/>
      <c r="H36" s="83"/>
      <c r="I36" s="84"/>
      <c r="K36" s="46">
        <v>3</v>
      </c>
      <c r="L36" s="209">
        <f>MIN(100000,D9)</f>
        <v>100000</v>
      </c>
      <c r="M36" s="209">
        <f>L36+E9</f>
        <v>155000</v>
      </c>
      <c r="N36" s="207">
        <f>MIN(M36,$M$24)</f>
        <v>153400</v>
      </c>
    </row>
    <row r="37" spans="1:14" x14ac:dyDescent="0.25">
      <c r="A37" s="82"/>
      <c r="B37" s="83"/>
      <c r="C37" s="83"/>
      <c r="D37" s="83"/>
      <c r="E37" s="83"/>
      <c r="F37" s="83"/>
      <c r="G37" s="83"/>
      <c r="H37" s="83"/>
      <c r="I37" s="84"/>
      <c r="K37" s="46">
        <v>4</v>
      </c>
      <c r="L37" s="209">
        <f>MIN(100000,D10)</f>
        <v>55000</v>
      </c>
      <c r="M37" s="209">
        <f>L37+E10</f>
        <v>60000</v>
      </c>
      <c r="N37" s="207">
        <f>MIN(M37,$M$24)</f>
        <v>60000</v>
      </c>
    </row>
    <row r="38" spans="1:14" x14ac:dyDescent="0.25">
      <c r="A38" s="82"/>
      <c r="B38" s="112" t="s">
        <v>292</v>
      </c>
      <c r="C38" s="112"/>
      <c r="D38" s="156" t="s">
        <v>294</v>
      </c>
      <c r="E38" s="157"/>
      <c r="F38" s="83"/>
      <c r="G38" s="83"/>
      <c r="H38" s="83"/>
      <c r="I38" s="84"/>
      <c r="K38" s="46">
        <v>5</v>
      </c>
      <c r="L38" s="209">
        <f>MIN(100000,D11)</f>
        <v>0</v>
      </c>
      <c r="M38" s="209">
        <f>L38+E11</f>
        <v>150000</v>
      </c>
      <c r="N38" s="207">
        <f>MIN(M38,$M$24)</f>
        <v>150000</v>
      </c>
    </row>
    <row r="39" spans="1:14" x14ac:dyDescent="0.25">
      <c r="A39" s="82"/>
      <c r="B39" s="116" t="s">
        <v>293</v>
      </c>
      <c r="C39" s="116" t="s">
        <v>281</v>
      </c>
      <c r="D39" s="112" t="s">
        <v>295</v>
      </c>
      <c r="E39" s="112" t="s">
        <v>296</v>
      </c>
      <c r="F39" s="83"/>
      <c r="G39" s="83"/>
      <c r="H39" s="83"/>
      <c r="I39" s="84"/>
      <c r="K39" s="48">
        <v>6</v>
      </c>
      <c r="L39" s="210">
        <f>MIN(100000,D12)</f>
        <v>32000</v>
      </c>
      <c r="M39" s="210">
        <f>L39+E12</f>
        <v>32800</v>
      </c>
      <c r="N39" s="208">
        <f>MIN(M39,$M$24)</f>
        <v>32800</v>
      </c>
    </row>
    <row r="40" spans="1:14" x14ac:dyDescent="0.25">
      <c r="A40" s="82"/>
      <c r="B40" s="112" t="s">
        <v>297</v>
      </c>
      <c r="C40" s="111" t="s">
        <v>274</v>
      </c>
      <c r="D40" s="112">
        <v>0.91600000000000004</v>
      </c>
      <c r="E40" s="112">
        <v>0.94899999999999995</v>
      </c>
      <c r="F40" s="83"/>
      <c r="G40" s="83"/>
      <c r="H40" s="83"/>
      <c r="I40" s="84"/>
    </row>
    <row r="41" spans="1:14" x14ac:dyDescent="0.25">
      <c r="A41" s="82"/>
      <c r="B41" s="116"/>
      <c r="C41" s="94" t="s">
        <v>275</v>
      </c>
      <c r="D41" s="116">
        <v>0.88200000000000001</v>
      </c>
      <c r="E41" s="116">
        <v>0.91400000000000003</v>
      </c>
      <c r="F41" s="83"/>
      <c r="G41" s="83"/>
      <c r="H41" s="83"/>
      <c r="I41" s="84"/>
      <c r="K41" s="3" t="s">
        <v>316</v>
      </c>
      <c r="N41" s="59">
        <f>SUM(N36:N39)</f>
        <v>396200</v>
      </c>
    </row>
    <row r="42" spans="1:14" x14ac:dyDescent="0.25">
      <c r="A42" s="82"/>
      <c r="B42" s="112" t="s">
        <v>298</v>
      </c>
      <c r="C42" s="111" t="s">
        <v>274</v>
      </c>
      <c r="D42" s="114">
        <v>0.876</v>
      </c>
      <c r="E42" s="114">
        <v>0.91900000000000004</v>
      </c>
      <c r="F42" s="83"/>
      <c r="G42" s="83"/>
      <c r="H42" s="83"/>
      <c r="I42" s="84"/>
    </row>
    <row r="43" spans="1:14" x14ac:dyDescent="0.25">
      <c r="A43" s="82"/>
      <c r="B43" s="116"/>
      <c r="C43" s="94" t="s">
        <v>275</v>
      </c>
      <c r="D43" s="114">
        <v>0.82799999999999996</v>
      </c>
      <c r="E43" s="114">
        <v>0.86899999999999999</v>
      </c>
      <c r="F43" s="83"/>
      <c r="G43" s="83"/>
      <c r="H43" s="83"/>
      <c r="I43" s="84"/>
      <c r="K43" s="3" t="s">
        <v>595</v>
      </c>
    </row>
    <row r="44" spans="1:14" x14ac:dyDescent="0.25">
      <c r="A44" s="82"/>
      <c r="B44" s="112" t="s">
        <v>299</v>
      </c>
      <c r="C44" s="111" t="s">
        <v>274</v>
      </c>
      <c r="D44" s="112">
        <v>0.83899999999999997</v>
      </c>
      <c r="E44" s="112">
        <v>0.88700000000000001</v>
      </c>
      <c r="F44" s="83"/>
      <c r="G44" s="83"/>
      <c r="H44" s="83"/>
      <c r="I44" s="84"/>
      <c r="K44" s="65">
        <f>(T17+N41)/Q17</f>
        <v>1.8485608971145724</v>
      </c>
    </row>
    <row r="45" spans="1:14" x14ac:dyDescent="0.25">
      <c r="A45" s="82"/>
      <c r="B45" s="116"/>
      <c r="C45" s="94" t="s">
        <v>275</v>
      </c>
      <c r="D45" s="116">
        <v>0.77700000000000002</v>
      </c>
      <c r="E45" s="116">
        <v>0.82099999999999995</v>
      </c>
      <c r="F45" s="83"/>
      <c r="G45" s="83"/>
      <c r="H45" s="83"/>
      <c r="I45" s="84"/>
    </row>
    <row r="46" spans="1:14" x14ac:dyDescent="0.25">
      <c r="A46" s="82"/>
      <c r="B46" s="158" t="s">
        <v>300</v>
      </c>
      <c r="C46" s="91"/>
      <c r="D46" s="91"/>
      <c r="E46" s="91"/>
      <c r="F46" s="83"/>
      <c r="G46" s="83"/>
      <c r="H46" s="83"/>
      <c r="I46" s="84"/>
      <c r="K46" s="3" t="s">
        <v>596</v>
      </c>
    </row>
    <row r="47" spans="1:14" x14ac:dyDescent="0.25">
      <c r="A47" s="82"/>
      <c r="B47" s="91"/>
      <c r="C47" s="91"/>
      <c r="D47" s="91"/>
      <c r="E47" s="91"/>
      <c r="F47" s="83"/>
      <c r="G47" s="83"/>
      <c r="H47" s="83"/>
      <c r="I47" s="84"/>
      <c r="K47" s="3" t="s">
        <v>317</v>
      </c>
      <c r="L47" s="65">
        <f>(K44-L24)/L24*K24</f>
        <v>0.38603395954584241</v>
      </c>
    </row>
    <row r="48" spans="1:14" x14ac:dyDescent="0.25">
      <c r="A48" s="82"/>
      <c r="B48" s="159" t="s">
        <v>301</v>
      </c>
      <c r="C48" s="137" t="s">
        <v>303</v>
      </c>
      <c r="D48" s="137" t="s">
        <v>304</v>
      </c>
      <c r="E48" s="137" t="s">
        <v>305</v>
      </c>
      <c r="F48" s="83"/>
      <c r="G48" s="83"/>
      <c r="H48" s="83"/>
      <c r="I48" s="84"/>
    </row>
    <row r="49" spans="1:11" x14ac:dyDescent="0.25">
      <c r="A49" s="82"/>
      <c r="B49" s="151" t="s">
        <v>310</v>
      </c>
      <c r="C49" s="114">
        <v>0.36</v>
      </c>
      <c r="D49" s="114">
        <v>0.91100000000000003</v>
      </c>
      <c r="E49" s="131">
        <v>147550</v>
      </c>
      <c r="F49" s="83"/>
      <c r="G49" s="83"/>
      <c r="H49" s="83"/>
      <c r="I49" s="84"/>
      <c r="K49" s="3" t="s">
        <v>318</v>
      </c>
    </row>
    <row r="50" spans="1:11" x14ac:dyDescent="0.25">
      <c r="A50" s="82"/>
      <c r="B50" s="90" t="s">
        <v>306</v>
      </c>
      <c r="C50" s="114">
        <v>0.37</v>
      </c>
      <c r="D50" s="114">
        <v>0.91400000000000003</v>
      </c>
      <c r="E50" s="131">
        <v>150450</v>
      </c>
      <c r="F50" s="83"/>
      <c r="G50" s="83"/>
      <c r="H50" s="83"/>
      <c r="I50" s="84"/>
      <c r="K50" s="211">
        <f>1+L47</f>
        <v>1.3860339595458424</v>
      </c>
    </row>
    <row r="51" spans="1:11" x14ac:dyDescent="0.25">
      <c r="A51" s="82"/>
      <c r="B51" s="90" t="s">
        <v>307</v>
      </c>
      <c r="C51" s="114">
        <v>0.38</v>
      </c>
      <c r="D51" s="114">
        <v>0.91700000000000004</v>
      </c>
      <c r="E51" s="131">
        <v>153400</v>
      </c>
      <c r="F51" s="83"/>
      <c r="G51" s="83"/>
      <c r="H51" s="83"/>
      <c r="I51" s="84"/>
    </row>
    <row r="52" spans="1:11" x14ac:dyDescent="0.25">
      <c r="A52" s="82"/>
      <c r="B52" s="90" t="s">
        <v>308</v>
      </c>
      <c r="C52" s="114">
        <v>0.39</v>
      </c>
      <c r="D52" s="132">
        <v>0.92</v>
      </c>
      <c r="E52" s="131">
        <v>156450</v>
      </c>
      <c r="F52" s="83"/>
      <c r="G52" s="83"/>
      <c r="H52" s="83"/>
      <c r="I52" s="84"/>
    </row>
    <row r="53" spans="1:11" x14ac:dyDescent="0.25">
      <c r="A53" s="82"/>
      <c r="B53" s="94" t="s">
        <v>309</v>
      </c>
      <c r="C53" s="154">
        <v>0.4</v>
      </c>
      <c r="D53" s="116">
        <v>0.92300000000000004</v>
      </c>
      <c r="E53" s="133">
        <v>159600</v>
      </c>
      <c r="F53" s="83"/>
      <c r="G53" s="83"/>
      <c r="H53" s="83"/>
      <c r="I53" s="84"/>
    </row>
    <row r="54" spans="1:11" ht="15.75" thickBot="1" x14ac:dyDescent="0.3">
      <c r="A54" s="106"/>
      <c r="B54" s="160" t="s">
        <v>311</v>
      </c>
      <c r="C54" s="100"/>
      <c r="D54" s="100"/>
      <c r="E54" s="100"/>
      <c r="F54" s="100"/>
      <c r="G54" s="100"/>
      <c r="H54" s="100"/>
      <c r="I54" s="101"/>
    </row>
  </sheetData>
  <sheetProtection formatCells="0" formatColumns="0" formatRows="0"/>
  <mergeCells count="1">
    <mergeCell ref="H1:I1"/>
  </mergeCells>
  <conditionalFormatting sqref="B1">
    <cfRule type="cellIs" dxfId="44" priority="1" operator="equal">
      <formula>"Incomplete"</formula>
    </cfRule>
    <cfRule type="cellIs" dxfId="43" priority="2" operator="equal">
      <formula>"Flag for Review"</formula>
    </cfRule>
    <cfRule type="cellIs" dxfId="42" priority="3" operator="equal">
      <formula>"Finished"</formula>
    </cfRule>
  </conditionalFormatting>
  <dataValidations count="2">
    <dataValidation type="list" allowBlank="1" showInputMessage="1" showErrorMessage="1" sqref="B1" xr:uid="{F50A7077-1A09-4AD9-939E-AAE5D6C84BCE}">
      <formula1>"Finished, Flag for Review, Incomplete"</formula1>
    </dataValidation>
    <dataValidation type="decimal" allowBlank="1" showInputMessage="1" showErrorMessage="1" sqref="A24" xr:uid="{0CF7D773-6A07-4ED4-A837-E189BA911836}">
      <formula1>0</formula1>
      <formula2>A23</formula2>
    </dataValidation>
  </dataValidations>
  <hyperlinks>
    <hyperlink ref="H1" location="Navigator!A1" display="Navigator" xr:uid="{68DFC005-F91A-4120-B1D3-9DEF6C1B61EA}"/>
  </hyperlinks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21F744-9DAC-4963-AC89-314235426E2E}">
  <sheetPr codeName="Sheet12"/>
  <dimension ref="A1:H20"/>
  <sheetViews>
    <sheetView workbookViewId="0"/>
  </sheetViews>
  <sheetFormatPr defaultColWidth="9.140625" defaultRowHeight="15" x14ac:dyDescent="0.25"/>
  <cols>
    <col min="1" max="1" width="6.5703125" style="3" bestFit="1" customWidth="1"/>
    <col min="2" max="2" width="16" style="3" bestFit="1" customWidth="1"/>
    <col min="3" max="3" width="16.7109375" style="3" bestFit="1" customWidth="1"/>
    <col min="4" max="4" width="19.5703125" style="3" customWidth="1"/>
    <col min="5" max="5" width="9.140625" style="3"/>
    <col min="6" max="6" width="9.28515625" style="3" customWidth="1"/>
    <col min="7" max="7" width="3.7109375" style="28" customWidth="1"/>
    <col min="8" max="16384" width="9.140625" style="3"/>
  </cols>
  <sheetData>
    <row r="1" spans="1:8" ht="15.75" x14ac:dyDescent="0.25">
      <c r="A1" s="80">
        <v>10</v>
      </c>
      <c r="B1" s="78" t="s">
        <v>530</v>
      </c>
      <c r="C1" s="81"/>
      <c r="D1" s="81"/>
      <c r="E1" s="81"/>
      <c r="F1" s="77" t="s">
        <v>529</v>
      </c>
      <c r="H1" s="79" t="s">
        <v>38</v>
      </c>
    </row>
    <row r="2" spans="1:8" x14ac:dyDescent="0.25">
      <c r="A2" s="82"/>
      <c r="B2" s="83"/>
      <c r="C2" s="83"/>
      <c r="D2" s="83"/>
      <c r="E2" s="83"/>
      <c r="F2" s="84"/>
      <c r="G2" s="28" t="s">
        <v>63</v>
      </c>
      <c r="H2" s="3" t="s">
        <v>335</v>
      </c>
    </row>
    <row r="3" spans="1:8" x14ac:dyDescent="0.25">
      <c r="A3" s="85" t="s">
        <v>14</v>
      </c>
      <c r="B3" s="83" t="s">
        <v>319</v>
      </c>
      <c r="C3" s="83"/>
      <c r="D3" s="83"/>
      <c r="E3" s="83"/>
      <c r="F3" s="84"/>
      <c r="H3" s="3" t="s">
        <v>325</v>
      </c>
    </row>
    <row r="4" spans="1:8" x14ac:dyDescent="0.25">
      <c r="A4" s="86">
        <f>INDEX('Point Grid'!B:B,MATCH('10'!A1,'Point Grid'!A:A,0))</f>
        <v>1.75</v>
      </c>
      <c r="B4" s="83"/>
      <c r="C4" s="83"/>
      <c r="D4" s="83"/>
      <c r="E4" s="83"/>
      <c r="F4" s="84"/>
      <c r="H4" s="3" t="s">
        <v>326</v>
      </c>
    </row>
    <row r="5" spans="1:8" x14ac:dyDescent="0.25">
      <c r="A5" s="82"/>
      <c r="B5" s="83"/>
      <c r="C5" s="83"/>
      <c r="D5" s="83"/>
      <c r="E5" s="83"/>
      <c r="F5" s="84"/>
    </row>
    <row r="6" spans="1:8" x14ac:dyDescent="0.25">
      <c r="A6" s="98" t="s">
        <v>2</v>
      </c>
      <c r="B6" s="83" t="s">
        <v>320</v>
      </c>
      <c r="C6" s="83"/>
      <c r="D6" s="83"/>
      <c r="E6" s="83"/>
      <c r="F6" s="84"/>
      <c r="G6" s="28" t="s">
        <v>84</v>
      </c>
      <c r="H6" s="3" t="s">
        <v>327</v>
      </c>
    </row>
    <row r="7" spans="1:8" ht="15.75" thickBot="1" x14ac:dyDescent="0.3">
      <c r="A7" s="86">
        <f>INDEX('Point Grid'!$C$8:$I$28,MATCH($A$1,'Point Grid'!$A$8:$A$28,0),MATCH(A6,'Point Grid'!$C$7:$I$7,0))</f>
        <v>0.5</v>
      </c>
      <c r="B7" s="83" t="s">
        <v>321</v>
      </c>
      <c r="C7" s="83"/>
      <c r="D7" s="83"/>
      <c r="E7" s="83"/>
      <c r="F7" s="84"/>
    </row>
    <row r="8" spans="1:8" ht="15.75" thickBot="1" x14ac:dyDescent="0.3">
      <c r="A8" s="4">
        <v>0.5</v>
      </c>
      <c r="B8" s="83"/>
      <c r="C8" s="83"/>
      <c r="D8" s="83"/>
      <c r="E8" s="83"/>
      <c r="F8" s="84"/>
      <c r="G8" s="28" t="s">
        <v>328</v>
      </c>
      <c r="H8" s="3" t="s">
        <v>329</v>
      </c>
    </row>
    <row r="9" spans="1:8" x14ac:dyDescent="0.25">
      <c r="A9" s="82"/>
      <c r="B9" s="83"/>
      <c r="C9" s="83"/>
      <c r="D9" s="83"/>
      <c r="E9" s="83"/>
      <c r="F9" s="84"/>
      <c r="H9" s="3" t="s">
        <v>330</v>
      </c>
    </row>
    <row r="10" spans="1:8" x14ac:dyDescent="0.25">
      <c r="A10" s="98" t="s">
        <v>3</v>
      </c>
      <c r="B10" s="83" t="s">
        <v>322</v>
      </c>
      <c r="C10" s="83"/>
      <c r="D10" s="83"/>
      <c r="E10" s="83"/>
      <c r="F10" s="84"/>
    </row>
    <row r="11" spans="1:8" ht="15.75" thickBot="1" x14ac:dyDescent="0.3">
      <c r="A11" s="86">
        <f>INDEX('Point Grid'!$C$8:$I$28,MATCH($A$1,'Point Grid'!$A$8:$A$28,0),MATCH(A10,'Point Grid'!$C$7:$I$7,0))</f>
        <v>0.25</v>
      </c>
      <c r="B11" s="83"/>
      <c r="C11" s="83"/>
      <c r="D11" s="83"/>
      <c r="E11" s="83"/>
      <c r="F11" s="84"/>
      <c r="G11" s="28" t="s">
        <v>331</v>
      </c>
      <c r="H11" s="3" t="s">
        <v>334</v>
      </c>
    </row>
    <row r="12" spans="1:8" ht="15.75" thickBot="1" x14ac:dyDescent="0.3">
      <c r="A12" s="4">
        <v>0.25</v>
      </c>
      <c r="B12" s="83"/>
      <c r="C12" s="83"/>
      <c r="D12" s="83"/>
      <c r="E12" s="83"/>
      <c r="F12" s="84"/>
      <c r="H12" s="3" t="s">
        <v>332</v>
      </c>
    </row>
    <row r="13" spans="1:8" x14ac:dyDescent="0.25">
      <c r="A13" s="82"/>
      <c r="B13" s="83"/>
      <c r="C13" s="83"/>
      <c r="D13" s="83"/>
      <c r="E13" s="83"/>
      <c r="F13" s="84"/>
      <c r="H13" s="3" t="s">
        <v>333</v>
      </c>
    </row>
    <row r="14" spans="1:8" x14ac:dyDescent="0.25">
      <c r="A14" s="98" t="s">
        <v>4</v>
      </c>
      <c r="B14" s="83" t="s">
        <v>323</v>
      </c>
      <c r="C14" s="83"/>
      <c r="D14" s="83"/>
      <c r="E14" s="83"/>
      <c r="F14" s="84"/>
    </row>
    <row r="15" spans="1:8" ht="15.75" thickBot="1" x14ac:dyDescent="0.3">
      <c r="A15" s="86">
        <f>INDEX('Point Grid'!$C$8:$I$28,MATCH($A$1,'Point Grid'!$A$8:$A$28,0),MATCH(A14,'Point Grid'!$C$7:$I$7,0))</f>
        <v>0.25</v>
      </c>
      <c r="B15" s="83"/>
      <c r="C15" s="83"/>
      <c r="D15" s="83"/>
      <c r="E15" s="83"/>
      <c r="F15" s="84"/>
    </row>
    <row r="16" spans="1:8" ht="15.75" thickBot="1" x14ac:dyDescent="0.3">
      <c r="A16" s="4">
        <v>0.25</v>
      </c>
      <c r="B16" s="83"/>
      <c r="C16" s="83"/>
      <c r="D16" s="83"/>
      <c r="E16" s="83"/>
      <c r="F16" s="84"/>
    </row>
    <row r="17" spans="1:6" x14ac:dyDescent="0.25">
      <c r="A17" s="82"/>
      <c r="B17" s="83"/>
      <c r="C17" s="83"/>
      <c r="D17" s="83"/>
      <c r="E17" s="83"/>
      <c r="F17" s="84"/>
    </row>
    <row r="18" spans="1:6" x14ac:dyDescent="0.25">
      <c r="A18" s="98" t="s">
        <v>5</v>
      </c>
      <c r="B18" s="83" t="s">
        <v>324</v>
      </c>
      <c r="C18" s="83"/>
      <c r="D18" s="83"/>
      <c r="E18" s="83"/>
      <c r="F18" s="84"/>
    </row>
    <row r="19" spans="1:6" ht="15.75" thickBot="1" x14ac:dyDescent="0.3">
      <c r="A19" s="86">
        <f>INDEX('Point Grid'!$C$8:$I$28,MATCH($A$1,'Point Grid'!$A$8:$A$28,0),MATCH(A18,'Point Grid'!$C$7:$I$7,0))</f>
        <v>0.75</v>
      </c>
      <c r="B19" s="83"/>
      <c r="C19" s="83"/>
      <c r="D19" s="83"/>
      <c r="E19" s="83"/>
      <c r="F19" s="84"/>
    </row>
    <row r="20" spans="1:6" ht="15.75" thickBot="1" x14ac:dyDescent="0.3">
      <c r="A20" s="4">
        <v>0.75</v>
      </c>
      <c r="B20" s="100"/>
      <c r="C20" s="100"/>
      <c r="D20" s="100"/>
      <c r="E20" s="100"/>
      <c r="F20" s="101"/>
    </row>
  </sheetData>
  <sheetProtection formatCells="0" formatColumns="0" formatRows="0"/>
  <conditionalFormatting sqref="B1">
    <cfRule type="cellIs" dxfId="41" priority="1" operator="equal">
      <formula>"Incomplete"</formula>
    </cfRule>
    <cfRule type="cellIs" dxfId="40" priority="2" operator="equal">
      <formula>"Flag for Review"</formula>
    </cfRule>
    <cfRule type="cellIs" dxfId="39" priority="3" operator="equal">
      <formula>"Finished"</formula>
    </cfRule>
  </conditionalFormatting>
  <dataValidations count="2">
    <dataValidation type="decimal" allowBlank="1" showInputMessage="1" showErrorMessage="1" sqref="A8 A12 A16 A20" xr:uid="{BB28DEBA-F4EE-4C6D-A36A-837A6305FFF2}">
      <formula1>0</formula1>
      <formula2>A7</formula2>
    </dataValidation>
    <dataValidation type="list" allowBlank="1" showInputMessage="1" showErrorMessage="1" sqref="B1" xr:uid="{1E5C1CDB-48EC-4439-9730-E0838F26DDB2}">
      <formula1>"Finished, Flag for Review, Incomplete"</formula1>
    </dataValidation>
  </dataValidations>
  <hyperlinks>
    <hyperlink ref="F1" location="Navigator!A1" display="Navigator" xr:uid="{8BD6ECDD-C618-4A2F-9252-42FB11EBC921}"/>
  </hyperlinks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E64112-8AE7-4DD2-95D7-17DD19D9BF94}">
  <sheetPr codeName="Sheet13"/>
  <dimension ref="A1:I30"/>
  <sheetViews>
    <sheetView workbookViewId="0"/>
  </sheetViews>
  <sheetFormatPr defaultColWidth="9.140625" defaultRowHeight="15" x14ac:dyDescent="0.25"/>
  <cols>
    <col min="1" max="1" width="6.5703125" style="3" bestFit="1" customWidth="1"/>
    <col min="2" max="2" width="16" style="3" bestFit="1" customWidth="1"/>
    <col min="3" max="3" width="9.42578125" style="3" customWidth="1"/>
    <col min="4" max="4" width="20.42578125" style="3" bestFit="1" customWidth="1"/>
    <col min="5" max="5" width="18.28515625" style="3" bestFit="1" customWidth="1"/>
    <col min="6" max="6" width="9.140625" style="3"/>
    <col min="7" max="7" width="11.7109375" style="3" customWidth="1"/>
    <col min="8" max="8" width="3.7109375" style="28" customWidth="1"/>
    <col min="9" max="16384" width="9.140625" style="3"/>
  </cols>
  <sheetData>
    <row r="1" spans="1:9" ht="15.75" x14ac:dyDescent="0.25">
      <c r="A1" s="80">
        <v>11</v>
      </c>
      <c r="B1" s="78" t="s">
        <v>530</v>
      </c>
      <c r="C1" s="81"/>
      <c r="D1" s="81"/>
      <c r="E1" s="81"/>
      <c r="F1" s="81"/>
      <c r="G1" s="77" t="s">
        <v>529</v>
      </c>
      <c r="I1" s="79" t="s">
        <v>38</v>
      </c>
    </row>
    <row r="2" spans="1:9" x14ac:dyDescent="0.25">
      <c r="A2" s="82"/>
      <c r="B2" s="83"/>
      <c r="C2" s="83"/>
      <c r="D2" s="83"/>
      <c r="E2" s="83"/>
      <c r="F2" s="83"/>
      <c r="G2" s="84"/>
      <c r="H2" s="28" t="s">
        <v>63</v>
      </c>
      <c r="I2" s="3" t="s">
        <v>350</v>
      </c>
    </row>
    <row r="3" spans="1:9" x14ac:dyDescent="0.25">
      <c r="A3" s="85" t="s">
        <v>14</v>
      </c>
      <c r="B3" s="83"/>
      <c r="C3" s="83"/>
      <c r="D3" s="83"/>
      <c r="E3" s="83"/>
      <c r="F3" s="83"/>
      <c r="G3" s="84"/>
      <c r="I3" s="3" t="s">
        <v>351</v>
      </c>
    </row>
    <row r="4" spans="1:9" x14ac:dyDescent="0.25">
      <c r="A4" s="86">
        <f>INDEX('Point Grid'!B:B,MATCH('11'!A1,'Point Grid'!A:A,0))</f>
        <v>2.75</v>
      </c>
      <c r="B4" s="83" t="s">
        <v>341</v>
      </c>
      <c r="C4" s="83"/>
      <c r="D4" s="83"/>
      <c r="E4" s="83"/>
      <c r="F4" s="83"/>
      <c r="G4" s="84"/>
      <c r="I4" s="3" t="s">
        <v>352</v>
      </c>
    </row>
    <row r="5" spans="1:9" x14ac:dyDescent="0.25">
      <c r="A5" s="82"/>
      <c r="B5" s="83" t="s">
        <v>342</v>
      </c>
      <c r="C5" s="83"/>
      <c r="D5" s="83"/>
      <c r="E5" s="83"/>
      <c r="F5" s="83"/>
      <c r="G5" s="84"/>
    </row>
    <row r="6" spans="1:9" x14ac:dyDescent="0.25">
      <c r="A6" s="82"/>
      <c r="B6" s="83" t="s">
        <v>343</v>
      </c>
      <c r="C6" s="83"/>
      <c r="D6" s="83"/>
      <c r="E6" s="83"/>
      <c r="F6" s="83"/>
      <c r="G6" s="84"/>
      <c r="H6" s="28" t="s">
        <v>84</v>
      </c>
      <c r="I6" s="3" t="s">
        <v>353</v>
      </c>
    </row>
    <row r="7" spans="1:9" x14ac:dyDescent="0.25">
      <c r="A7" s="82"/>
      <c r="B7" s="83"/>
      <c r="C7" s="83"/>
      <c r="D7" s="83"/>
      <c r="E7" s="83"/>
      <c r="F7" s="83"/>
      <c r="G7" s="84"/>
      <c r="I7" s="3" t="s">
        <v>354</v>
      </c>
    </row>
    <row r="8" spans="1:9" x14ac:dyDescent="0.25">
      <c r="A8" s="82"/>
      <c r="B8" s="83" t="s">
        <v>336</v>
      </c>
      <c r="C8" s="83"/>
      <c r="D8" s="83"/>
      <c r="E8" s="83"/>
      <c r="F8" s="83"/>
      <c r="G8" s="84"/>
      <c r="I8" s="3" t="s">
        <v>355</v>
      </c>
    </row>
    <row r="9" spans="1:9" x14ac:dyDescent="0.25">
      <c r="A9" s="82"/>
      <c r="B9" s="83" t="s">
        <v>337</v>
      </c>
      <c r="C9" s="83"/>
      <c r="D9" s="83"/>
      <c r="E9" s="83"/>
      <c r="F9" s="83"/>
      <c r="G9" s="84"/>
      <c r="I9" s="3" t="s">
        <v>361</v>
      </c>
    </row>
    <row r="10" spans="1:9" x14ac:dyDescent="0.25">
      <c r="A10" s="82"/>
      <c r="B10" s="83" t="s">
        <v>338</v>
      </c>
      <c r="C10" s="83"/>
      <c r="D10" s="83"/>
      <c r="E10" s="83"/>
      <c r="F10" s="83"/>
      <c r="G10" s="84"/>
      <c r="I10" s="3" t="s">
        <v>362</v>
      </c>
    </row>
    <row r="11" spans="1:9" x14ac:dyDescent="0.25">
      <c r="A11" s="82"/>
      <c r="B11" s="83"/>
      <c r="C11" s="83"/>
      <c r="D11" s="83"/>
      <c r="E11" s="83"/>
      <c r="F11" s="83"/>
      <c r="G11" s="84"/>
    </row>
    <row r="12" spans="1:9" x14ac:dyDescent="0.25">
      <c r="A12" s="98" t="s">
        <v>2</v>
      </c>
      <c r="B12" s="83" t="s">
        <v>339</v>
      </c>
      <c r="C12" s="83"/>
      <c r="D12" s="83"/>
      <c r="E12" s="83"/>
      <c r="F12" s="83"/>
      <c r="G12" s="84"/>
    </row>
    <row r="13" spans="1:9" ht="15.75" thickBot="1" x14ac:dyDescent="0.3">
      <c r="A13" s="86">
        <f>INDEX('Point Grid'!$C$8:$I$28,MATCH($A$1,'Point Grid'!$A$8:$A$28,0),MATCH(A12,'Point Grid'!$C$7:$I$7,0))</f>
        <v>0.5</v>
      </c>
      <c r="B13" s="83" t="s">
        <v>340</v>
      </c>
      <c r="C13" s="83"/>
      <c r="D13" s="83"/>
      <c r="E13" s="83"/>
      <c r="F13" s="83"/>
      <c r="G13" s="84"/>
      <c r="H13" s="28" t="s">
        <v>328</v>
      </c>
      <c r="I13" s="3" t="s">
        <v>357</v>
      </c>
    </row>
    <row r="14" spans="1:9" ht="15.75" thickBot="1" x14ac:dyDescent="0.3">
      <c r="A14" s="4">
        <v>0.5</v>
      </c>
      <c r="B14" s="83"/>
      <c r="C14" s="83"/>
      <c r="D14" s="83"/>
      <c r="E14" s="83"/>
      <c r="F14" s="83"/>
      <c r="G14" s="84"/>
      <c r="I14" s="3" t="s">
        <v>358</v>
      </c>
    </row>
    <row r="15" spans="1:9" x14ac:dyDescent="0.25">
      <c r="A15" s="82"/>
      <c r="B15" s="83"/>
      <c r="C15" s="83"/>
      <c r="D15" s="83"/>
      <c r="E15" s="83"/>
      <c r="F15" s="83"/>
      <c r="G15" s="84"/>
      <c r="I15" s="3" t="s">
        <v>359</v>
      </c>
    </row>
    <row r="16" spans="1:9" x14ac:dyDescent="0.25">
      <c r="A16" s="98" t="s">
        <v>3</v>
      </c>
      <c r="B16" s="83" t="s">
        <v>344</v>
      </c>
      <c r="C16" s="83"/>
      <c r="D16" s="83"/>
      <c r="E16" s="83"/>
      <c r="F16" s="83"/>
      <c r="G16" s="84"/>
      <c r="I16" s="3" t="s">
        <v>363</v>
      </c>
    </row>
    <row r="17" spans="1:9" ht="15.75" thickBot="1" x14ac:dyDescent="0.3">
      <c r="A17" s="86">
        <f>INDEX('Point Grid'!$C$8:$I$28,MATCH($A$1,'Point Grid'!$A$8:$A$28,0),MATCH(A16,'Point Grid'!$C$7:$I$7,0))</f>
        <v>0.5</v>
      </c>
      <c r="B17" s="83" t="s">
        <v>356</v>
      </c>
      <c r="C17" s="83"/>
      <c r="D17" s="83"/>
      <c r="E17" s="83"/>
      <c r="F17" s="83"/>
      <c r="G17" s="84"/>
      <c r="I17" s="3" t="s">
        <v>364</v>
      </c>
    </row>
    <row r="18" spans="1:9" ht="15.75" thickBot="1" x14ac:dyDescent="0.3">
      <c r="A18" s="4">
        <v>0.5</v>
      </c>
      <c r="B18" s="83"/>
      <c r="C18" s="83"/>
      <c r="D18" s="83"/>
      <c r="E18" s="83"/>
      <c r="F18" s="83"/>
      <c r="G18" s="84"/>
    </row>
    <row r="19" spans="1:9" x14ac:dyDescent="0.25">
      <c r="A19" s="82"/>
      <c r="B19" s="83"/>
      <c r="C19" s="83"/>
      <c r="D19" s="83"/>
      <c r="E19" s="83"/>
      <c r="F19" s="83"/>
      <c r="G19" s="84"/>
      <c r="H19" s="28" t="s">
        <v>331</v>
      </c>
      <c r="I19" s="3" t="s">
        <v>360</v>
      </c>
    </row>
    <row r="20" spans="1:9" x14ac:dyDescent="0.25">
      <c r="A20" s="98" t="s">
        <v>4</v>
      </c>
      <c r="B20" s="83" t="s">
        <v>345</v>
      </c>
      <c r="C20" s="83"/>
      <c r="D20" s="83"/>
      <c r="E20" s="83"/>
      <c r="F20" s="83"/>
      <c r="G20" s="84"/>
      <c r="I20" s="3" t="s">
        <v>365</v>
      </c>
    </row>
    <row r="21" spans="1:9" ht="15.75" thickBot="1" x14ac:dyDescent="0.3">
      <c r="A21" s="86">
        <f>INDEX('Point Grid'!$C$8:$I$28,MATCH($A$1,'Point Grid'!$A$8:$A$28,0),MATCH(A20,'Point Grid'!$C$7:$I$7,0))</f>
        <v>0.5</v>
      </c>
      <c r="B21" s="83" t="s">
        <v>346</v>
      </c>
      <c r="C21" s="83"/>
      <c r="D21" s="83"/>
      <c r="E21" s="83"/>
      <c r="F21" s="83"/>
      <c r="G21" s="84"/>
      <c r="I21" s="3" t="s">
        <v>366</v>
      </c>
    </row>
    <row r="22" spans="1:9" ht="15.75" thickBot="1" x14ac:dyDescent="0.3">
      <c r="A22" s="4">
        <v>0.5</v>
      </c>
      <c r="B22" s="83" t="s">
        <v>347</v>
      </c>
      <c r="C22" s="83"/>
      <c r="D22" s="83"/>
      <c r="E22" s="83"/>
      <c r="F22" s="83"/>
      <c r="G22" s="84"/>
      <c r="I22" s="3" t="s">
        <v>370</v>
      </c>
    </row>
    <row r="23" spans="1:9" x14ac:dyDescent="0.25">
      <c r="A23" s="82"/>
      <c r="B23" s="83"/>
      <c r="C23" s="83"/>
      <c r="D23" s="83"/>
      <c r="E23" s="83"/>
      <c r="F23" s="83"/>
      <c r="G23" s="84"/>
      <c r="I23" s="3" t="s">
        <v>367</v>
      </c>
    </row>
    <row r="24" spans="1:9" x14ac:dyDescent="0.25">
      <c r="A24" s="98" t="s">
        <v>5</v>
      </c>
      <c r="B24" s="83" t="s">
        <v>348</v>
      </c>
      <c r="C24" s="83"/>
      <c r="D24" s="83"/>
      <c r="E24" s="83"/>
      <c r="F24" s="83"/>
      <c r="G24" s="84"/>
    </row>
    <row r="25" spans="1:9" ht="15.75" thickBot="1" x14ac:dyDescent="0.3">
      <c r="A25" s="86">
        <f>INDEX('Point Grid'!$C$8:$I$28,MATCH($A$1,'Point Grid'!$A$8:$A$28,0),MATCH(A24,'Point Grid'!$C$7:$I$7,0))</f>
        <v>0.5</v>
      </c>
      <c r="B25" s="83" t="s">
        <v>349</v>
      </c>
      <c r="C25" s="83"/>
      <c r="D25" s="83"/>
      <c r="E25" s="83"/>
      <c r="F25" s="83"/>
      <c r="G25" s="84"/>
      <c r="H25" s="28" t="s">
        <v>368</v>
      </c>
      <c r="I25" s="3" t="s">
        <v>369</v>
      </c>
    </row>
    <row r="26" spans="1:9" ht="15.75" thickBot="1" x14ac:dyDescent="0.3">
      <c r="A26" s="4">
        <v>0.5</v>
      </c>
      <c r="B26" s="83"/>
      <c r="C26" s="83"/>
      <c r="D26" s="83"/>
      <c r="E26" s="83"/>
      <c r="F26" s="83"/>
      <c r="G26" s="84"/>
      <c r="I26" s="3" t="s">
        <v>374</v>
      </c>
    </row>
    <row r="27" spans="1:9" x14ac:dyDescent="0.25">
      <c r="A27" s="82"/>
      <c r="B27" s="83"/>
      <c r="C27" s="83"/>
      <c r="D27" s="83"/>
      <c r="E27" s="83"/>
      <c r="F27" s="83"/>
      <c r="G27" s="84"/>
      <c r="I27" s="3" t="s">
        <v>375</v>
      </c>
    </row>
    <row r="28" spans="1:9" x14ac:dyDescent="0.25">
      <c r="A28" s="98" t="s">
        <v>6</v>
      </c>
      <c r="B28" s="83" t="s">
        <v>372</v>
      </c>
      <c r="C28" s="83"/>
      <c r="D28" s="83"/>
      <c r="E28" s="83"/>
      <c r="F28" s="83"/>
      <c r="G28" s="84"/>
      <c r="I28" s="3" t="s">
        <v>376</v>
      </c>
    </row>
    <row r="29" spans="1:9" ht="15.75" thickBot="1" x14ac:dyDescent="0.3">
      <c r="A29" s="86">
        <f>INDEX('Point Grid'!$C$8:$I$28,MATCH($A$1,'Point Grid'!$A$8:$A$28,0),MATCH(A28,'Point Grid'!$C$7:$I$7,0))</f>
        <v>0.75</v>
      </c>
      <c r="B29" s="83" t="s">
        <v>373</v>
      </c>
      <c r="C29" s="83"/>
      <c r="D29" s="83"/>
      <c r="E29" s="83"/>
      <c r="F29" s="83"/>
      <c r="G29" s="84"/>
    </row>
    <row r="30" spans="1:9" ht="15.75" thickBot="1" x14ac:dyDescent="0.3">
      <c r="A30" s="4">
        <v>0.75</v>
      </c>
      <c r="B30" s="100" t="s">
        <v>371</v>
      </c>
      <c r="C30" s="100"/>
      <c r="D30" s="100"/>
      <c r="E30" s="100"/>
      <c r="F30" s="100"/>
      <c r="G30" s="101"/>
    </row>
  </sheetData>
  <sheetProtection formatCells="0" formatColumns="0" formatRows="0"/>
  <conditionalFormatting sqref="B1">
    <cfRule type="cellIs" dxfId="38" priority="1" operator="equal">
      <formula>"Incomplete"</formula>
    </cfRule>
    <cfRule type="cellIs" dxfId="37" priority="2" operator="equal">
      <formula>"Flag for Review"</formula>
    </cfRule>
    <cfRule type="cellIs" dxfId="36" priority="3" operator="equal">
      <formula>"Finished"</formula>
    </cfRule>
  </conditionalFormatting>
  <dataValidations count="2">
    <dataValidation type="list" allowBlank="1" showInputMessage="1" showErrorMessage="1" sqref="B1" xr:uid="{3AB81081-9240-4D16-A6CB-E2EE49CCDBD7}">
      <formula1>"Finished, Flag for Review, Incomplete"</formula1>
    </dataValidation>
    <dataValidation type="decimal" allowBlank="1" showInputMessage="1" showErrorMessage="1" sqref="A14 A18 A22 A26 A30" xr:uid="{33243D4D-9CB5-4B89-BA01-A5802707AADC}">
      <formula1>0</formula1>
      <formula2>A13</formula2>
    </dataValidation>
  </dataValidations>
  <hyperlinks>
    <hyperlink ref="G1" location="Navigator!A1" display="Navigator" xr:uid="{69E410DF-94E3-4C59-8143-F70AC68F7BE7}"/>
  </hyperlinks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63AE62-DEF9-46F0-B862-F38D68807B5D}">
  <sheetPr codeName="Sheet14"/>
  <dimension ref="A1:M21"/>
  <sheetViews>
    <sheetView workbookViewId="0"/>
  </sheetViews>
  <sheetFormatPr defaultColWidth="9.140625" defaultRowHeight="15" x14ac:dyDescent="0.25"/>
  <cols>
    <col min="1" max="1" width="6.5703125" style="3" bestFit="1" customWidth="1"/>
    <col min="2" max="2" width="16" style="3" bestFit="1" customWidth="1"/>
    <col min="3" max="3" width="24.140625" style="3" bestFit="1" customWidth="1"/>
    <col min="4" max="4" width="18.85546875" style="3" bestFit="1" customWidth="1"/>
    <col min="5" max="6" width="7.42578125" style="3" customWidth="1"/>
    <col min="7" max="7" width="9.28515625" style="3" customWidth="1"/>
    <col min="8" max="8" width="3.7109375" style="28" customWidth="1"/>
    <col min="9" max="9" width="12.42578125" style="3" customWidth="1"/>
    <col min="10" max="10" width="12.28515625" style="3" bestFit="1" customWidth="1"/>
    <col min="11" max="11" width="12" style="3" bestFit="1" customWidth="1"/>
    <col min="12" max="12" width="14.42578125" style="3" bestFit="1" customWidth="1"/>
    <col min="13" max="16384" width="9.140625" style="3"/>
  </cols>
  <sheetData>
    <row r="1" spans="1:13" ht="15.75" x14ac:dyDescent="0.25">
      <c r="A1" s="80">
        <v>12</v>
      </c>
      <c r="B1" s="78" t="s">
        <v>530</v>
      </c>
      <c r="C1" s="81"/>
      <c r="D1" s="81"/>
      <c r="E1" s="81"/>
      <c r="F1" s="81"/>
      <c r="G1" s="77" t="s">
        <v>529</v>
      </c>
      <c r="I1" s="79" t="s">
        <v>38</v>
      </c>
    </row>
    <row r="2" spans="1:13" x14ac:dyDescent="0.25">
      <c r="A2" s="82"/>
      <c r="B2" s="83"/>
      <c r="C2" s="83"/>
      <c r="D2" s="83"/>
      <c r="E2" s="83"/>
      <c r="F2" s="83"/>
      <c r="G2" s="84"/>
      <c r="H2" s="28" t="s">
        <v>63</v>
      </c>
      <c r="I2" s="3" t="s">
        <v>388</v>
      </c>
    </row>
    <row r="3" spans="1:13" x14ac:dyDescent="0.25">
      <c r="A3" s="85" t="s">
        <v>14</v>
      </c>
      <c r="B3" s="83"/>
      <c r="C3" s="83"/>
      <c r="D3" s="83"/>
      <c r="E3" s="83"/>
      <c r="F3" s="83"/>
      <c r="G3" s="84"/>
      <c r="I3" s="3" t="s">
        <v>390</v>
      </c>
    </row>
    <row r="4" spans="1:13" x14ac:dyDescent="0.25">
      <c r="A4" s="86">
        <f>INDEX('Point Grid'!B:B,MATCH('12'!A1,'Point Grid'!A:A,0))</f>
        <v>3</v>
      </c>
      <c r="B4" s="83"/>
      <c r="C4" s="83"/>
      <c r="D4" s="83"/>
      <c r="E4" s="83"/>
      <c r="F4" s="83"/>
      <c r="G4" s="84"/>
      <c r="I4" s="3" t="s">
        <v>389</v>
      </c>
    </row>
    <row r="5" spans="1:13" x14ac:dyDescent="0.25">
      <c r="A5" s="82"/>
      <c r="B5" s="83"/>
      <c r="C5" s="83"/>
      <c r="D5" s="83"/>
      <c r="E5" s="83"/>
      <c r="F5" s="83"/>
      <c r="G5" s="84"/>
    </row>
    <row r="6" spans="1:13" x14ac:dyDescent="0.25">
      <c r="A6" s="98" t="s">
        <v>2</v>
      </c>
      <c r="B6" s="83" t="s">
        <v>384</v>
      </c>
      <c r="C6" s="83"/>
      <c r="D6" s="83"/>
      <c r="E6" s="83"/>
      <c r="F6" s="83"/>
      <c r="G6" s="84"/>
      <c r="H6" s="28" t="s">
        <v>84</v>
      </c>
      <c r="I6" s="3" t="s">
        <v>391</v>
      </c>
    </row>
    <row r="7" spans="1:13" ht="15.75" thickBot="1" x14ac:dyDescent="0.3">
      <c r="A7" s="86">
        <f>INDEX('Point Grid'!$C$8:$I$28,MATCH($A$1,'Point Grid'!$A$8:$A$28,0),MATCH(A6,'Point Grid'!$C$7:$I$7,0))</f>
        <v>1</v>
      </c>
      <c r="B7" s="83" t="s">
        <v>385</v>
      </c>
      <c r="C7" s="83"/>
      <c r="D7" s="83"/>
      <c r="E7" s="83"/>
      <c r="F7" s="83"/>
      <c r="G7" s="84"/>
      <c r="I7" s="3" t="s">
        <v>392</v>
      </c>
    </row>
    <row r="8" spans="1:13" ht="15.75" thickBot="1" x14ac:dyDescent="0.3">
      <c r="A8" s="4">
        <v>1</v>
      </c>
      <c r="B8" s="83"/>
      <c r="C8" s="83"/>
      <c r="D8" s="83"/>
      <c r="E8" s="83"/>
      <c r="F8" s="83"/>
      <c r="G8" s="84"/>
      <c r="I8" s="3" t="s">
        <v>393</v>
      </c>
    </row>
    <row r="9" spans="1:13" x14ac:dyDescent="0.25">
      <c r="A9" s="82"/>
      <c r="B9" s="83"/>
      <c r="C9" s="83"/>
      <c r="D9" s="83"/>
      <c r="E9" s="83"/>
      <c r="F9" s="83"/>
      <c r="G9" s="84"/>
    </row>
    <row r="10" spans="1:13" x14ac:dyDescent="0.25">
      <c r="A10" s="98" t="s">
        <v>3</v>
      </c>
      <c r="B10" s="83" t="s">
        <v>386</v>
      </c>
      <c r="C10" s="83"/>
      <c r="D10" s="83"/>
      <c r="E10" s="83"/>
      <c r="F10" s="83"/>
      <c r="G10" s="84"/>
      <c r="H10" s="28" t="s">
        <v>328</v>
      </c>
      <c r="I10" s="3" t="s">
        <v>394</v>
      </c>
    </row>
    <row r="11" spans="1:13" ht="15.75" thickBot="1" x14ac:dyDescent="0.3">
      <c r="A11" s="86">
        <f>INDEX('Point Grid'!$C$8:$I$28,MATCH($A$1,'Point Grid'!$A$8:$A$28,0),MATCH(A10,'Point Grid'!$C$7:$I$7,0))</f>
        <v>1</v>
      </c>
      <c r="B11" s="83" t="s">
        <v>387</v>
      </c>
      <c r="C11" s="83"/>
      <c r="D11" s="83"/>
      <c r="E11" s="83"/>
      <c r="F11" s="83"/>
      <c r="G11" s="84"/>
      <c r="I11" s="3" t="s">
        <v>395</v>
      </c>
    </row>
    <row r="12" spans="1:13" ht="15.75" thickBot="1" x14ac:dyDescent="0.3">
      <c r="A12" s="4">
        <v>1</v>
      </c>
      <c r="B12" s="83"/>
      <c r="C12" s="83"/>
      <c r="D12" s="83"/>
      <c r="E12" s="83"/>
      <c r="F12" s="83"/>
      <c r="G12" s="84"/>
      <c r="I12" s="3" t="s">
        <v>396</v>
      </c>
    </row>
    <row r="13" spans="1:13" x14ac:dyDescent="0.25">
      <c r="A13" s="82"/>
      <c r="B13" s="83"/>
      <c r="C13" s="83"/>
      <c r="D13" s="83"/>
      <c r="E13" s="83"/>
      <c r="F13" s="83"/>
      <c r="G13" s="84"/>
      <c r="I13" s="220" t="s">
        <v>397</v>
      </c>
      <c r="J13" s="71" t="s">
        <v>398</v>
      </c>
      <c r="K13" s="69" t="s">
        <v>399</v>
      </c>
      <c r="L13" s="71" t="s">
        <v>400</v>
      </c>
    </row>
    <row r="14" spans="1:13" x14ac:dyDescent="0.25">
      <c r="A14" s="98" t="s">
        <v>4</v>
      </c>
      <c r="B14" s="83" t="s">
        <v>382</v>
      </c>
      <c r="C14" s="83"/>
      <c r="D14" s="83"/>
      <c r="E14" s="83"/>
      <c r="F14" s="83"/>
      <c r="G14" s="84"/>
      <c r="I14" s="216">
        <v>5000</v>
      </c>
      <c r="J14" s="221">
        <f>D17</f>
        <v>0</v>
      </c>
      <c r="K14" s="217">
        <f>J14/I14</f>
        <v>0</v>
      </c>
      <c r="L14" s="52"/>
    </row>
    <row r="15" spans="1:13" ht="15.75" thickBot="1" x14ac:dyDescent="0.3">
      <c r="A15" s="86">
        <f>INDEX('Point Grid'!$C$8:$I$28,MATCH($A$1,'Point Grid'!$A$8:$A$28,0),MATCH(A14,'Point Grid'!$C$7:$I$7,0))</f>
        <v>1</v>
      </c>
      <c r="B15" s="83" t="s">
        <v>383</v>
      </c>
      <c r="C15" s="83"/>
      <c r="D15" s="83"/>
      <c r="E15" s="83"/>
      <c r="F15" s="83"/>
      <c r="G15" s="84"/>
      <c r="I15" s="218">
        <v>5001</v>
      </c>
      <c r="J15" s="222">
        <f>D18</f>
        <v>0.35</v>
      </c>
      <c r="K15" s="219">
        <f>J15/I15</f>
        <v>6.9986002799440113E-5</v>
      </c>
      <c r="L15" s="223">
        <f>(K15-K14)/(I15-I14)</f>
        <v>6.9986002799440113E-5</v>
      </c>
      <c r="M15" s="3" t="s">
        <v>401</v>
      </c>
    </row>
    <row r="16" spans="1:13" ht="15.75" thickBot="1" x14ac:dyDescent="0.3">
      <c r="A16" s="4">
        <v>1</v>
      </c>
      <c r="B16" s="83"/>
      <c r="C16" s="108" t="s">
        <v>377</v>
      </c>
      <c r="D16" s="146" t="s">
        <v>303</v>
      </c>
      <c r="E16" s="83"/>
      <c r="F16" s="83"/>
      <c r="G16" s="84"/>
    </row>
    <row r="17" spans="1:7" x14ac:dyDescent="0.25">
      <c r="A17" s="82"/>
      <c r="B17" s="83"/>
      <c r="C17" s="112" t="s">
        <v>378</v>
      </c>
      <c r="D17" s="161">
        <v>0</v>
      </c>
      <c r="E17" s="83"/>
      <c r="F17" s="83"/>
      <c r="G17" s="84"/>
    </row>
    <row r="18" spans="1:7" x14ac:dyDescent="0.25">
      <c r="A18" s="82"/>
      <c r="B18" s="83"/>
      <c r="C18" s="114" t="s">
        <v>379</v>
      </c>
      <c r="D18" s="162">
        <v>0.35</v>
      </c>
      <c r="E18" s="83"/>
      <c r="F18" s="83"/>
      <c r="G18" s="84"/>
    </row>
    <row r="19" spans="1:7" x14ac:dyDescent="0.25">
      <c r="A19" s="82"/>
      <c r="B19" s="83"/>
      <c r="C19" s="114" t="s">
        <v>380</v>
      </c>
      <c r="D19" s="162">
        <v>0.8</v>
      </c>
      <c r="E19" s="83"/>
      <c r="F19" s="83"/>
      <c r="G19" s="84"/>
    </row>
    <row r="20" spans="1:7" x14ac:dyDescent="0.25">
      <c r="A20" s="82"/>
      <c r="B20" s="83"/>
      <c r="C20" s="116" t="s">
        <v>381</v>
      </c>
      <c r="D20" s="163">
        <v>1</v>
      </c>
      <c r="E20" s="83"/>
      <c r="F20" s="83"/>
      <c r="G20" s="84"/>
    </row>
    <row r="21" spans="1:7" ht="15.75" thickBot="1" x14ac:dyDescent="0.3">
      <c r="A21" s="106"/>
      <c r="B21" s="100"/>
      <c r="C21" s="100"/>
      <c r="D21" s="100"/>
      <c r="E21" s="100"/>
      <c r="F21" s="100"/>
      <c r="G21" s="101"/>
    </row>
  </sheetData>
  <sheetProtection formatCells="0" formatColumns="0" formatRows="0"/>
  <conditionalFormatting sqref="B1">
    <cfRule type="cellIs" dxfId="35" priority="1" operator="equal">
      <formula>"Incomplete"</formula>
    </cfRule>
    <cfRule type="cellIs" dxfId="34" priority="2" operator="equal">
      <formula>"Flag for Review"</formula>
    </cfRule>
    <cfRule type="cellIs" dxfId="33" priority="3" operator="equal">
      <formula>"Finished"</formula>
    </cfRule>
  </conditionalFormatting>
  <dataValidations count="2">
    <dataValidation type="decimal" allowBlank="1" showInputMessage="1" showErrorMessage="1" sqref="A8 A12 A16" xr:uid="{DEFD49D5-8A8C-4FF0-AC11-A4FBD08942C1}">
      <formula1>0</formula1>
      <formula2>A7</formula2>
    </dataValidation>
    <dataValidation type="list" allowBlank="1" showInputMessage="1" showErrorMessage="1" sqref="B1" xr:uid="{1DB612C0-CD2B-46AD-9D7C-F0A75A85985E}">
      <formula1>"Finished, Flag for Review, Incomplete"</formula1>
    </dataValidation>
  </dataValidations>
  <hyperlinks>
    <hyperlink ref="G1" location="Navigator!A1" display="Navigator" xr:uid="{CF36D20F-A0FE-4AC9-8557-95A9C16E6F91}"/>
  </hyperlinks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110730-8DC4-453C-BA96-A92985F43952}">
  <sheetPr codeName="Sheet15"/>
  <dimension ref="A1:K29"/>
  <sheetViews>
    <sheetView workbookViewId="0"/>
  </sheetViews>
  <sheetFormatPr defaultColWidth="9.140625" defaultRowHeight="15" x14ac:dyDescent="0.25"/>
  <cols>
    <col min="1" max="1" width="6.5703125" style="3" bestFit="1" customWidth="1"/>
    <col min="2" max="2" width="20.28515625" style="3" customWidth="1"/>
    <col min="3" max="3" width="10.7109375" style="3" bestFit="1" customWidth="1"/>
    <col min="4" max="4" width="18.85546875" style="3" bestFit="1" customWidth="1"/>
    <col min="5" max="5" width="17.42578125" style="3" bestFit="1" customWidth="1"/>
    <col min="6" max="6" width="3.85546875" style="3" customWidth="1"/>
    <col min="7" max="7" width="9.28515625" style="3" customWidth="1"/>
    <col min="8" max="8" width="3.7109375" style="28" customWidth="1"/>
    <col min="9" max="9" width="9.140625" style="3"/>
    <col min="10" max="10" width="10.85546875" style="3" bestFit="1" customWidth="1"/>
    <col min="11" max="16384" width="9.140625" style="3"/>
  </cols>
  <sheetData>
    <row r="1" spans="1:10" ht="15.75" x14ac:dyDescent="0.25">
      <c r="A1" s="80">
        <v>13</v>
      </c>
      <c r="B1" s="78" t="s">
        <v>530</v>
      </c>
      <c r="C1" s="81"/>
      <c r="D1" s="81"/>
      <c r="E1" s="81"/>
      <c r="F1" s="81"/>
      <c r="G1" s="77" t="s">
        <v>529</v>
      </c>
      <c r="I1" s="79" t="s">
        <v>38</v>
      </c>
    </row>
    <row r="2" spans="1:10" x14ac:dyDescent="0.25">
      <c r="A2" s="82"/>
      <c r="B2" s="83"/>
      <c r="C2" s="83"/>
      <c r="D2" s="83"/>
      <c r="E2" s="83"/>
      <c r="F2" s="83"/>
      <c r="G2" s="84"/>
      <c r="H2" s="28" t="s">
        <v>63</v>
      </c>
      <c r="I2" s="3" t="s">
        <v>415</v>
      </c>
    </row>
    <row r="3" spans="1:10" x14ac:dyDescent="0.25">
      <c r="A3" s="85" t="s">
        <v>14</v>
      </c>
      <c r="B3" s="83" t="s">
        <v>402</v>
      </c>
      <c r="C3" s="83"/>
      <c r="D3" s="83"/>
      <c r="E3" s="83"/>
      <c r="F3" s="83"/>
      <c r="G3" s="84"/>
      <c r="I3" s="3" t="s">
        <v>416</v>
      </c>
    </row>
    <row r="4" spans="1:10" x14ac:dyDescent="0.25">
      <c r="A4" s="86">
        <f>INDEX('Point Grid'!B:B,MATCH('13'!A1,'Point Grid'!A:A,0))</f>
        <v>2</v>
      </c>
      <c r="B4" s="83"/>
      <c r="C4" s="83"/>
      <c r="D4" s="83"/>
      <c r="E4" s="83"/>
      <c r="F4" s="83"/>
      <c r="G4" s="84"/>
      <c r="I4" s="3" t="s">
        <v>417</v>
      </c>
    </row>
    <row r="5" spans="1:10" x14ac:dyDescent="0.25">
      <c r="A5" s="82"/>
      <c r="B5" s="328">
        <v>26000</v>
      </c>
      <c r="C5" s="164" t="s">
        <v>403</v>
      </c>
      <c r="D5" s="164"/>
      <c r="E5" s="165"/>
      <c r="F5" s="83"/>
      <c r="G5" s="84"/>
      <c r="I5" s="3" t="s">
        <v>418</v>
      </c>
    </row>
    <row r="6" spans="1:10" x14ac:dyDescent="0.25">
      <c r="A6" s="82"/>
      <c r="B6" s="148">
        <v>24000</v>
      </c>
      <c r="C6" s="83" t="s">
        <v>404</v>
      </c>
      <c r="D6" s="83"/>
      <c r="E6" s="166"/>
      <c r="F6" s="83"/>
      <c r="G6" s="84"/>
      <c r="I6" s="3" t="s">
        <v>419</v>
      </c>
      <c r="J6" s="224">
        <f>B6/B7</f>
        <v>1.2</v>
      </c>
    </row>
    <row r="7" spans="1:10" x14ac:dyDescent="0.25">
      <c r="A7" s="82"/>
      <c r="B7" s="148">
        <v>20000</v>
      </c>
      <c r="C7" s="83" t="s">
        <v>405</v>
      </c>
      <c r="D7" s="83"/>
      <c r="E7" s="166"/>
      <c r="F7" s="83"/>
      <c r="G7" s="84"/>
    </row>
    <row r="8" spans="1:10" x14ac:dyDescent="0.25">
      <c r="A8" s="82"/>
      <c r="B8" s="148">
        <v>15000</v>
      </c>
      <c r="C8" s="83" t="s">
        <v>406</v>
      </c>
      <c r="D8" s="83"/>
      <c r="E8" s="166"/>
      <c r="F8" s="83"/>
      <c r="G8" s="84"/>
      <c r="H8" s="28" t="s">
        <v>84</v>
      </c>
      <c r="I8" s="3" t="s">
        <v>420</v>
      </c>
    </row>
    <row r="9" spans="1:10" ht="18" x14ac:dyDescent="0.35">
      <c r="A9" s="82"/>
      <c r="B9" s="138">
        <v>1.1499999999999999</v>
      </c>
      <c r="C9" s="83" t="s">
        <v>25</v>
      </c>
      <c r="D9" s="83"/>
      <c r="E9" s="166"/>
      <c r="F9" s="83"/>
      <c r="G9" s="84"/>
      <c r="I9" s="3" t="s">
        <v>426</v>
      </c>
    </row>
    <row r="10" spans="1:10" ht="18" x14ac:dyDescent="0.35">
      <c r="A10" s="82"/>
      <c r="B10" s="114">
        <v>0.06</v>
      </c>
      <c r="C10" s="83" t="s">
        <v>407</v>
      </c>
      <c r="D10" s="83"/>
      <c r="E10" s="166"/>
      <c r="F10" s="83"/>
      <c r="G10" s="84"/>
      <c r="I10" s="3" t="s">
        <v>425</v>
      </c>
      <c r="J10" s="59"/>
    </row>
    <row r="11" spans="1:10" x14ac:dyDescent="0.25">
      <c r="A11" s="82"/>
      <c r="B11" s="114">
        <v>0.56999999999999995</v>
      </c>
      <c r="C11" s="83" t="s">
        <v>408</v>
      </c>
      <c r="D11" s="83"/>
      <c r="E11" s="166"/>
      <c r="F11" s="83"/>
      <c r="G11" s="84"/>
    </row>
    <row r="12" spans="1:10" x14ac:dyDescent="0.25">
      <c r="A12" s="82"/>
      <c r="B12" s="114">
        <v>0.68500000000000005</v>
      </c>
      <c r="C12" s="83" t="s">
        <v>409</v>
      </c>
      <c r="D12" s="83"/>
      <c r="E12" s="166"/>
      <c r="F12" s="83"/>
      <c r="G12" s="84"/>
      <c r="I12" s="3" t="s">
        <v>421</v>
      </c>
    </row>
    <row r="13" spans="1:10" x14ac:dyDescent="0.25">
      <c r="A13" s="82"/>
      <c r="B13" s="116">
        <v>1.9E-2</v>
      </c>
      <c r="C13" s="104" t="s">
        <v>410</v>
      </c>
      <c r="D13" s="104"/>
      <c r="E13" s="167"/>
      <c r="F13" s="83"/>
      <c r="G13" s="84"/>
      <c r="I13" s="3" t="s">
        <v>422</v>
      </c>
    </row>
    <row r="14" spans="1:10" x14ac:dyDescent="0.25">
      <c r="A14" s="82"/>
      <c r="B14" s="83"/>
      <c r="C14" s="83"/>
      <c r="D14" s="83"/>
      <c r="E14" s="83"/>
      <c r="F14" s="83"/>
      <c r="G14" s="84"/>
      <c r="I14" s="3" t="s">
        <v>423</v>
      </c>
      <c r="J14" s="61">
        <f>B6-(B12-B10)*(B9*B8*J6)</f>
        <v>11062.5</v>
      </c>
    </row>
    <row r="15" spans="1:10" x14ac:dyDescent="0.25">
      <c r="A15" s="98" t="s">
        <v>2</v>
      </c>
      <c r="B15" s="83" t="s">
        <v>411</v>
      </c>
      <c r="C15" s="83"/>
      <c r="D15" s="83"/>
      <c r="E15" s="83"/>
      <c r="F15" s="83"/>
      <c r="G15" s="84"/>
      <c r="I15" s="3" t="s">
        <v>424</v>
      </c>
      <c r="J15" s="225">
        <f>J14/B5</f>
        <v>0.42548076923076922</v>
      </c>
    </row>
    <row r="16" spans="1:10" ht="15.75" thickBot="1" x14ac:dyDescent="0.3">
      <c r="A16" s="86">
        <f>INDEX('Point Grid'!$C$8:$I$28,MATCH($A$1,'Point Grid'!$A$8:$A$28,0),MATCH(A15,'Point Grid'!$C$7:$I$7,0))</f>
        <v>0.5</v>
      </c>
      <c r="B16" s="83"/>
      <c r="C16" s="83"/>
      <c r="D16" s="83"/>
      <c r="E16" s="83"/>
      <c r="F16" s="83"/>
      <c r="G16" s="84"/>
    </row>
    <row r="17" spans="1:11" ht="18.75" thickBot="1" x14ac:dyDescent="0.4">
      <c r="A17" s="4">
        <v>0.5</v>
      </c>
      <c r="B17" s="83"/>
      <c r="C17" s="83"/>
      <c r="D17" s="83"/>
      <c r="E17" s="83"/>
      <c r="F17" s="83"/>
      <c r="G17" s="84"/>
      <c r="H17" s="28" t="s">
        <v>328</v>
      </c>
      <c r="I17" s="3" t="s">
        <v>427</v>
      </c>
    </row>
    <row r="18" spans="1:11" x14ac:dyDescent="0.25">
      <c r="A18" s="82"/>
      <c r="B18" s="83"/>
      <c r="C18" s="83"/>
      <c r="D18" s="83"/>
      <c r="E18" s="83"/>
      <c r="F18" s="83"/>
      <c r="G18" s="84"/>
      <c r="I18" s="3" t="s">
        <v>428</v>
      </c>
      <c r="J18" s="38">
        <f>B9*(B10-B13)</f>
        <v>4.7149999999999991E-2</v>
      </c>
    </row>
    <row r="19" spans="1:11" x14ac:dyDescent="0.25">
      <c r="A19" s="98" t="s">
        <v>3</v>
      </c>
      <c r="B19" s="83" t="s">
        <v>412</v>
      </c>
      <c r="C19" s="83"/>
      <c r="D19" s="83"/>
      <c r="E19" s="83"/>
      <c r="F19" s="83"/>
      <c r="G19" s="84"/>
      <c r="I19" s="3" t="s">
        <v>429</v>
      </c>
    </row>
    <row r="20" spans="1:11" ht="15.75" thickBot="1" x14ac:dyDescent="0.3">
      <c r="A20" s="86">
        <f>INDEX('Point Grid'!$C$8:$I$28,MATCH($A$1,'Point Grid'!$A$8:$A$28,0),MATCH(A19,'Point Grid'!$C$7:$I$7,0))</f>
        <v>0.5</v>
      </c>
      <c r="B20" s="83"/>
      <c r="C20" s="83"/>
      <c r="D20" s="83"/>
      <c r="E20" s="83"/>
      <c r="F20" s="83"/>
      <c r="G20" s="84"/>
      <c r="I20" s="212">
        <f>J18*B8</f>
        <v>707.24999999999989</v>
      </c>
    </row>
    <row r="21" spans="1:11" ht="15.75" thickBot="1" x14ac:dyDescent="0.3">
      <c r="A21" s="4">
        <v>0.5</v>
      </c>
      <c r="B21" s="83"/>
      <c r="C21" s="83"/>
      <c r="D21" s="83"/>
      <c r="E21" s="83"/>
      <c r="F21" s="83"/>
      <c r="G21" s="84"/>
    </row>
    <row r="22" spans="1:11" ht="18" x14ac:dyDescent="0.35">
      <c r="A22" s="82"/>
      <c r="B22" s="83"/>
      <c r="C22" s="83"/>
      <c r="D22" s="83"/>
      <c r="E22" s="83"/>
      <c r="F22" s="83"/>
      <c r="G22" s="84"/>
      <c r="H22" s="28" t="s">
        <v>331</v>
      </c>
      <c r="I22" s="3" t="s">
        <v>430</v>
      </c>
    </row>
    <row r="23" spans="1:11" ht="18" x14ac:dyDescent="0.35">
      <c r="A23" s="98" t="s">
        <v>4</v>
      </c>
      <c r="B23" s="83" t="s">
        <v>413</v>
      </c>
      <c r="C23" s="83"/>
      <c r="D23" s="83"/>
      <c r="E23" s="83"/>
      <c r="F23" s="83"/>
      <c r="G23" s="84"/>
      <c r="H23" s="3"/>
      <c r="I23" s="3" t="s">
        <v>431</v>
      </c>
    </row>
    <row r="24" spans="1:11" ht="18.75" thickBot="1" x14ac:dyDescent="0.4">
      <c r="A24" s="86">
        <f>INDEX('Point Grid'!$C$8:$I$28,MATCH($A$1,'Point Grid'!$A$8:$A$28,0),MATCH(A23,'Point Grid'!$C$7:$I$7,0))</f>
        <v>0.5</v>
      </c>
      <c r="B24" s="83"/>
      <c r="C24" s="83"/>
      <c r="D24" s="83"/>
      <c r="E24" s="83"/>
      <c r="F24" s="83"/>
      <c r="G24" s="84"/>
      <c r="I24" s="3" t="s">
        <v>432</v>
      </c>
      <c r="J24" s="38">
        <f>B13-B12+1</f>
        <v>0.33399999999999996</v>
      </c>
    </row>
    <row r="25" spans="1:11" ht="18.75" thickBot="1" x14ac:dyDescent="0.4">
      <c r="A25" s="4">
        <v>0.5</v>
      </c>
      <c r="B25" s="83"/>
      <c r="C25" s="83"/>
      <c r="D25" s="83"/>
      <c r="E25" s="83"/>
      <c r="F25" s="83"/>
      <c r="G25" s="84"/>
      <c r="I25" s="3" t="s">
        <v>433</v>
      </c>
      <c r="J25" s="67">
        <f>J24*B8</f>
        <v>5009.9999999999991</v>
      </c>
    </row>
    <row r="26" spans="1:11" ht="18" x14ac:dyDescent="0.35">
      <c r="A26" s="82"/>
      <c r="B26" s="83"/>
      <c r="C26" s="83"/>
      <c r="D26" s="83"/>
      <c r="E26" s="83"/>
      <c r="F26" s="83"/>
      <c r="G26" s="84"/>
      <c r="I26" s="3" t="s">
        <v>434</v>
      </c>
      <c r="K26" s="36">
        <f>J25/B5</f>
        <v>0.19269230769230766</v>
      </c>
    </row>
    <row r="27" spans="1:11" x14ac:dyDescent="0.25">
      <c r="A27" s="98" t="s">
        <v>5</v>
      </c>
      <c r="B27" s="83" t="s">
        <v>414</v>
      </c>
      <c r="C27" s="83"/>
      <c r="D27" s="83"/>
      <c r="E27" s="83"/>
      <c r="F27" s="83"/>
      <c r="G27" s="84"/>
    </row>
    <row r="28" spans="1:11" ht="15.75" thickBot="1" x14ac:dyDescent="0.3">
      <c r="A28" s="86">
        <f>INDEX('Point Grid'!$C$8:$I$28,MATCH($A$1,'Point Grid'!$A$8:$A$28,0),MATCH(A27,'Point Grid'!$C$7:$I$7,0))</f>
        <v>0.5</v>
      </c>
      <c r="B28" s="83"/>
      <c r="C28" s="83"/>
      <c r="D28" s="83"/>
      <c r="E28" s="83"/>
      <c r="F28" s="83"/>
      <c r="G28" s="84"/>
    </row>
    <row r="29" spans="1:11" ht="15.75" thickBot="1" x14ac:dyDescent="0.3">
      <c r="A29" s="4">
        <v>0.5</v>
      </c>
      <c r="B29" s="100"/>
      <c r="C29" s="100"/>
      <c r="D29" s="100"/>
      <c r="E29" s="100"/>
      <c r="F29" s="100"/>
      <c r="G29" s="101"/>
    </row>
  </sheetData>
  <sheetProtection formatCells="0" formatColumns="0" formatRows="0"/>
  <conditionalFormatting sqref="B1">
    <cfRule type="cellIs" dxfId="32" priority="1" operator="equal">
      <formula>"Incomplete"</formula>
    </cfRule>
    <cfRule type="cellIs" dxfId="31" priority="2" operator="equal">
      <formula>"Flag for Review"</formula>
    </cfRule>
    <cfRule type="cellIs" dxfId="30" priority="3" operator="equal">
      <formula>"Finished"</formula>
    </cfRule>
  </conditionalFormatting>
  <dataValidations count="2">
    <dataValidation type="list" allowBlank="1" showInputMessage="1" showErrorMessage="1" sqref="B1" xr:uid="{B3FAC1E8-7ACA-46C6-A94D-743E2A279E76}">
      <formula1>"Finished, Flag for Review, Incomplete"</formula1>
    </dataValidation>
    <dataValidation type="decimal" allowBlank="1" showInputMessage="1" showErrorMessage="1" sqref="A17 A21 A25 A29" xr:uid="{E1EC6641-DF74-4CF1-B17A-2AE58A31819F}">
      <formula1>0</formula1>
      <formula2>A16</formula2>
    </dataValidation>
  </dataValidations>
  <hyperlinks>
    <hyperlink ref="G1" location="Navigator!A1" display="Navigator" xr:uid="{1AC01F3E-411D-4F2E-B830-C8F132275338}"/>
  </hyperlinks>
  <pageMargins left="0.7" right="0.7" top="0.75" bottom="0.75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C1351B-8162-42BD-BEA2-4B7D079E86B1}">
  <sheetPr codeName="Sheet16"/>
  <dimension ref="A1:G12"/>
  <sheetViews>
    <sheetView workbookViewId="0"/>
  </sheetViews>
  <sheetFormatPr defaultColWidth="9.140625" defaultRowHeight="15" x14ac:dyDescent="0.25"/>
  <cols>
    <col min="1" max="1" width="6.5703125" style="3" bestFit="1" customWidth="1"/>
    <col min="2" max="2" width="22.5703125" style="3" customWidth="1"/>
    <col min="3" max="3" width="41.85546875" style="3" bestFit="1" customWidth="1"/>
    <col min="4" max="4" width="9.140625" style="3"/>
    <col min="5" max="5" width="9.28515625" style="3" customWidth="1"/>
    <col min="6" max="6" width="3.7109375" style="28" customWidth="1"/>
    <col min="7" max="7" width="11.85546875" style="3" bestFit="1" customWidth="1"/>
    <col min="8" max="16384" width="9.140625" style="3"/>
  </cols>
  <sheetData>
    <row r="1" spans="1:7" ht="15.75" x14ac:dyDescent="0.25">
      <c r="A1" s="80">
        <v>14</v>
      </c>
      <c r="B1" s="78" t="s">
        <v>530</v>
      </c>
      <c r="C1" s="81"/>
      <c r="D1" s="81"/>
      <c r="E1" s="77" t="s">
        <v>529</v>
      </c>
      <c r="G1" s="79" t="s">
        <v>38</v>
      </c>
    </row>
    <row r="2" spans="1:7" x14ac:dyDescent="0.25">
      <c r="A2" s="82"/>
      <c r="B2" s="83"/>
      <c r="C2" s="83"/>
      <c r="D2" s="83"/>
      <c r="E2" s="84"/>
      <c r="F2" s="28" t="s">
        <v>63</v>
      </c>
      <c r="G2" s="3" t="s">
        <v>442</v>
      </c>
    </row>
    <row r="3" spans="1:7" x14ac:dyDescent="0.25">
      <c r="A3" s="85" t="s">
        <v>14</v>
      </c>
      <c r="B3" s="83" t="s">
        <v>435</v>
      </c>
      <c r="C3" s="83"/>
      <c r="D3" s="83"/>
      <c r="E3" s="84"/>
      <c r="G3" s="59">
        <f>B6*B5</f>
        <v>204230</v>
      </c>
    </row>
    <row r="4" spans="1:7" x14ac:dyDescent="0.25">
      <c r="A4" s="86">
        <f>INDEX('Point Grid'!B:B,MATCH('14'!A1,'Point Grid'!A:A,0))</f>
        <v>2</v>
      </c>
      <c r="B4" s="83"/>
      <c r="C4" s="83"/>
      <c r="D4" s="83"/>
      <c r="E4" s="84"/>
    </row>
    <row r="5" spans="1:7" x14ac:dyDescent="0.25">
      <c r="A5" s="82"/>
      <c r="B5" s="328">
        <v>314200</v>
      </c>
      <c r="C5" s="165" t="s">
        <v>403</v>
      </c>
      <c r="D5" s="83"/>
      <c r="E5" s="84"/>
      <c r="G5" s="3" t="s">
        <v>443</v>
      </c>
    </row>
    <row r="6" spans="1:7" x14ac:dyDescent="0.25">
      <c r="A6" s="98" t="s">
        <v>2</v>
      </c>
      <c r="B6" s="162">
        <v>0.65</v>
      </c>
      <c r="C6" s="166" t="s">
        <v>436</v>
      </c>
      <c r="D6" s="83"/>
      <c r="E6" s="84"/>
      <c r="G6" s="59">
        <f>G3*(1-B11)</f>
        <v>138876.4</v>
      </c>
    </row>
    <row r="7" spans="1:7" ht="15.75" thickBot="1" x14ac:dyDescent="0.3">
      <c r="A7" s="86">
        <f>INDEX('Point Grid'!$C$8:$I$28,MATCH($A$1,'Point Grid'!$A$8:$A$28,0),MATCH(A6,'Point Grid'!$C$7:$I$7,0))</f>
        <v>2</v>
      </c>
      <c r="B7" s="162">
        <v>0.1</v>
      </c>
      <c r="C7" s="166" t="s">
        <v>437</v>
      </c>
      <c r="D7" s="83"/>
      <c r="E7" s="84"/>
    </row>
    <row r="8" spans="1:7" ht="15.75" thickBot="1" x14ac:dyDescent="0.3">
      <c r="A8" s="4">
        <v>2</v>
      </c>
      <c r="B8" s="115">
        <v>0.17499999999999999</v>
      </c>
      <c r="C8" s="166" t="s">
        <v>438</v>
      </c>
      <c r="D8" s="83"/>
      <c r="E8" s="84"/>
      <c r="G8" s="3" t="s">
        <v>444</v>
      </c>
    </row>
    <row r="9" spans="1:7" x14ac:dyDescent="0.25">
      <c r="A9" s="82"/>
      <c r="B9" s="162">
        <v>0.08</v>
      </c>
      <c r="C9" s="166" t="s">
        <v>439</v>
      </c>
      <c r="D9" s="83"/>
      <c r="E9" s="84"/>
      <c r="G9" s="59">
        <f>B5*B6*B7</f>
        <v>20423</v>
      </c>
    </row>
    <row r="10" spans="1:7" x14ac:dyDescent="0.25">
      <c r="A10" s="82"/>
      <c r="B10" s="148">
        <v>22000</v>
      </c>
      <c r="C10" s="166" t="s">
        <v>440</v>
      </c>
      <c r="D10" s="83"/>
      <c r="E10" s="84"/>
    </row>
    <row r="11" spans="1:7" x14ac:dyDescent="0.25">
      <c r="A11" s="82"/>
      <c r="B11" s="116">
        <v>0.32</v>
      </c>
      <c r="C11" s="167" t="s">
        <v>441</v>
      </c>
      <c r="D11" s="83"/>
      <c r="E11" s="84"/>
      <c r="G11" s="3" t="s">
        <v>445</v>
      </c>
    </row>
    <row r="12" spans="1:7" ht="15.75" thickBot="1" x14ac:dyDescent="0.3">
      <c r="A12" s="106"/>
      <c r="B12" s="100"/>
      <c r="C12" s="100"/>
      <c r="D12" s="100"/>
      <c r="E12" s="101"/>
      <c r="G12" s="226">
        <f>(G6+G9+B10)/(1-B8-B9)</f>
        <v>243354.89932885906</v>
      </c>
    </row>
  </sheetData>
  <sheetProtection formatCells="0" formatColumns="0" formatRows="0"/>
  <conditionalFormatting sqref="B1">
    <cfRule type="cellIs" dxfId="29" priority="1" operator="equal">
      <formula>"Incomplete"</formula>
    </cfRule>
    <cfRule type="cellIs" dxfId="28" priority="2" operator="equal">
      <formula>"Flag for Review"</formula>
    </cfRule>
    <cfRule type="cellIs" dxfId="27" priority="3" operator="equal">
      <formula>"Finished"</formula>
    </cfRule>
  </conditionalFormatting>
  <dataValidations count="2">
    <dataValidation type="decimal" allowBlank="1" showInputMessage="1" showErrorMessage="1" sqref="A8" xr:uid="{AA14A201-453D-4451-9859-812DDBFEDE46}">
      <formula1>0</formula1>
      <formula2>A7</formula2>
    </dataValidation>
    <dataValidation type="list" allowBlank="1" showInputMessage="1" showErrorMessage="1" sqref="B1" xr:uid="{3135A7B7-1E11-473E-9B2F-023E46AE19DF}">
      <formula1>"Finished, Flag for Review, Incomplete"</formula1>
    </dataValidation>
  </dataValidations>
  <hyperlinks>
    <hyperlink ref="E1" location="Navigator!A1" display="Navigator" xr:uid="{4019C851-C0C2-44DC-BC5E-9AB43CA40822}"/>
  </hyperlinks>
  <pageMargins left="0.7" right="0.7" top="0.75" bottom="0.75" header="0.3" footer="0.3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E7C649-2601-492B-9D6B-7A4C22A2668A}">
  <sheetPr codeName="Sheet17"/>
  <dimension ref="A1:N50"/>
  <sheetViews>
    <sheetView workbookViewId="0"/>
  </sheetViews>
  <sheetFormatPr defaultColWidth="9.140625" defaultRowHeight="15" x14ac:dyDescent="0.25"/>
  <cols>
    <col min="1" max="1" width="6.5703125" style="3" bestFit="1" customWidth="1"/>
    <col min="2" max="2" width="19.28515625" style="3" customWidth="1"/>
    <col min="3" max="3" width="10.85546875" style="3" customWidth="1"/>
    <col min="4" max="4" width="24.85546875" style="3" customWidth="1"/>
    <col min="5" max="5" width="21.28515625" style="3" customWidth="1"/>
    <col min="6" max="6" width="9.5703125" style="3" customWidth="1"/>
    <col min="7" max="7" width="5.7109375" style="3" customWidth="1"/>
    <col min="8" max="8" width="3.7109375" style="28" customWidth="1"/>
    <col min="9" max="9" width="10.85546875" style="3" customWidth="1"/>
    <col min="10" max="10" width="10.85546875" style="3" bestFit="1" customWidth="1"/>
    <col min="11" max="11" width="13.140625" style="3" bestFit="1" customWidth="1"/>
    <col min="12" max="12" width="13.7109375" style="3" bestFit="1" customWidth="1"/>
    <col min="13" max="16384" width="9.140625" style="3"/>
  </cols>
  <sheetData>
    <row r="1" spans="1:14" ht="15.75" x14ac:dyDescent="0.25">
      <c r="A1" s="80">
        <v>15</v>
      </c>
      <c r="B1" s="78" t="s">
        <v>530</v>
      </c>
      <c r="C1" s="81"/>
      <c r="D1" s="81"/>
      <c r="E1" s="81"/>
      <c r="F1" s="81"/>
      <c r="G1" s="77" t="s">
        <v>529</v>
      </c>
      <c r="I1" s="79" t="s">
        <v>38</v>
      </c>
    </row>
    <row r="2" spans="1:14" x14ac:dyDescent="0.25">
      <c r="A2" s="82"/>
      <c r="B2" s="83"/>
      <c r="C2" s="83"/>
      <c r="D2" s="83"/>
      <c r="E2" s="83"/>
      <c r="F2" s="83"/>
      <c r="G2" s="84"/>
      <c r="H2" s="28" t="s">
        <v>63</v>
      </c>
      <c r="I2" s="3" t="s">
        <v>471</v>
      </c>
    </row>
    <row r="3" spans="1:14" x14ac:dyDescent="0.25">
      <c r="A3" s="85" t="s">
        <v>14</v>
      </c>
      <c r="B3" s="83" t="s">
        <v>446</v>
      </c>
      <c r="C3" s="83"/>
      <c r="D3" s="83"/>
      <c r="E3" s="83"/>
      <c r="F3" s="83"/>
      <c r="G3" s="84"/>
      <c r="I3" s="3" t="s">
        <v>460</v>
      </c>
      <c r="J3" s="59">
        <f>AVERAGE(C18:D22)</f>
        <v>1000000</v>
      </c>
    </row>
    <row r="4" spans="1:14" x14ac:dyDescent="0.25">
      <c r="A4" s="86">
        <f>INDEX('Point Grid'!B:B,MATCH('15'!A1,'Point Grid'!A:A,0))</f>
        <v>4</v>
      </c>
      <c r="B4" s="83" t="s">
        <v>447</v>
      </c>
      <c r="C4" s="83"/>
      <c r="D4" s="83"/>
      <c r="E4" s="83"/>
      <c r="F4" s="83"/>
      <c r="G4" s="84"/>
    </row>
    <row r="5" spans="1:14" x14ac:dyDescent="0.25">
      <c r="A5" s="82"/>
      <c r="B5" s="83"/>
      <c r="C5" s="83"/>
      <c r="D5" s="83"/>
      <c r="E5" s="83"/>
      <c r="F5" s="83"/>
      <c r="G5" s="84"/>
      <c r="I5" s="3" t="s">
        <v>461</v>
      </c>
    </row>
    <row r="6" spans="1:14" x14ac:dyDescent="0.25">
      <c r="A6" s="82"/>
      <c r="B6" s="328">
        <v>1250000</v>
      </c>
      <c r="C6" s="164" t="s">
        <v>448</v>
      </c>
      <c r="D6" s="164"/>
      <c r="E6" s="165"/>
      <c r="F6" s="83"/>
      <c r="G6" s="84"/>
      <c r="I6" s="50" t="s">
        <v>143</v>
      </c>
      <c r="J6" s="43" t="s">
        <v>462</v>
      </c>
    </row>
    <row r="7" spans="1:14" x14ac:dyDescent="0.25">
      <c r="A7" s="82"/>
      <c r="B7" s="162">
        <v>0.06</v>
      </c>
      <c r="C7" s="83" t="s">
        <v>450</v>
      </c>
      <c r="D7" s="83"/>
      <c r="E7" s="166"/>
      <c r="F7" s="83"/>
      <c r="G7" s="84"/>
      <c r="I7" s="52">
        <v>1</v>
      </c>
      <c r="J7" s="239">
        <f>C18/$J$3</f>
        <v>0.4</v>
      </c>
    </row>
    <row r="8" spans="1:14" x14ac:dyDescent="0.25">
      <c r="A8" s="82"/>
      <c r="B8" s="358">
        <v>4.4999999999999998E-2</v>
      </c>
      <c r="C8" s="83" t="s">
        <v>451</v>
      </c>
      <c r="D8" s="83"/>
      <c r="E8" s="166"/>
      <c r="F8" s="83"/>
      <c r="G8" s="84"/>
      <c r="I8" s="52">
        <v>2</v>
      </c>
      <c r="J8" s="239">
        <f t="shared" ref="J8:J11" si="0">C19/$J$3</f>
        <v>0.8</v>
      </c>
    </row>
    <row r="9" spans="1:14" x14ac:dyDescent="0.25">
      <c r="A9" s="82"/>
      <c r="B9" s="162">
        <v>0.11</v>
      </c>
      <c r="C9" s="83" t="s">
        <v>452</v>
      </c>
      <c r="D9" s="83"/>
      <c r="E9" s="166"/>
      <c r="F9" s="83"/>
      <c r="G9" s="84"/>
      <c r="I9" s="52">
        <v>3</v>
      </c>
      <c r="J9" s="239">
        <f t="shared" si="0"/>
        <v>1</v>
      </c>
    </row>
    <row r="10" spans="1:14" x14ac:dyDescent="0.25">
      <c r="A10" s="82"/>
      <c r="B10" s="162">
        <v>0.04</v>
      </c>
      <c r="C10" s="83" t="s">
        <v>453</v>
      </c>
      <c r="D10" s="83"/>
      <c r="E10" s="166"/>
      <c r="F10" s="83"/>
      <c r="G10" s="84"/>
      <c r="I10" s="52">
        <v>4</v>
      </c>
      <c r="J10" s="239">
        <f t="shared" si="0"/>
        <v>1.2</v>
      </c>
    </row>
    <row r="11" spans="1:14" x14ac:dyDescent="0.25">
      <c r="A11" s="82"/>
      <c r="B11" s="162">
        <v>0.1</v>
      </c>
      <c r="C11" s="83" t="s">
        <v>759</v>
      </c>
      <c r="D11" s="83"/>
      <c r="E11" s="166"/>
      <c r="F11" s="83"/>
      <c r="G11" s="84"/>
      <c r="I11" s="53">
        <v>5</v>
      </c>
      <c r="J11" s="240">
        <f t="shared" si="0"/>
        <v>1.6</v>
      </c>
    </row>
    <row r="12" spans="1:14" x14ac:dyDescent="0.25">
      <c r="A12" s="82"/>
      <c r="B12" s="162">
        <v>0.08</v>
      </c>
      <c r="C12" s="83" t="s">
        <v>449</v>
      </c>
      <c r="D12" s="83"/>
      <c r="E12" s="166"/>
      <c r="F12" s="83"/>
      <c r="G12" s="84"/>
    </row>
    <row r="13" spans="1:14" x14ac:dyDescent="0.25">
      <c r="A13" s="82"/>
      <c r="B13" s="162">
        <v>0.03</v>
      </c>
      <c r="C13" s="83" t="s">
        <v>454</v>
      </c>
      <c r="D13" s="83"/>
      <c r="E13" s="166"/>
      <c r="F13" s="83"/>
      <c r="G13" s="84"/>
      <c r="I13" s="3" t="s">
        <v>463</v>
      </c>
    </row>
    <row r="14" spans="1:14" x14ac:dyDescent="0.25">
      <c r="A14" s="82"/>
      <c r="B14" s="163">
        <v>0.05</v>
      </c>
      <c r="C14" s="104" t="s">
        <v>455</v>
      </c>
      <c r="D14" s="104"/>
      <c r="E14" s="167"/>
      <c r="F14" s="83"/>
      <c r="G14" s="84"/>
      <c r="I14" s="71" t="s">
        <v>462</v>
      </c>
      <c r="J14" s="69" t="s">
        <v>464</v>
      </c>
      <c r="K14" s="71" t="s">
        <v>465</v>
      </c>
      <c r="L14" s="69" t="s">
        <v>466</v>
      </c>
      <c r="M14" s="71" t="s">
        <v>760</v>
      </c>
      <c r="N14" s="70" t="s">
        <v>761</v>
      </c>
    </row>
    <row r="15" spans="1:14" x14ac:dyDescent="0.25">
      <c r="A15" s="82"/>
      <c r="B15" s="83"/>
      <c r="C15" s="83"/>
      <c r="D15" s="83"/>
      <c r="E15" s="83"/>
      <c r="F15" s="83"/>
      <c r="G15" s="84"/>
      <c r="I15" s="227">
        <v>0</v>
      </c>
      <c r="J15" s="228">
        <f>COUNTIF($J$7:$J$11,I15)</f>
        <v>0</v>
      </c>
      <c r="K15" s="227">
        <f>COUNTIF($J$7:$J$11,"&gt;"&amp;I15)</f>
        <v>5</v>
      </c>
      <c r="L15" s="229">
        <f>K15/5</f>
        <v>1</v>
      </c>
      <c r="M15" s="227">
        <f t="shared" ref="M15:M21" si="1">M16+L15*(I16-I15)</f>
        <v>1</v>
      </c>
      <c r="N15" s="230">
        <f>M15+I15-1</f>
        <v>0</v>
      </c>
    </row>
    <row r="16" spans="1:14" x14ac:dyDescent="0.25">
      <c r="A16" s="82"/>
      <c r="B16" s="83" t="s">
        <v>456</v>
      </c>
      <c r="C16" s="83"/>
      <c r="D16" s="83"/>
      <c r="E16" s="83"/>
      <c r="F16" s="83"/>
      <c r="G16" s="84"/>
      <c r="I16" s="231">
        <f>I15+0.2</f>
        <v>0.2</v>
      </c>
      <c r="J16" s="232">
        <f t="shared" ref="J16:J23" si="2">COUNTIF($J$7:$J$11,I16)</f>
        <v>0</v>
      </c>
      <c r="K16" s="231">
        <f t="shared" ref="K16:K23" si="3">COUNTIF($J$7:$J$11,"&gt;"&amp;I16)</f>
        <v>5</v>
      </c>
      <c r="L16" s="233">
        <f t="shared" ref="L16:L23" si="4">K16/5</f>
        <v>1</v>
      </c>
      <c r="M16" s="231">
        <f t="shared" si="1"/>
        <v>0.8</v>
      </c>
      <c r="N16" s="234">
        <f t="shared" ref="N16:N23" si="5">M16+I16-1</f>
        <v>0</v>
      </c>
    </row>
    <row r="17" spans="1:14" x14ac:dyDescent="0.25">
      <c r="A17" s="82"/>
      <c r="B17" s="146" t="s">
        <v>143</v>
      </c>
      <c r="C17" s="168" t="s">
        <v>457</v>
      </c>
      <c r="D17" s="169"/>
      <c r="E17" s="83"/>
      <c r="F17" s="83"/>
      <c r="G17" s="84"/>
      <c r="I17" s="231">
        <f t="shared" ref="I17:I22" si="6">I16+0.2</f>
        <v>0.4</v>
      </c>
      <c r="J17" s="232">
        <f t="shared" si="2"/>
        <v>1</v>
      </c>
      <c r="K17" s="231">
        <f t="shared" si="3"/>
        <v>4</v>
      </c>
      <c r="L17" s="233">
        <f t="shared" si="4"/>
        <v>0.8</v>
      </c>
      <c r="M17" s="231">
        <f t="shared" si="1"/>
        <v>0.6</v>
      </c>
      <c r="N17" s="234">
        <f t="shared" si="5"/>
        <v>0</v>
      </c>
    </row>
    <row r="18" spans="1:14" x14ac:dyDescent="0.25">
      <c r="A18" s="82"/>
      <c r="B18" s="114">
        <v>1</v>
      </c>
      <c r="C18" s="374">
        <v>400000</v>
      </c>
      <c r="D18" s="375"/>
      <c r="E18" s="83"/>
      <c r="F18" s="83"/>
      <c r="G18" s="84"/>
      <c r="I18" s="231">
        <f t="shared" si="6"/>
        <v>0.60000000000000009</v>
      </c>
      <c r="J18" s="232">
        <f t="shared" si="2"/>
        <v>0</v>
      </c>
      <c r="K18" s="231">
        <f t="shared" si="3"/>
        <v>4</v>
      </c>
      <c r="L18" s="233">
        <f t="shared" si="4"/>
        <v>0.8</v>
      </c>
      <c r="M18" s="231">
        <f t="shared" si="1"/>
        <v>0.43999999999999989</v>
      </c>
      <c r="N18" s="234">
        <f t="shared" si="5"/>
        <v>4.0000000000000036E-2</v>
      </c>
    </row>
    <row r="19" spans="1:14" x14ac:dyDescent="0.25">
      <c r="A19" s="82"/>
      <c r="B19" s="114">
        <v>2</v>
      </c>
      <c r="C19" s="376">
        <v>800000</v>
      </c>
      <c r="D19" s="377"/>
      <c r="E19" s="83"/>
      <c r="F19" s="83"/>
      <c r="G19" s="84"/>
      <c r="I19" s="231">
        <f t="shared" si="6"/>
        <v>0.8</v>
      </c>
      <c r="J19" s="232">
        <f t="shared" si="2"/>
        <v>1</v>
      </c>
      <c r="K19" s="231">
        <f t="shared" si="3"/>
        <v>3</v>
      </c>
      <c r="L19" s="233">
        <f t="shared" si="4"/>
        <v>0.6</v>
      </c>
      <c r="M19" s="231">
        <f t="shared" si="1"/>
        <v>0.27999999999999992</v>
      </c>
      <c r="N19" s="234">
        <f t="shared" si="5"/>
        <v>8.0000000000000071E-2</v>
      </c>
    </row>
    <row r="20" spans="1:14" x14ac:dyDescent="0.25">
      <c r="A20" s="82"/>
      <c r="B20" s="114">
        <v>3</v>
      </c>
      <c r="C20" s="376">
        <v>1000000</v>
      </c>
      <c r="D20" s="377"/>
      <c r="E20" s="83"/>
      <c r="F20" s="83"/>
      <c r="G20" s="84"/>
      <c r="I20" s="231">
        <f t="shared" si="6"/>
        <v>1</v>
      </c>
      <c r="J20" s="232">
        <f t="shared" si="2"/>
        <v>1</v>
      </c>
      <c r="K20" s="231">
        <f t="shared" si="3"/>
        <v>2</v>
      </c>
      <c r="L20" s="233">
        <f t="shared" si="4"/>
        <v>0.4</v>
      </c>
      <c r="M20" s="231">
        <f t="shared" si="1"/>
        <v>0.15999999999999998</v>
      </c>
      <c r="N20" s="234">
        <f t="shared" si="5"/>
        <v>0.15999999999999992</v>
      </c>
    </row>
    <row r="21" spans="1:14" x14ac:dyDescent="0.25">
      <c r="A21" s="82"/>
      <c r="B21" s="114">
        <v>4</v>
      </c>
      <c r="C21" s="376">
        <v>1200000</v>
      </c>
      <c r="D21" s="377"/>
      <c r="E21" s="83"/>
      <c r="F21" s="83"/>
      <c r="G21" s="84"/>
      <c r="I21" s="231">
        <f t="shared" si="6"/>
        <v>1.2</v>
      </c>
      <c r="J21" s="232">
        <f t="shared" si="2"/>
        <v>1</v>
      </c>
      <c r="K21" s="231">
        <f t="shared" si="3"/>
        <v>1</v>
      </c>
      <c r="L21" s="233">
        <f t="shared" si="4"/>
        <v>0.2</v>
      </c>
      <c r="M21" s="231">
        <f t="shared" si="1"/>
        <v>7.9999999999999988E-2</v>
      </c>
      <c r="N21" s="234">
        <f t="shared" si="5"/>
        <v>0.28000000000000003</v>
      </c>
    </row>
    <row r="22" spans="1:14" x14ac:dyDescent="0.25">
      <c r="A22" s="82"/>
      <c r="B22" s="116">
        <v>5</v>
      </c>
      <c r="C22" s="378">
        <v>1600000</v>
      </c>
      <c r="D22" s="379"/>
      <c r="E22" s="83"/>
      <c r="F22" s="83"/>
      <c r="G22" s="84"/>
      <c r="I22" s="231">
        <f t="shared" si="6"/>
        <v>1.4</v>
      </c>
      <c r="J22" s="232">
        <f t="shared" si="2"/>
        <v>0</v>
      </c>
      <c r="K22" s="231">
        <f t="shared" si="3"/>
        <v>1</v>
      </c>
      <c r="L22" s="233">
        <f t="shared" si="4"/>
        <v>0.2</v>
      </c>
      <c r="M22" s="231">
        <f>M23+L22*(I23-I22)</f>
        <v>3.9999999999999994E-2</v>
      </c>
      <c r="N22" s="234">
        <f t="shared" si="5"/>
        <v>0.43999999999999995</v>
      </c>
    </row>
    <row r="23" spans="1:14" x14ac:dyDescent="0.25">
      <c r="A23" s="82"/>
      <c r="B23" s="83"/>
      <c r="C23" s="83"/>
      <c r="D23" s="83"/>
      <c r="E23" s="83"/>
      <c r="F23" s="83"/>
      <c r="G23" s="84"/>
      <c r="I23" s="235">
        <f>I22+0.2</f>
        <v>1.5999999999999999</v>
      </c>
      <c r="J23" s="236">
        <f t="shared" si="2"/>
        <v>1</v>
      </c>
      <c r="K23" s="235">
        <f t="shared" si="3"/>
        <v>0</v>
      </c>
      <c r="L23" s="237">
        <f t="shared" si="4"/>
        <v>0</v>
      </c>
      <c r="M23" s="235">
        <v>0</v>
      </c>
      <c r="N23" s="238">
        <f t="shared" si="5"/>
        <v>0.59999999999999987</v>
      </c>
    </row>
    <row r="24" spans="1:14" x14ac:dyDescent="0.25">
      <c r="A24" s="98" t="s">
        <v>2</v>
      </c>
      <c r="B24" s="83" t="s">
        <v>458</v>
      </c>
      <c r="C24" s="83"/>
      <c r="D24" s="83"/>
      <c r="E24" s="83"/>
      <c r="F24" s="83"/>
      <c r="G24" s="84"/>
      <c r="H24" s="3"/>
    </row>
    <row r="25" spans="1:14" ht="15.75" thickBot="1" x14ac:dyDescent="0.3">
      <c r="A25" s="86">
        <f>INDEX('Point Grid'!$C$8:$I$28,MATCH($A$1,'Point Grid'!$A$8:$A$28,0),MATCH(A24,'Point Grid'!$C$7:$I$7,0))</f>
        <v>2</v>
      </c>
      <c r="B25" s="83" t="s">
        <v>459</v>
      </c>
      <c r="C25" s="83"/>
      <c r="D25" s="83"/>
      <c r="E25" s="83"/>
      <c r="F25" s="83"/>
      <c r="G25" s="84"/>
      <c r="H25" s="28" t="s">
        <v>84</v>
      </c>
      <c r="I25" s="3" t="s">
        <v>476</v>
      </c>
    </row>
    <row r="26" spans="1:14" ht="15.75" thickBot="1" x14ac:dyDescent="0.3">
      <c r="A26" s="4">
        <v>2</v>
      </c>
      <c r="B26" s="83"/>
      <c r="C26" s="83"/>
      <c r="D26" s="83"/>
      <c r="E26" s="83"/>
      <c r="F26" s="83"/>
      <c r="G26" s="84"/>
    </row>
    <row r="27" spans="1:14" x14ac:dyDescent="0.25">
      <c r="A27" s="82"/>
      <c r="B27" s="83"/>
      <c r="C27" s="83"/>
      <c r="D27" s="83"/>
      <c r="E27" s="83"/>
      <c r="F27" s="83"/>
      <c r="G27" s="84"/>
      <c r="I27" s="59">
        <f>J3*B11</f>
        <v>100000</v>
      </c>
      <c r="J27" s="3" t="s">
        <v>467</v>
      </c>
    </row>
    <row r="28" spans="1:14" x14ac:dyDescent="0.25">
      <c r="A28" s="98" t="s">
        <v>3</v>
      </c>
      <c r="B28" s="83" t="s">
        <v>478</v>
      </c>
      <c r="C28" s="83"/>
      <c r="D28" s="83"/>
      <c r="E28" s="83"/>
      <c r="F28" s="83"/>
      <c r="G28" s="84"/>
      <c r="I28" s="59">
        <f>J3-I27</f>
        <v>900000</v>
      </c>
      <c r="J28" s="3" t="s">
        <v>468</v>
      </c>
    </row>
    <row r="29" spans="1:14" ht="15.75" thickBot="1" x14ac:dyDescent="0.3">
      <c r="A29" s="86">
        <f>INDEX('Point Grid'!$C$8:$I$28,MATCH($A$1,'Point Grid'!$A$8:$A$28,0),MATCH(A28,'Point Grid'!$C$7:$I$7,0))</f>
        <v>2</v>
      </c>
      <c r="B29" s="83" t="s">
        <v>809</v>
      </c>
      <c r="C29" s="83"/>
      <c r="D29" s="83"/>
      <c r="E29" s="83"/>
      <c r="F29" s="83"/>
      <c r="G29" s="84"/>
      <c r="I29" s="59">
        <f>B7*B6</f>
        <v>75000</v>
      </c>
      <c r="J29" s="3" t="s">
        <v>469</v>
      </c>
    </row>
    <row r="30" spans="1:14" ht="15.75" thickBot="1" x14ac:dyDescent="0.3">
      <c r="A30" s="4">
        <v>2</v>
      </c>
      <c r="B30" s="100"/>
      <c r="C30" s="100"/>
      <c r="D30" s="100"/>
      <c r="E30" s="100"/>
      <c r="F30" s="100"/>
      <c r="G30" s="101"/>
      <c r="I30" s="59">
        <f>B8*B6</f>
        <v>56250</v>
      </c>
      <c r="J30" s="3" t="s">
        <v>470</v>
      </c>
    </row>
    <row r="31" spans="1:14" x14ac:dyDescent="0.25">
      <c r="H31" s="3"/>
      <c r="I31" s="59">
        <f>B9*J3</f>
        <v>110000</v>
      </c>
      <c r="J31" s="3" t="s">
        <v>472</v>
      </c>
    </row>
    <row r="32" spans="1:14" x14ac:dyDescent="0.25">
      <c r="H32" s="3"/>
      <c r="I32" s="59">
        <f>B10*J3</f>
        <v>40000</v>
      </c>
      <c r="J32" s="3" t="s">
        <v>473</v>
      </c>
    </row>
    <row r="33" spans="8:10" x14ac:dyDescent="0.25">
      <c r="H33" s="3"/>
      <c r="I33" s="59">
        <f>B12*B6</f>
        <v>100000</v>
      </c>
      <c r="J33" s="3" t="s">
        <v>474</v>
      </c>
    </row>
    <row r="34" spans="8:10" x14ac:dyDescent="0.25">
      <c r="H34" s="3"/>
      <c r="I34" s="59">
        <f>B13*B6</f>
        <v>37500</v>
      </c>
      <c r="J34" s="3" t="s">
        <v>475</v>
      </c>
    </row>
    <row r="35" spans="8:10" x14ac:dyDescent="0.25">
      <c r="H35" s="3"/>
    </row>
    <row r="36" spans="8:10" x14ac:dyDescent="0.25">
      <c r="H36" s="3"/>
      <c r="I36" s="3" t="s">
        <v>477</v>
      </c>
    </row>
    <row r="37" spans="8:10" x14ac:dyDescent="0.25">
      <c r="H37" s="3"/>
      <c r="I37" s="3" t="s">
        <v>479</v>
      </c>
    </row>
    <row r="38" spans="8:10" x14ac:dyDescent="0.25">
      <c r="H38" s="3"/>
      <c r="I38" s="3" t="s">
        <v>480</v>
      </c>
    </row>
    <row r="39" spans="8:10" x14ac:dyDescent="0.25">
      <c r="I39" s="3" t="s">
        <v>481</v>
      </c>
    </row>
    <row r="40" spans="8:10" x14ac:dyDescent="0.25">
      <c r="I40" s="3" t="s">
        <v>482</v>
      </c>
    </row>
    <row r="41" spans="8:10" x14ac:dyDescent="0.25">
      <c r="I41" s="3" t="s">
        <v>483</v>
      </c>
    </row>
    <row r="42" spans="8:10" x14ac:dyDescent="0.25">
      <c r="I42" s="65">
        <f>1260000/I28</f>
        <v>1.4</v>
      </c>
    </row>
    <row r="44" spans="8:10" x14ac:dyDescent="0.25">
      <c r="I44" s="3" t="s">
        <v>484</v>
      </c>
    </row>
    <row r="45" spans="8:10" x14ac:dyDescent="0.25">
      <c r="I45" s="59">
        <f>M22*I28</f>
        <v>35999.999999999993</v>
      </c>
    </row>
    <row r="47" spans="8:10" x14ac:dyDescent="0.25">
      <c r="I47" s="3" t="s">
        <v>486</v>
      </c>
    </row>
    <row r="48" spans="8:10" x14ac:dyDescent="0.25">
      <c r="J48" s="72" t="s">
        <v>485</v>
      </c>
    </row>
    <row r="50" spans="9:9" x14ac:dyDescent="0.25">
      <c r="I50" s="241">
        <f>(I27+SUM(I29:I34)+I45)/(1-B14)</f>
        <v>583947.3684210527</v>
      </c>
    </row>
  </sheetData>
  <sheetProtection formatCells="0" formatColumns="0" formatRows="0"/>
  <mergeCells count="5">
    <mergeCell ref="C18:D18"/>
    <mergeCell ref="C19:D19"/>
    <mergeCell ref="C20:D20"/>
    <mergeCell ref="C21:D21"/>
    <mergeCell ref="C22:D22"/>
  </mergeCells>
  <conditionalFormatting sqref="B1">
    <cfRule type="cellIs" dxfId="26" priority="1" operator="equal">
      <formula>"Incomplete"</formula>
    </cfRule>
    <cfRule type="cellIs" dxfId="25" priority="2" operator="equal">
      <formula>"Flag for Review"</formula>
    </cfRule>
    <cfRule type="cellIs" dxfId="24" priority="3" operator="equal">
      <formula>"Finished"</formula>
    </cfRule>
  </conditionalFormatting>
  <dataValidations count="2">
    <dataValidation type="list" allowBlank="1" showInputMessage="1" showErrorMessage="1" sqref="B1" xr:uid="{1ABE1E93-AB03-4BAF-BD5E-4D5585611AAF}">
      <formula1>"Finished, Flag for Review, Incomplete"</formula1>
    </dataValidation>
    <dataValidation type="decimal" allowBlank="1" showInputMessage="1" showErrorMessage="1" sqref="A26 A30" xr:uid="{31C76038-421C-4459-B0DC-34067AB65D07}">
      <formula1>0</formula1>
      <formula2>A25</formula2>
    </dataValidation>
  </dataValidations>
  <hyperlinks>
    <hyperlink ref="G1" location="Navigator!A1" display="Navigator" xr:uid="{CB284CBF-B294-43C3-BE9A-A88AEF221815}"/>
  </hyperlinks>
  <pageMargins left="0.7" right="0.7" top="0.75" bottom="0.75" header="0.3" footer="0.3"/>
  <pageSetup paperSize="9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5512A0-80E3-4C76-B49A-35C917D20126}">
  <sheetPr codeName="Sheet18"/>
  <dimension ref="A1:M40"/>
  <sheetViews>
    <sheetView workbookViewId="0"/>
  </sheetViews>
  <sheetFormatPr defaultColWidth="9.140625" defaultRowHeight="15" x14ac:dyDescent="0.25"/>
  <cols>
    <col min="1" max="1" width="6.5703125" style="3" bestFit="1" customWidth="1"/>
    <col min="2" max="2" width="19.28515625" style="3" customWidth="1"/>
    <col min="3" max="3" width="9.42578125" style="3" customWidth="1"/>
    <col min="4" max="5" width="12.140625" style="3" customWidth="1"/>
    <col min="6" max="6" width="19.5703125" style="3" bestFit="1" customWidth="1"/>
    <col min="7" max="7" width="5.7109375" style="3" customWidth="1"/>
    <col min="8" max="8" width="3.7109375" style="28" customWidth="1"/>
    <col min="9" max="9" width="10.85546875" style="3" bestFit="1" customWidth="1"/>
    <col min="10" max="10" width="11.85546875" style="3" bestFit="1" customWidth="1"/>
    <col min="11" max="11" width="10.85546875" style="3" bestFit="1" customWidth="1"/>
    <col min="12" max="12" width="9.140625" style="3"/>
    <col min="13" max="13" width="11.85546875" style="3" bestFit="1" customWidth="1"/>
    <col min="14" max="16384" width="9.140625" style="3"/>
  </cols>
  <sheetData>
    <row r="1" spans="1:13" ht="15.75" x14ac:dyDescent="0.25">
      <c r="A1" s="80">
        <v>16</v>
      </c>
      <c r="B1" s="78" t="s">
        <v>530</v>
      </c>
      <c r="C1" s="81"/>
      <c r="D1" s="81"/>
      <c r="E1" s="81"/>
      <c r="F1" s="81"/>
      <c r="G1" s="77" t="s">
        <v>529</v>
      </c>
      <c r="I1" s="79" t="s">
        <v>38</v>
      </c>
    </row>
    <row r="2" spans="1:13" x14ac:dyDescent="0.25">
      <c r="A2" s="82"/>
      <c r="B2" s="83"/>
      <c r="C2" s="83"/>
      <c r="D2" s="83"/>
      <c r="E2" s="83"/>
      <c r="F2" s="83"/>
      <c r="G2" s="84"/>
      <c r="H2" s="28" t="s">
        <v>63</v>
      </c>
      <c r="I2" s="3" t="s">
        <v>460</v>
      </c>
      <c r="J2" s="74">
        <f>AVERAGE(0,1000000)</f>
        <v>500000</v>
      </c>
    </row>
    <row r="3" spans="1:13" x14ac:dyDescent="0.25">
      <c r="A3" s="85" t="s">
        <v>14</v>
      </c>
      <c r="B3" s="83" t="s">
        <v>487</v>
      </c>
      <c r="C3" s="83"/>
      <c r="D3" s="83"/>
      <c r="E3" s="83"/>
      <c r="F3" s="83"/>
      <c r="G3" s="84"/>
      <c r="I3" s="3" t="s">
        <v>499</v>
      </c>
    </row>
    <row r="4" spans="1:13" x14ac:dyDescent="0.25">
      <c r="A4" s="86">
        <f>INDEX('Point Grid'!B:B,MATCH('16'!A1,'Point Grid'!A:A,0))</f>
        <v>4</v>
      </c>
      <c r="B4" s="83" t="s">
        <v>488</v>
      </c>
      <c r="C4" s="83"/>
      <c r="D4" s="83"/>
      <c r="E4" s="83"/>
      <c r="F4" s="83"/>
      <c r="G4" s="84"/>
      <c r="I4" s="3" t="s">
        <v>500</v>
      </c>
    </row>
    <row r="5" spans="1:13" x14ac:dyDescent="0.25">
      <c r="A5" s="82"/>
      <c r="B5" s="83" t="s">
        <v>489</v>
      </c>
      <c r="C5" s="83"/>
      <c r="D5" s="83"/>
      <c r="E5" s="83"/>
      <c r="F5" s="83"/>
      <c r="G5" s="84"/>
      <c r="I5" s="3" t="s">
        <v>507</v>
      </c>
      <c r="K5" s="65">
        <f>1/(1-B11)</f>
        <v>1.0526315789473684</v>
      </c>
    </row>
    <row r="6" spans="1:13" x14ac:dyDescent="0.25">
      <c r="A6" s="82"/>
      <c r="B6" s="83"/>
      <c r="C6" s="83"/>
      <c r="D6" s="83"/>
      <c r="E6" s="83"/>
      <c r="F6" s="83"/>
      <c r="G6" s="84"/>
    </row>
    <row r="7" spans="1:13" x14ac:dyDescent="0.25">
      <c r="A7" s="82"/>
      <c r="B7" s="328">
        <v>750000</v>
      </c>
      <c r="C7" s="164" t="s">
        <v>490</v>
      </c>
      <c r="D7" s="164"/>
      <c r="E7" s="165"/>
      <c r="F7" s="83"/>
      <c r="G7" s="84"/>
      <c r="I7" s="35" t="s">
        <v>501</v>
      </c>
    </row>
    <row r="8" spans="1:13" x14ac:dyDescent="0.25">
      <c r="A8" s="82"/>
      <c r="B8" s="148">
        <v>225000</v>
      </c>
      <c r="C8" s="83" t="s">
        <v>491</v>
      </c>
      <c r="D8" s="83"/>
      <c r="E8" s="166"/>
      <c r="F8" s="83"/>
      <c r="G8" s="84"/>
      <c r="I8" s="3" t="s">
        <v>511</v>
      </c>
      <c r="M8" s="65">
        <f>1-B7/10^6</f>
        <v>0.25</v>
      </c>
    </row>
    <row r="9" spans="1:13" x14ac:dyDescent="0.25">
      <c r="A9" s="82"/>
      <c r="B9" s="114">
        <v>1.1499999999999999</v>
      </c>
      <c r="C9" s="83" t="s">
        <v>492</v>
      </c>
      <c r="D9" s="83"/>
      <c r="E9" s="166"/>
      <c r="F9" s="83"/>
      <c r="G9" s="84"/>
      <c r="I9" s="3" t="s">
        <v>512</v>
      </c>
      <c r="M9" s="67">
        <f>AVERAGE(B7,10^6)-B7</f>
        <v>125000</v>
      </c>
    </row>
    <row r="10" spans="1:13" x14ac:dyDescent="0.25">
      <c r="A10" s="82"/>
      <c r="B10" s="148">
        <v>130000</v>
      </c>
      <c r="C10" s="83" t="s">
        <v>493</v>
      </c>
      <c r="D10" s="83"/>
      <c r="E10" s="166"/>
      <c r="F10" s="83"/>
      <c r="G10" s="84"/>
      <c r="I10" s="3" t="s">
        <v>503</v>
      </c>
      <c r="M10" s="67">
        <f>M8*M9</f>
        <v>31250</v>
      </c>
    </row>
    <row r="11" spans="1:13" x14ac:dyDescent="0.25">
      <c r="A11" s="82"/>
      <c r="B11" s="163">
        <v>0.05</v>
      </c>
      <c r="C11" s="104" t="s">
        <v>506</v>
      </c>
      <c r="D11" s="104"/>
      <c r="E11" s="167"/>
      <c r="F11" s="83"/>
      <c r="G11" s="84"/>
      <c r="M11" s="67"/>
    </row>
    <row r="12" spans="1:13" x14ac:dyDescent="0.25">
      <c r="A12" s="82"/>
      <c r="B12" s="83"/>
      <c r="C12" s="83"/>
      <c r="D12" s="83"/>
      <c r="E12" s="83"/>
      <c r="F12" s="83"/>
      <c r="G12" s="84"/>
      <c r="I12" s="3" t="s">
        <v>514</v>
      </c>
      <c r="M12" s="65">
        <f>B8/10^6</f>
        <v>0.22500000000000001</v>
      </c>
    </row>
    <row r="13" spans="1:13" x14ac:dyDescent="0.25">
      <c r="A13" s="98" t="s">
        <v>2</v>
      </c>
      <c r="B13" s="83" t="s">
        <v>494</v>
      </c>
      <c r="C13" s="83"/>
      <c r="D13" s="83"/>
      <c r="E13" s="83"/>
      <c r="F13" s="83"/>
      <c r="G13" s="84"/>
      <c r="I13" s="3" t="s">
        <v>513</v>
      </c>
      <c r="M13" s="67">
        <f>AVERAGE(0,B8)</f>
        <v>112500</v>
      </c>
    </row>
    <row r="14" spans="1:13" ht="15.75" thickBot="1" x14ac:dyDescent="0.3">
      <c r="A14" s="86">
        <f>INDEX('Point Grid'!$C$8:$I$28,MATCH($A$1,'Point Grid'!$A$8:$A$28,0),MATCH(A13,'Point Grid'!$C$7:$I$7,0))</f>
        <v>2</v>
      </c>
      <c r="B14" s="83"/>
      <c r="C14" s="83"/>
      <c r="D14" s="83"/>
      <c r="E14" s="83"/>
      <c r="F14" s="83"/>
      <c r="G14" s="84"/>
      <c r="I14" s="3" t="s">
        <v>502</v>
      </c>
      <c r="M14" s="67">
        <f>M12*M13</f>
        <v>25312.5</v>
      </c>
    </row>
    <row r="15" spans="1:13" ht="15.75" thickBot="1" x14ac:dyDescent="0.3">
      <c r="A15" s="4">
        <v>2</v>
      </c>
      <c r="B15" s="83"/>
      <c r="C15" s="83"/>
      <c r="D15" s="83"/>
      <c r="E15" s="83"/>
      <c r="F15" s="83"/>
      <c r="G15" s="84"/>
    </row>
    <row r="16" spans="1:13" x14ac:dyDescent="0.25">
      <c r="A16" s="82"/>
      <c r="B16" s="83"/>
      <c r="C16" s="83"/>
      <c r="D16" s="83"/>
      <c r="E16" s="83"/>
      <c r="F16" s="83"/>
      <c r="G16" s="84"/>
      <c r="I16" s="3" t="s">
        <v>504</v>
      </c>
      <c r="M16" s="67">
        <f>M10-M14</f>
        <v>5937.5</v>
      </c>
    </row>
    <row r="17" spans="1:13" x14ac:dyDescent="0.25">
      <c r="A17" s="98" t="s">
        <v>3</v>
      </c>
      <c r="B17" s="83" t="s">
        <v>495</v>
      </c>
      <c r="C17" s="83"/>
      <c r="D17" s="83"/>
      <c r="E17" s="83"/>
      <c r="F17" s="83"/>
      <c r="G17" s="84"/>
    </row>
    <row r="18" spans="1:13" ht="15.75" thickBot="1" x14ac:dyDescent="0.3">
      <c r="A18" s="86">
        <f>INDEX('Point Grid'!$C$8:$I$28,MATCH($A$1,'Point Grid'!$A$8:$A$28,0),MATCH(A17,'Point Grid'!$C$7:$I$7,0))</f>
        <v>2</v>
      </c>
      <c r="B18" s="83" t="s">
        <v>496</v>
      </c>
      <c r="C18" s="83"/>
      <c r="D18" s="83"/>
      <c r="E18" s="83"/>
      <c r="F18" s="83"/>
      <c r="G18" s="84"/>
      <c r="I18" s="3" t="s">
        <v>505</v>
      </c>
      <c r="J18" s="74">
        <f>J2-M16</f>
        <v>494062.5</v>
      </c>
    </row>
    <row r="19" spans="1:13" ht="15.75" thickBot="1" x14ac:dyDescent="0.3">
      <c r="A19" s="4">
        <v>2</v>
      </c>
      <c r="B19" s="83" t="s">
        <v>497</v>
      </c>
      <c r="C19" s="83"/>
      <c r="D19" s="83"/>
      <c r="E19" s="83"/>
      <c r="F19" s="83"/>
      <c r="G19" s="84"/>
    </row>
    <row r="20" spans="1:13" ht="15.75" thickBot="1" x14ac:dyDescent="0.3">
      <c r="A20" s="106"/>
      <c r="B20" s="100" t="s">
        <v>498</v>
      </c>
      <c r="C20" s="100"/>
      <c r="D20" s="100"/>
      <c r="E20" s="100"/>
      <c r="F20" s="100"/>
      <c r="G20" s="101"/>
      <c r="I20" s="3" t="s">
        <v>599</v>
      </c>
      <c r="K20" s="242">
        <f>(B10+B9*J18)*K5</f>
        <v>734917.76315789472</v>
      </c>
    </row>
    <row r="21" spans="1:13" x14ac:dyDescent="0.25">
      <c r="H21" s="3"/>
    </row>
    <row r="22" spans="1:13" x14ac:dyDescent="0.25">
      <c r="H22" s="3" t="s">
        <v>84</v>
      </c>
      <c r="I22" s="3" t="s">
        <v>508</v>
      </c>
    </row>
    <row r="23" spans="1:13" x14ac:dyDescent="0.25">
      <c r="H23" s="3"/>
      <c r="I23" s="3" t="s">
        <v>460</v>
      </c>
      <c r="J23" s="74">
        <f>AVERAGE(0,800000)</f>
        <v>400000</v>
      </c>
    </row>
    <row r="24" spans="1:13" x14ac:dyDescent="0.25">
      <c r="H24" s="3"/>
    </row>
    <row r="25" spans="1:13" x14ac:dyDescent="0.25">
      <c r="H25" s="3"/>
      <c r="I25" s="3" t="s">
        <v>511</v>
      </c>
      <c r="M25" s="75">
        <f>1-B7/800000</f>
        <v>6.25E-2</v>
      </c>
    </row>
    <row r="26" spans="1:13" x14ac:dyDescent="0.25">
      <c r="H26" s="3"/>
      <c r="I26" s="3" t="s">
        <v>512</v>
      </c>
      <c r="M26" s="59">
        <f>AVERAGE(B7,800000)-B7</f>
        <v>25000</v>
      </c>
    </row>
    <row r="27" spans="1:13" x14ac:dyDescent="0.25">
      <c r="H27" s="3"/>
      <c r="I27" s="3" t="s">
        <v>503</v>
      </c>
      <c r="M27" s="59">
        <f>M25*M26</f>
        <v>1562.5</v>
      </c>
    </row>
    <row r="28" spans="1:13" x14ac:dyDescent="0.25">
      <c r="H28" s="3"/>
    </row>
    <row r="29" spans="1:13" x14ac:dyDescent="0.25">
      <c r="H29" s="3"/>
      <c r="I29" s="3" t="s">
        <v>514</v>
      </c>
      <c r="M29" s="75">
        <f>B8/800000</f>
        <v>0.28125</v>
      </c>
    </row>
    <row r="30" spans="1:13" x14ac:dyDescent="0.25">
      <c r="H30" s="3"/>
      <c r="I30" s="3" t="s">
        <v>513</v>
      </c>
      <c r="M30" s="59">
        <f>AVERAGE(0,B8)</f>
        <v>112500</v>
      </c>
    </row>
    <row r="31" spans="1:13" x14ac:dyDescent="0.25">
      <c r="H31" s="3"/>
      <c r="I31" s="3" t="s">
        <v>502</v>
      </c>
      <c r="M31" s="59">
        <f>M29*M30</f>
        <v>31640.625</v>
      </c>
    </row>
    <row r="32" spans="1:13" x14ac:dyDescent="0.25">
      <c r="H32" s="3"/>
    </row>
    <row r="33" spans="9:13" x14ac:dyDescent="0.25">
      <c r="I33" s="3" t="s">
        <v>504</v>
      </c>
      <c r="M33" s="59">
        <f>M27-M31</f>
        <v>-30078.125</v>
      </c>
    </row>
    <row r="35" spans="9:13" x14ac:dyDescent="0.25">
      <c r="I35" s="3" t="s">
        <v>509</v>
      </c>
      <c r="J35" s="73">
        <f>J23-M33</f>
        <v>430078.125</v>
      </c>
    </row>
    <row r="37" spans="9:13" x14ac:dyDescent="0.25">
      <c r="I37" s="3" t="s">
        <v>599</v>
      </c>
      <c r="K37" s="59">
        <f>(B10+B9*J35)*K5</f>
        <v>657462.99342105258</v>
      </c>
    </row>
    <row r="39" spans="9:13" x14ac:dyDescent="0.25">
      <c r="I39" s="3" t="s">
        <v>510</v>
      </c>
    </row>
    <row r="40" spans="9:13" x14ac:dyDescent="0.25">
      <c r="I40" s="226">
        <f>K20-K37</f>
        <v>77454.769736842136</v>
      </c>
    </row>
  </sheetData>
  <sheetProtection formatCells="0" formatColumns="0" formatRows="0"/>
  <conditionalFormatting sqref="B1">
    <cfRule type="cellIs" dxfId="23" priority="1" operator="equal">
      <formula>"Incomplete"</formula>
    </cfRule>
    <cfRule type="cellIs" dxfId="22" priority="2" operator="equal">
      <formula>"Flag for Review"</formula>
    </cfRule>
    <cfRule type="cellIs" dxfId="21" priority="3" operator="equal">
      <formula>"Finished"</formula>
    </cfRule>
  </conditionalFormatting>
  <dataValidations count="2">
    <dataValidation type="decimal" allowBlank="1" showInputMessage="1" showErrorMessage="1" sqref="A15 A19" xr:uid="{2AA5B510-CE0C-4E3D-AC6E-9D948A22F351}">
      <formula1>0</formula1>
      <formula2>A14</formula2>
    </dataValidation>
    <dataValidation type="list" allowBlank="1" showInputMessage="1" showErrorMessage="1" sqref="B1" xr:uid="{99F92B34-9DCD-4BE2-8076-3C3CA4D8E527}">
      <formula1>"Finished, Flag for Review, Incomplete"</formula1>
    </dataValidation>
  </dataValidations>
  <hyperlinks>
    <hyperlink ref="G1" location="Navigator!A1" display="Navigator" xr:uid="{A4E546C2-C39B-4834-9BD3-E91ADE3D680E}"/>
  </hyperlink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0C8A39-862A-44C3-A552-34B04FBF5624}">
  <sheetPr codeName="Sheet2"/>
  <dimension ref="A5:S34"/>
  <sheetViews>
    <sheetView zoomScale="90" zoomScaleNormal="90" workbookViewId="0"/>
  </sheetViews>
  <sheetFormatPr defaultRowHeight="15" x14ac:dyDescent="0.25"/>
  <cols>
    <col min="2" max="2" width="10.42578125" customWidth="1"/>
    <col min="3" max="9" width="7.28515625" customWidth="1"/>
    <col min="10" max="10" width="14.140625" bestFit="1" customWidth="1"/>
    <col min="11" max="11" width="2.7109375" customWidth="1"/>
    <col min="12" max="12" width="13.5703125" bestFit="1" customWidth="1"/>
    <col min="13" max="13" width="8.5703125" customWidth="1"/>
    <col min="14" max="19" width="7.28515625" customWidth="1"/>
  </cols>
  <sheetData>
    <row r="5" spans="1:19" ht="23.25" x14ac:dyDescent="0.35">
      <c r="A5" s="14" t="s">
        <v>47</v>
      </c>
      <c r="B5" s="11"/>
      <c r="C5" s="11"/>
      <c r="D5" s="11"/>
      <c r="E5" s="11"/>
      <c r="F5" s="11"/>
      <c r="G5" s="11"/>
      <c r="H5" s="11"/>
      <c r="I5" s="11"/>
      <c r="J5" s="11"/>
      <c r="K5" s="11"/>
      <c r="L5" s="11"/>
      <c r="M5" s="11"/>
      <c r="N5" s="11"/>
      <c r="O5" s="11"/>
      <c r="P5" s="11"/>
      <c r="Q5" s="11"/>
      <c r="R5" s="11"/>
      <c r="S5" s="11"/>
    </row>
    <row r="6" spans="1:19" ht="15.75" x14ac:dyDescent="0.25">
      <c r="A6" s="22"/>
      <c r="B6" s="369" t="s">
        <v>9</v>
      </c>
      <c r="C6" s="2" t="s">
        <v>1</v>
      </c>
      <c r="D6" s="2"/>
      <c r="E6" s="2"/>
      <c r="F6" s="2"/>
      <c r="G6" s="2"/>
      <c r="H6" s="2"/>
      <c r="I6" s="2"/>
      <c r="J6" s="22"/>
      <c r="L6" s="24" t="s">
        <v>12</v>
      </c>
      <c r="M6" s="2" t="s">
        <v>1</v>
      </c>
      <c r="N6" s="2"/>
      <c r="O6" s="2"/>
      <c r="P6" s="2"/>
      <c r="Q6" s="2"/>
      <c r="R6" s="2"/>
      <c r="S6" s="2"/>
    </row>
    <row r="7" spans="1:19" x14ac:dyDescent="0.25">
      <c r="A7" s="23" t="s">
        <v>0</v>
      </c>
      <c r="B7" s="370"/>
      <c r="C7" s="23" t="s">
        <v>2</v>
      </c>
      <c r="D7" s="23" t="s">
        <v>3</v>
      </c>
      <c r="E7" s="23" t="s">
        <v>4</v>
      </c>
      <c r="F7" s="23" t="s">
        <v>5</v>
      </c>
      <c r="G7" s="23" t="s">
        <v>6</v>
      </c>
      <c r="H7" s="23" t="s">
        <v>7</v>
      </c>
      <c r="I7" s="23" t="s">
        <v>8</v>
      </c>
      <c r="J7" s="23" t="s">
        <v>11</v>
      </c>
      <c r="L7" s="25" t="s">
        <v>0</v>
      </c>
      <c r="M7" s="23" t="s">
        <v>2</v>
      </c>
      <c r="N7" s="23" t="s">
        <v>3</v>
      </c>
      <c r="O7" s="23" t="s">
        <v>4</v>
      </c>
      <c r="P7" s="23" t="s">
        <v>5</v>
      </c>
      <c r="Q7" s="23" t="s">
        <v>6</v>
      </c>
      <c r="R7" s="23" t="s">
        <v>7</v>
      </c>
      <c r="S7" s="23" t="s">
        <v>8</v>
      </c>
    </row>
    <row r="8" spans="1:19" x14ac:dyDescent="0.25">
      <c r="A8" s="18">
        <v>1</v>
      </c>
      <c r="B8" s="19">
        <f>SUM(C8:I8)</f>
        <v>3.5</v>
      </c>
      <c r="C8" s="20">
        <v>2.5</v>
      </c>
      <c r="D8" s="20">
        <v>1</v>
      </c>
      <c r="E8" s="20"/>
      <c r="F8" s="20"/>
      <c r="G8" s="20"/>
      <c r="H8" s="20"/>
      <c r="I8" s="20"/>
      <c r="J8" s="21" t="str">
        <f ca="1">INDIRECT("'"&amp;A8&amp;"'!B1")</f>
        <v>Finished</v>
      </c>
      <c r="L8" s="26">
        <f>A8</f>
        <v>1</v>
      </c>
      <c r="M8" s="20">
        <f t="shared" ref="M8:S17" ca="1" si="0">_xlfn.IFNA(IF(ISBLANK(INDEX(INDIRECT("'"&amp;$L8&amp;"'!$A:$A"),MATCH(M$7,INDIRECT("'"&amp;$L8&amp;"'!$A:$A"),0)+2)),"",INDEX(INDIRECT("'"&amp;$L8&amp;"'!$A:$A"),MATCH(M$7,INDIRECT("'"&amp;$L8&amp;"'!$A:$A"),0)+2)),"")</f>
        <v>2.5</v>
      </c>
      <c r="N8" s="20">
        <f t="shared" ca="1" si="0"/>
        <v>1</v>
      </c>
      <c r="O8" s="20" t="str">
        <f t="shared" ca="1" si="0"/>
        <v/>
      </c>
      <c r="P8" s="20" t="str">
        <f t="shared" ca="1" si="0"/>
        <v/>
      </c>
      <c r="Q8" s="20" t="str">
        <f t="shared" ca="1" si="0"/>
        <v/>
      </c>
      <c r="R8" s="20" t="str">
        <f t="shared" ca="1" si="0"/>
        <v/>
      </c>
      <c r="S8" s="20" t="str">
        <f t="shared" ca="1" si="0"/>
        <v/>
      </c>
    </row>
    <row r="9" spans="1:19" x14ac:dyDescent="0.25">
      <c r="A9" s="13">
        <v>2</v>
      </c>
      <c r="B9" s="17">
        <f t="shared" ref="B9:B30" si="1">SUM(C9:I9)</f>
        <v>2</v>
      </c>
      <c r="C9" s="10">
        <v>2</v>
      </c>
      <c r="D9" s="10"/>
      <c r="E9" s="10"/>
      <c r="F9" s="10"/>
      <c r="G9" s="10"/>
      <c r="H9" s="10"/>
      <c r="I9" s="10"/>
      <c r="J9" s="9" t="str">
        <f t="shared" ref="J9:J29" ca="1" si="2">INDIRECT("'"&amp;A9&amp;"'!B1")</f>
        <v>Finished</v>
      </c>
      <c r="L9" s="27">
        <f t="shared" ref="L9:L29" si="3">A9</f>
        <v>2</v>
      </c>
      <c r="M9" s="10">
        <f t="shared" ca="1" si="0"/>
        <v>2</v>
      </c>
      <c r="N9" s="10" t="str">
        <f t="shared" ca="1" si="0"/>
        <v/>
      </c>
      <c r="O9" s="10" t="str">
        <f t="shared" ca="1" si="0"/>
        <v/>
      </c>
      <c r="P9" s="10" t="str">
        <f t="shared" ca="1" si="0"/>
        <v/>
      </c>
      <c r="Q9" s="10" t="str">
        <f t="shared" ca="1" si="0"/>
        <v/>
      </c>
      <c r="R9" s="10" t="str">
        <f t="shared" ca="1" si="0"/>
        <v/>
      </c>
      <c r="S9" s="10" t="str">
        <f t="shared" ca="1" si="0"/>
        <v/>
      </c>
    </row>
    <row r="10" spans="1:19" x14ac:dyDescent="0.25">
      <c r="A10" s="13">
        <v>3</v>
      </c>
      <c r="B10" s="17">
        <f t="shared" si="1"/>
        <v>2</v>
      </c>
      <c r="C10" s="10">
        <v>2</v>
      </c>
      <c r="D10" s="10"/>
      <c r="E10" s="10"/>
      <c r="F10" s="10"/>
      <c r="G10" s="10"/>
      <c r="H10" s="10"/>
      <c r="I10" s="10"/>
      <c r="J10" s="9" t="str">
        <f t="shared" ca="1" si="2"/>
        <v>Finished</v>
      </c>
      <c r="L10" s="27">
        <f t="shared" si="3"/>
        <v>3</v>
      </c>
      <c r="M10" s="10">
        <f t="shared" ca="1" si="0"/>
        <v>2</v>
      </c>
      <c r="N10" s="10" t="str">
        <f t="shared" ca="1" si="0"/>
        <v/>
      </c>
      <c r="O10" s="10" t="str">
        <f t="shared" ca="1" si="0"/>
        <v/>
      </c>
      <c r="P10" s="10" t="str">
        <f t="shared" ca="1" si="0"/>
        <v/>
      </c>
      <c r="Q10" s="10" t="str">
        <f t="shared" ca="1" si="0"/>
        <v/>
      </c>
      <c r="R10" s="10" t="str">
        <f t="shared" ca="1" si="0"/>
        <v/>
      </c>
      <c r="S10" s="10" t="str">
        <f t="shared" ca="1" si="0"/>
        <v/>
      </c>
    </row>
    <row r="11" spans="1:19" x14ac:dyDescent="0.25">
      <c r="A11" s="13">
        <v>4</v>
      </c>
      <c r="B11" s="17">
        <f t="shared" si="1"/>
        <v>1.5</v>
      </c>
      <c r="C11" s="10">
        <v>1.5</v>
      </c>
      <c r="D11" s="10"/>
      <c r="E11" s="10"/>
      <c r="F11" s="10"/>
      <c r="G11" s="10"/>
      <c r="H11" s="10"/>
      <c r="I11" s="10"/>
      <c r="J11" s="9" t="str">
        <f t="shared" ca="1" si="2"/>
        <v>Finished</v>
      </c>
      <c r="L11" s="27">
        <f t="shared" si="3"/>
        <v>4</v>
      </c>
      <c r="M11" s="10">
        <f t="shared" ca="1" si="0"/>
        <v>1.5</v>
      </c>
      <c r="N11" s="10" t="str">
        <f t="shared" ca="1" si="0"/>
        <v/>
      </c>
      <c r="O11" s="10" t="str">
        <f t="shared" ca="1" si="0"/>
        <v/>
      </c>
      <c r="P11" s="10" t="str">
        <f t="shared" ca="1" si="0"/>
        <v/>
      </c>
      <c r="Q11" s="10" t="str">
        <f t="shared" ca="1" si="0"/>
        <v/>
      </c>
      <c r="R11" s="10" t="str">
        <f t="shared" ca="1" si="0"/>
        <v/>
      </c>
      <c r="S11" s="10" t="str">
        <f t="shared" ca="1" si="0"/>
        <v/>
      </c>
    </row>
    <row r="12" spans="1:19" x14ac:dyDescent="0.25">
      <c r="A12" s="13">
        <v>5</v>
      </c>
      <c r="B12" s="17">
        <f t="shared" si="1"/>
        <v>1.5</v>
      </c>
      <c r="C12" s="10">
        <v>1.5</v>
      </c>
      <c r="D12" s="10"/>
      <c r="E12" s="10"/>
      <c r="F12" s="10"/>
      <c r="G12" s="10"/>
      <c r="H12" s="10"/>
      <c r="I12" s="10"/>
      <c r="J12" s="9" t="str">
        <f t="shared" ca="1" si="2"/>
        <v>Finished</v>
      </c>
      <c r="L12" s="27">
        <f t="shared" si="3"/>
        <v>5</v>
      </c>
      <c r="M12" s="10">
        <f t="shared" ca="1" si="0"/>
        <v>1.5</v>
      </c>
      <c r="N12" s="10" t="str">
        <f t="shared" ca="1" si="0"/>
        <v/>
      </c>
      <c r="O12" s="10" t="str">
        <f t="shared" ca="1" si="0"/>
        <v/>
      </c>
      <c r="P12" s="10" t="str">
        <f t="shared" ca="1" si="0"/>
        <v/>
      </c>
      <c r="Q12" s="10" t="str">
        <f t="shared" ca="1" si="0"/>
        <v/>
      </c>
      <c r="R12" s="10" t="str">
        <f t="shared" ca="1" si="0"/>
        <v/>
      </c>
      <c r="S12" s="10" t="str">
        <f t="shared" ca="1" si="0"/>
        <v/>
      </c>
    </row>
    <row r="13" spans="1:19" x14ac:dyDescent="0.25">
      <c r="A13" s="13">
        <v>6</v>
      </c>
      <c r="B13" s="17">
        <f t="shared" si="1"/>
        <v>2.75</v>
      </c>
      <c r="C13" s="10">
        <v>1.5</v>
      </c>
      <c r="D13" s="10">
        <v>0.25</v>
      </c>
      <c r="E13" s="10">
        <v>1</v>
      </c>
      <c r="F13" s="10"/>
      <c r="G13" s="10"/>
      <c r="H13" s="10"/>
      <c r="I13" s="10"/>
      <c r="J13" s="9" t="str">
        <f t="shared" ca="1" si="2"/>
        <v>Finished</v>
      </c>
      <c r="L13" s="27">
        <f t="shared" si="3"/>
        <v>6</v>
      </c>
      <c r="M13" s="10">
        <f t="shared" ca="1" si="0"/>
        <v>1.5</v>
      </c>
      <c r="N13" s="10">
        <f t="shared" ca="1" si="0"/>
        <v>0.25</v>
      </c>
      <c r="O13" s="10">
        <f t="shared" ca="1" si="0"/>
        <v>1</v>
      </c>
      <c r="P13" s="10" t="str">
        <f t="shared" ca="1" si="0"/>
        <v/>
      </c>
      <c r="Q13" s="10" t="str">
        <f t="shared" ca="1" si="0"/>
        <v/>
      </c>
      <c r="R13" s="10" t="str">
        <f t="shared" ca="1" si="0"/>
        <v/>
      </c>
      <c r="S13" s="10" t="str">
        <f t="shared" ca="1" si="0"/>
        <v/>
      </c>
    </row>
    <row r="14" spans="1:19" x14ac:dyDescent="0.25">
      <c r="A14" s="13">
        <v>7</v>
      </c>
      <c r="B14" s="17">
        <f t="shared" si="1"/>
        <v>3</v>
      </c>
      <c r="C14" s="10">
        <v>2.5</v>
      </c>
      <c r="D14" s="10">
        <v>0.5</v>
      </c>
      <c r="E14" s="10"/>
      <c r="F14" s="10"/>
      <c r="G14" s="10"/>
      <c r="H14" s="10"/>
      <c r="I14" s="10"/>
      <c r="J14" s="9" t="str">
        <f t="shared" ca="1" si="2"/>
        <v>Finished</v>
      </c>
      <c r="L14" s="27">
        <f t="shared" si="3"/>
        <v>7</v>
      </c>
      <c r="M14" s="10">
        <f t="shared" ca="1" si="0"/>
        <v>2.5</v>
      </c>
      <c r="N14" s="10">
        <f t="shared" ca="1" si="0"/>
        <v>0.5</v>
      </c>
      <c r="O14" s="10" t="str">
        <f t="shared" ca="1" si="0"/>
        <v/>
      </c>
      <c r="P14" s="10" t="str">
        <f t="shared" ca="1" si="0"/>
        <v/>
      </c>
      <c r="Q14" s="10" t="str">
        <f t="shared" ca="1" si="0"/>
        <v/>
      </c>
      <c r="R14" s="10" t="str">
        <f t="shared" ca="1" si="0"/>
        <v/>
      </c>
      <c r="S14" s="10" t="str">
        <f t="shared" ca="1" si="0"/>
        <v/>
      </c>
    </row>
    <row r="15" spans="1:19" x14ac:dyDescent="0.25">
      <c r="A15" s="13">
        <v>8</v>
      </c>
      <c r="B15" s="17">
        <f t="shared" si="1"/>
        <v>3.5</v>
      </c>
      <c r="C15" s="10">
        <v>1.5</v>
      </c>
      <c r="D15" s="10">
        <v>2</v>
      </c>
      <c r="E15" s="10"/>
      <c r="F15" s="10"/>
      <c r="G15" s="10"/>
      <c r="H15" s="10"/>
      <c r="I15" s="10"/>
      <c r="J15" s="9" t="str">
        <f t="shared" ca="1" si="2"/>
        <v>Finished</v>
      </c>
      <c r="L15" s="27">
        <f t="shared" si="3"/>
        <v>8</v>
      </c>
      <c r="M15" s="10">
        <f t="shared" ca="1" si="0"/>
        <v>1.5</v>
      </c>
      <c r="N15" s="10">
        <f t="shared" ca="1" si="0"/>
        <v>2</v>
      </c>
      <c r="O15" s="10" t="str">
        <f t="shared" ca="1" si="0"/>
        <v/>
      </c>
      <c r="P15" s="10" t="str">
        <f t="shared" ca="1" si="0"/>
        <v/>
      </c>
      <c r="Q15" s="10" t="str">
        <f t="shared" ca="1" si="0"/>
        <v/>
      </c>
      <c r="R15" s="10" t="str">
        <f t="shared" ca="1" si="0"/>
        <v/>
      </c>
      <c r="S15" s="10" t="str">
        <f t="shared" ca="1" si="0"/>
        <v/>
      </c>
    </row>
    <row r="16" spans="1:19" x14ac:dyDescent="0.25">
      <c r="A16" s="13">
        <v>9</v>
      </c>
      <c r="B16" s="17">
        <f t="shared" si="1"/>
        <v>4</v>
      </c>
      <c r="C16" s="10">
        <v>4</v>
      </c>
      <c r="D16" s="10"/>
      <c r="E16" s="10"/>
      <c r="F16" s="10"/>
      <c r="G16" s="10"/>
      <c r="H16" s="10"/>
      <c r="I16" s="10"/>
      <c r="J16" s="9" t="str">
        <f t="shared" ca="1" si="2"/>
        <v>Finished</v>
      </c>
      <c r="L16" s="27">
        <f t="shared" si="3"/>
        <v>9</v>
      </c>
      <c r="M16" s="10">
        <f t="shared" ca="1" si="0"/>
        <v>4</v>
      </c>
      <c r="N16" s="10" t="str">
        <f t="shared" ca="1" si="0"/>
        <v/>
      </c>
      <c r="O16" s="10" t="str">
        <f t="shared" ca="1" si="0"/>
        <v/>
      </c>
      <c r="P16" s="10" t="str">
        <f t="shared" ca="1" si="0"/>
        <v/>
      </c>
      <c r="Q16" s="10" t="str">
        <f t="shared" ca="1" si="0"/>
        <v/>
      </c>
      <c r="R16" s="10" t="str">
        <f t="shared" ca="1" si="0"/>
        <v/>
      </c>
      <c r="S16" s="10" t="str">
        <f t="shared" ca="1" si="0"/>
        <v/>
      </c>
    </row>
    <row r="17" spans="1:19" x14ac:dyDescent="0.25">
      <c r="A17" s="13">
        <v>10</v>
      </c>
      <c r="B17" s="17">
        <f t="shared" si="1"/>
        <v>1.75</v>
      </c>
      <c r="C17" s="10">
        <v>0.5</v>
      </c>
      <c r="D17" s="10">
        <v>0.25</v>
      </c>
      <c r="E17" s="10">
        <v>0.25</v>
      </c>
      <c r="F17" s="10">
        <v>0.75</v>
      </c>
      <c r="G17" s="10"/>
      <c r="H17" s="10"/>
      <c r="I17" s="10"/>
      <c r="J17" s="9" t="str">
        <f t="shared" ca="1" si="2"/>
        <v>Finished</v>
      </c>
      <c r="L17" s="27">
        <f t="shared" si="3"/>
        <v>10</v>
      </c>
      <c r="M17" s="10">
        <f t="shared" ca="1" si="0"/>
        <v>0.5</v>
      </c>
      <c r="N17" s="10">
        <f t="shared" ca="1" si="0"/>
        <v>0.25</v>
      </c>
      <c r="O17" s="10">
        <f t="shared" ca="1" si="0"/>
        <v>0.25</v>
      </c>
      <c r="P17" s="10">
        <f t="shared" ca="1" si="0"/>
        <v>0.75</v>
      </c>
      <c r="Q17" s="10" t="str">
        <f t="shared" ca="1" si="0"/>
        <v/>
      </c>
      <c r="R17" s="10" t="str">
        <f t="shared" ca="1" si="0"/>
        <v/>
      </c>
      <c r="S17" s="10" t="str">
        <f t="shared" ca="1" si="0"/>
        <v/>
      </c>
    </row>
    <row r="18" spans="1:19" x14ac:dyDescent="0.25">
      <c r="A18" s="13">
        <v>11</v>
      </c>
      <c r="B18" s="17">
        <f t="shared" si="1"/>
        <v>2.75</v>
      </c>
      <c r="C18" s="10">
        <v>0.5</v>
      </c>
      <c r="D18" s="10">
        <v>0.5</v>
      </c>
      <c r="E18" s="10">
        <v>0.5</v>
      </c>
      <c r="F18" s="10">
        <v>0.5</v>
      </c>
      <c r="G18" s="10">
        <v>0.75</v>
      </c>
      <c r="H18" s="10"/>
      <c r="I18" s="10"/>
      <c r="J18" s="9" t="str">
        <f t="shared" ca="1" si="2"/>
        <v>Finished</v>
      </c>
      <c r="L18" s="27">
        <f t="shared" si="3"/>
        <v>11</v>
      </c>
      <c r="M18" s="10">
        <f t="shared" ref="M18:S30" ca="1" si="4">_xlfn.IFNA(IF(ISBLANK(INDEX(INDIRECT("'"&amp;$L18&amp;"'!$A:$A"),MATCH(M$7,INDIRECT("'"&amp;$L18&amp;"'!$A:$A"),0)+2)),"",INDEX(INDIRECT("'"&amp;$L18&amp;"'!$A:$A"),MATCH(M$7,INDIRECT("'"&amp;$L18&amp;"'!$A:$A"),0)+2)),"")</f>
        <v>0.5</v>
      </c>
      <c r="N18" s="10">
        <f t="shared" ca="1" si="4"/>
        <v>0.5</v>
      </c>
      <c r="O18" s="10">
        <f t="shared" ca="1" si="4"/>
        <v>0.5</v>
      </c>
      <c r="P18" s="10">
        <f t="shared" ca="1" si="4"/>
        <v>0.5</v>
      </c>
      <c r="Q18" s="10">
        <f t="shared" ca="1" si="4"/>
        <v>0.75</v>
      </c>
      <c r="R18" s="10" t="str">
        <f t="shared" ca="1" si="4"/>
        <v/>
      </c>
      <c r="S18" s="10" t="str">
        <f t="shared" ca="1" si="4"/>
        <v/>
      </c>
    </row>
    <row r="19" spans="1:19" x14ac:dyDescent="0.25">
      <c r="A19" s="13">
        <v>12</v>
      </c>
      <c r="B19" s="17">
        <f t="shared" si="1"/>
        <v>3</v>
      </c>
      <c r="C19" s="10">
        <v>1</v>
      </c>
      <c r="D19" s="10">
        <v>1</v>
      </c>
      <c r="E19" s="10">
        <v>1</v>
      </c>
      <c r="F19" s="10"/>
      <c r="G19" s="10"/>
      <c r="H19" s="10"/>
      <c r="I19" s="10"/>
      <c r="J19" s="9" t="str">
        <f t="shared" ca="1" si="2"/>
        <v>Finished</v>
      </c>
      <c r="L19" s="27">
        <f t="shared" si="3"/>
        <v>12</v>
      </c>
      <c r="M19" s="10">
        <f t="shared" ca="1" si="4"/>
        <v>1</v>
      </c>
      <c r="N19" s="10">
        <f t="shared" ca="1" si="4"/>
        <v>1</v>
      </c>
      <c r="O19" s="10">
        <f t="shared" ca="1" si="4"/>
        <v>1</v>
      </c>
      <c r="P19" s="10" t="str">
        <f t="shared" ca="1" si="4"/>
        <v/>
      </c>
      <c r="Q19" s="10" t="str">
        <f t="shared" ca="1" si="4"/>
        <v/>
      </c>
      <c r="R19" s="10" t="str">
        <f t="shared" ca="1" si="4"/>
        <v/>
      </c>
      <c r="S19" s="10" t="str">
        <f t="shared" ca="1" si="4"/>
        <v/>
      </c>
    </row>
    <row r="20" spans="1:19" x14ac:dyDescent="0.25">
      <c r="A20" s="13">
        <v>13</v>
      </c>
      <c r="B20" s="17">
        <f t="shared" si="1"/>
        <v>2</v>
      </c>
      <c r="C20" s="10">
        <v>0.5</v>
      </c>
      <c r="D20" s="10">
        <v>0.5</v>
      </c>
      <c r="E20" s="10">
        <v>0.5</v>
      </c>
      <c r="F20" s="10">
        <v>0.5</v>
      </c>
      <c r="G20" s="10"/>
      <c r="H20" s="10"/>
      <c r="I20" s="10"/>
      <c r="J20" s="9" t="str">
        <f t="shared" ca="1" si="2"/>
        <v>Finished</v>
      </c>
      <c r="L20" s="27">
        <f t="shared" si="3"/>
        <v>13</v>
      </c>
      <c r="M20" s="10">
        <f t="shared" ca="1" si="4"/>
        <v>0.5</v>
      </c>
      <c r="N20" s="10">
        <f t="shared" ca="1" si="4"/>
        <v>0.5</v>
      </c>
      <c r="O20" s="10">
        <f t="shared" ca="1" si="4"/>
        <v>0.5</v>
      </c>
      <c r="P20" s="10">
        <f t="shared" ca="1" si="4"/>
        <v>0.5</v>
      </c>
      <c r="Q20" s="10" t="str">
        <f t="shared" ca="1" si="4"/>
        <v/>
      </c>
      <c r="R20" s="10" t="str">
        <f t="shared" ca="1" si="4"/>
        <v/>
      </c>
      <c r="S20" s="10" t="str">
        <f t="shared" ca="1" si="4"/>
        <v/>
      </c>
    </row>
    <row r="21" spans="1:19" x14ac:dyDescent="0.25">
      <c r="A21" s="13">
        <v>14</v>
      </c>
      <c r="B21" s="17">
        <f t="shared" si="1"/>
        <v>2</v>
      </c>
      <c r="C21" s="10">
        <v>2</v>
      </c>
      <c r="D21" s="10"/>
      <c r="E21" s="10"/>
      <c r="F21" s="10"/>
      <c r="G21" s="10"/>
      <c r="H21" s="10"/>
      <c r="I21" s="10"/>
      <c r="J21" s="9" t="str">
        <f t="shared" ca="1" si="2"/>
        <v>Finished</v>
      </c>
      <c r="L21" s="27">
        <f t="shared" si="3"/>
        <v>14</v>
      </c>
      <c r="M21" s="10">
        <f t="shared" ca="1" si="4"/>
        <v>2</v>
      </c>
      <c r="N21" s="10" t="str">
        <f t="shared" ca="1" si="4"/>
        <v/>
      </c>
      <c r="O21" s="10" t="str">
        <f t="shared" ca="1" si="4"/>
        <v/>
      </c>
      <c r="P21" s="10" t="str">
        <f t="shared" ca="1" si="4"/>
        <v/>
      </c>
      <c r="Q21" s="10" t="str">
        <f t="shared" ca="1" si="4"/>
        <v/>
      </c>
      <c r="R21" s="10" t="str">
        <f t="shared" ca="1" si="4"/>
        <v/>
      </c>
      <c r="S21" s="10" t="str">
        <f t="shared" ca="1" si="4"/>
        <v/>
      </c>
    </row>
    <row r="22" spans="1:19" x14ac:dyDescent="0.25">
      <c r="A22" s="13">
        <v>15</v>
      </c>
      <c r="B22" s="17">
        <f t="shared" si="1"/>
        <v>4</v>
      </c>
      <c r="C22" s="10">
        <v>2</v>
      </c>
      <c r="D22" s="10">
        <v>2</v>
      </c>
      <c r="E22" s="10"/>
      <c r="F22" s="10"/>
      <c r="G22" s="10"/>
      <c r="H22" s="10"/>
      <c r="I22" s="10"/>
      <c r="J22" s="9" t="str">
        <f t="shared" ca="1" si="2"/>
        <v>Finished</v>
      </c>
      <c r="L22" s="27">
        <f t="shared" si="3"/>
        <v>15</v>
      </c>
      <c r="M22" s="10">
        <f t="shared" ca="1" si="4"/>
        <v>2</v>
      </c>
      <c r="N22" s="10">
        <f t="shared" ca="1" si="4"/>
        <v>2</v>
      </c>
      <c r="O22" s="10" t="str">
        <f t="shared" ca="1" si="4"/>
        <v/>
      </c>
      <c r="P22" s="10" t="str">
        <f t="shared" ca="1" si="4"/>
        <v/>
      </c>
      <c r="Q22" s="10" t="str">
        <f t="shared" ca="1" si="4"/>
        <v/>
      </c>
      <c r="R22" s="10" t="str">
        <f t="shared" ca="1" si="4"/>
        <v/>
      </c>
      <c r="S22" s="10" t="str">
        <f t="shared" ca="1" si="4"/>
        <v/>
      </c>
    </row>
    <row r="23" spans="1:19" x14ac:dyDescent="0.25">
      <c r="A23" s="13">
        <v>16</v>
      </c>
      <c r="B23" s="17">
        <f t="shared" si="1"/>
        <v>4</v>
      </c>
      <c r="C23" s="10">
        <v>2</v>
      </c>
      <c r="D23" s="10">
        <v>2</v>
      </c>
      <c r="E23" s="10"/>
      <c r="F23" s="10"/>
      <c r="G23" s="10"/>
      <c r="H23" s="10"/>
      <c r="I23" s="10"/>
      <c r="J23" s="9" t="str">
        <f t="shared" ca="1" si="2"/>
        <v>Finished</v>
      </c>
      <c r="L23" s="27">
        <f t="shared" si="3"/>
        <v>16</v>
      </c>
      <c r="M23" s="10">
        <f t="shared" ca="1" si="4"/>
        <v>2</v>
      </c>
      <c r="N23" s="10">
        <f t="shared" ca="1" si="4"/>
        <v>2</v>
      </c>
      <c r="O23" s="10" t="str">
        <f t="shared" ca="1" si="4"/>
        <v/>
      </c>
      <c r="P23" s="10" t="str">
        <f t="shared" ca="1" si="4"/>
        <v/>
      </c>
      <c r="Q23" s="10" t="str">
        <f t="shared" ca="1" si="4"/>
        <v/>
      </c>
      <c r="R23" s="10" t="str">
        <f t="shared" ca="1" si="4"/>
        <v/>
      </c>
      <c r="S23" s="10" t="str">
        <f t="shared" ca="1" si="4"/>
        <v/>
      </c>
    </row>
    <row r="24" spans="1:19" x14ac:dyDescent="0.25">
      <c r="A24" s="13">
        <v>17</v>
      </c>
      <c r="B24" s="17">
        <f t="shared" si="1"/>
        <v>1.5</v>
      </c>
      <c r="C24" s="10">
        <v>1.5</v>
      </c>
      <c r="D24" s="10"/>
      <c r="E24" s="10"/>
      <c r="F24" s="10"/>
      <c r="G24" s="10"/>
      <c r="H24" s="10"/>
      <c r="I24" s="10"/>
      <c r="J24" s="9" t="str">
        <f t="shared" ca="1" si="2"/>
        <v>Finished</v>
      </c>
      <c r="L24" s="27">
        <f t="shared" si="3"/>
        <v>17</v>
      </c>
      <c r="M24" s="10">
        <f t="shared" ca="1" si="4"/>
        <v>1.5</v>
      </c>
      <c r="N24" s="10" t="str">
        <f t="shared" ca="1" si="4"/>
        <v/>
      </c>
      <c r="O24" s="10" t="str">
        <f t="shared" ca="1" si="4"/>
        <v/>
      </c>
      <c r="P24" s="10" t="str">
        <f t="shared" ca="1" si="4"/>
        <v/>
      </c>
      <c r="Q24" s="10" t="str">
        <f t="shared" ca="1" si="4"/>
        <v/>
      </c>
      <c r="R24" s="10" t="str">
        <f t="shared" ca="1" si="4"/>
        <v/>
      </c>
      <c r="S24" s="10" t="str">
        <f t="shared" ca="1" si="4"/>
        <v/>
      </c>
    </row>
    <row r="25" spans="1:19" x14ac:dyDescent="0.25">
      <c r="A25" s="13">
        <v>18</v>
      </c>
      <c r="B25" s="17">
        <f t="shared" si="1"/>
        <v>3</v>
      </c>
      <c r="C25" s="10">
        <v>2.5</v>
      </c>
      <c r="D25" s="10">
        <v>0.5</v>
      </c>
      <c r="E25" s="10"/>
      <c r="F25" s="10"/>
      <c r="G25" s="10"/>
      <c r="H25" s="10"/>
      <c r="I25" s="10"/>
      <c r="J25" s="9" t="str">
        <f t="shared" ca="1" si="2"/>
        <v>Finished</v>
      </c>
      <c r="L25" s="27">
        <f t="shared" si="3"/>
        <v>18</v>
      </c>
      <c r="M25" s="10">
        <f t="shared" ca="1" si="4"/>
        <v>2.5</v>
      </c>
      <c r="N25" s="10">
        <f t="shared" ca="1" si="4"/>
        <v>0.5</v>
      </c>
      <c r="O25" s="10" t="str">
        <f t="shared" ca="1" si="4"/>
        <v/>
      </c>
      <c r="P25" s="10" t="str">
        <f t="shared" ca="1" si="4"/>
        <v/>
      </c>
      <c r="Q25" s="10" t="str">
        <f t="shared" ca="1" si="4"/>
        <v/>
      </c>
      <c r="R25" s="10" t="str">
        <f t="shared" ca="1" si="4"/>
        <v/>
      </c>
      <c r="S25" s="10" t="str">
        <f t="shared" ca="1" si="4"/>
        <v/>
      </c>
    </row>
    <row r="26" spans="1:19" x14ac:dyDescent="0.25">
      <c r="A26" s="13">
        <v>19</v>
      </c>
      <c r="B26" s="17">
        <f t="shared" si="1"/>
        <v>2.5</v>
      </c>
      <c r="C26" s="10">
        <v>1.5</v>
      </c>
      <c r="D26" s="10">
        <v>1</v>
      </c>
      <c r="E26" s="10"/>
      <c r="F26" s="10"/>
      <c r="G26" s="10"/>
      <c r="H26" s="10"/>
      <c r="I26" s="10"/>
      <c r="J26" s="9" t="str">
        <f t="shared" ca="1" si="2"/>
        <v>Finished</v>
      </c>
      <c r="L26" s="27">
        <f t="shared" si="3"/>
        <v>19</v>
      </c>
      <c r="M26" s="10">
        <f t="shared" ca="1" si="4"/>
        <v>1.5</v>
      </c>
      <c r="N26" s="10">
        <f t="shared" ca="1" si="4"/>
        <v>1</v>
      </c>
      <c r="O26" s="10" t="str">
        <f t="shared" ca="1" si="4"/>
        <v/>
      </c>
      <c r="P26" s="10" t="str">
        <f t="shared" ca="1" si="4"/>
        <v/>
      </c>
      <c r="Q26" s="10" t="str">
        <f t="shared" ca="1" si="4"/>
        <v/>
      </c>
      <c r="R26" s="10" t="str">
        <f t="shared" ca="1" si="4"/>
        <v/>
      </c>
      <c r="S26" s="10" t="str">
        <f t="shared" ca="1" si="4"/>
        <v/>
      </c>
    </row>
    <row r="27" spans="1:19" x14ac:dyDescent="0.25">
      <c r="A27" s="13">
        <v>20</v>
      </c>
      <c r="B27" s="17">
        <f t="shared" si="1"/>
        <v>2.5</v>
      </c>
      <c r="C27" s="10">
        <v>0.5</v>
      </c>
      <c r="D27" s="10">
        <v>0.5</v>
      </c>
      <c r="E27" s="10">
        <v>0.75</v>
      </c>
      <c r="F27" s="10">
        <v>0.75</v>
      </c>
      <c r="G27" s="10"/>
      <c r="H27" s="10"/>
      <c r="I27" s="10"/>
      <c r="J27" s="9" t="str">
        <f t="shared" ca="1" si="2"/>
        <v>Finished</v>
      </c>
      <c r="L27" s="27">
        <f t="shared" si="3"/>
        <v>20</v>
      </c>
      <c r="M27" s="10">
        <f t="shared" ca="1" si="4"/>
        <v>0.5</v>
      </c>
      <c r="N27" s="10">
        <f t="shared" ca="1" si="4"/>
        <v>0.5</v>
      </c>
      <c r="O27" s="10">
        <f t="shared" ca="1" si="4"/>
        <v>0.75</v>
      </c>
      <c r="P27" s="10">
        <f t="shared" ca="1" si="4"/>
        <v>0.75</v>
      </c>
      <c r="Q27" s="10" t="str">
        <f t="shared" ca="1" si="4"/>
        <v/>
      </c>
      <c r="R27" s="10" t="str">
        <f t="shared" ca="1" si="4"/>
        <v/>
      </c>
      <c r="S27" s="10" t="str">
        <f t="shared" ca="1" si="4"/>
        <v/>
      </c>
    </row>
    <row r="28" spans="1:19" x14ac:dyDescent="0.25">
      <c r="A28" s="13">
        <v>21</v>
      </c>
      <c r="B28" s="17">
        <f t="shared" si="1"/>
        <v>2.25</v>
      </c>
      <c r="C28" s="10">
        <v>1</v>
      </c>
      <c r="D28" s="10">
        <v>1</v>
      </c>
      <c r="E28" s="10">
        <v>0.25</v>
      </c>
      <c r="F28" s="10"/>
      <c r="G28" s="10"/>
      <c r="H28" s="10"/>
      <c r="I28" s="10"/>
      <c r="J28" s="9" t="str">
        <f t="shared" ca="1" si="2"/>
        <v>Finished</v>
      </c>
      <c r="L28" s="27">
        <f t="shared" si="3"/>
        <v>21</v>
      </c>
      <c r="M28" s="10">
        <f t="shared" ca="1" si="4"/>
        <v>1</v>
      </c>
      <c r="N28" s="10">
        <f t="shared" ca="1" si="4"/>
        <v>1</v>
      </c>
      <c r="O28" s="10">
        <f t="shared" ca="1" si="4"/>
        <v>0.25</v>
      </c>
      <c r="P28" s="10" t="str">
        <f t="shared" ca="1" si="4"/>
        <v/>
      </c>
      <c r="Q28" s="10" t="str">
        <f t="shared" ca="1" si="4"/>
        <v/>
      </c>
      <c r="R28" s="10" t="str">
        <f t="shared" ca="1" si="4"/>
        <v/>
      </c>
      <c r="S28" s="10" t="str">
        <f t="shared" ca="1" si="4"/>
        <v/>
      </c>
    </row>
    <row r="29" spans="1:19" x14ac:dyDescent="0.25">
      <c r="A29" s="215">
        <v>22</v>
      </c>
      <c r="B29" s="17">
        <f t="shared" si="1"/>
        <v>1.75</v>
      </c>
      <c r="C29" s="10">
        <v>0.75</v>
      </c>
      <c r="D29" s="10">
        <v>0.5</v>
      </c>
      <c r="E29" s="10">
        <v>0.5</v>
      </c>
      <c r="F29" s="10"/>
      <c r="G29" s="10"/>
      <c r="H29" s="10"/>
      <c r="I29" s="10"/>
      <c r="J29" s="9" t="str">
        <f t="shared" ca="1" si="2"/>
        <v>Finished</v>
      </c>
      <c r="L29" s="27">
        <f t="shared" si="3"/>
        <v>22</v>
      </c>
      <c r="M29" s="10">
        <f t="shared" ca="1" si="4"/>
        <v>0.75</v>
      </c>
      <c r="N29" s="10">
        <f t="shared" ca="1" si="4"/>
        <v>0.5</v>
      </c>
      <c r="O29" s="10">
        <f t="shared" ca="1" si="4"/>
        <v>0.5</v>
      </c>
      <c r="P29" s="10" t="str">
        <f t="shared" ca="1" si="4"/>
        <v/>
      </c>
      <c r="Q29" s="10" t="str">
        <f t="shared" ca="1" si="4"/>
        <v/>
      </c>
      <c r="R29" s="10" t="str">
        <f t="shared" ca="1" si="4"/>
        <v/>
      </c>
      <c r="S29" s="10" t="str">
        <f t="shared" ca="1" si="4"/>
        <v/>
      </c>
    </row>
    <row r="30" spans="1:19" x14ac:dyDescent="0.25">
      <c r="A30" s="215">
        <v>23</v>
      </c>
      <c r="B30" s="17">
        <f t="shared" si="1"/>
        <v>2</v>
      </c>
      <c r="C30" s="10">
        <v>0.5</v>
      </c>
      <c r="D30" s="10">
        <v>1</v>
      </c>
      <c r="E30" s="10">
        <v>0.5</v>
      </c>
      <c r="F30" s="10"/>
      <c r="G30" s="10"/>
      <c r="H30" s="10"/>
      <c r="I30" s="10"/>
      <c r="J30" s="9" t="str">
        <f t="shared" ref="J30" ca="1" si="5">INDIRECT("'"&amp;A30&amp;"'!B1")</f>
        <v>Finished</v>
      </c>
      <c r="L30" s="27">
        <f t="shared" ref="L30" si="6">A30</f>
        <v>23</v>
      </c>
      <c r="M30" s="10">
        <f t="shared" ca="1" si="4"/>
        <v>0.5</v>
      </c>
      <c r="N30" s="10">
        <f t="shared" ca="1" si="4"/>
        <v>1</v>
      </c>
      <c r="O30" s="10">
        <f t="shared" ca="1" si="4"/>
        <v>0.5</v>
      </c>
      <c r="P30" s="10" t="str">
        <f t="shared" ca="1" si="4"/>
        <v/>
      </c>
      <c r="Q30" s="10" t="str">
        <f t="shared" ca="1" si="4"/>
        <v/>
      </c>
      <c r="R30" s="10" t="str">
        <f t="shared" ca="1" si="4"/>
        <v/>
      </c>
      <c r="S30" s="10" t="str">
        <f t="shared" ca="1" si="4"/>
        <v/>
      </c>
    </row>
    <row r="31" spans="1:19" x14ac:dyDescent="0.25">
      <c r="A31" s="1"/>
    </row>
    <row r="32" spans="1:19" ht="15.75" thickBot="1" x14ac:dyDescent="0.3">
      <c r="A32" s="6" t="s">
        <v>10</v>
      </c>
      <c r="B32" s="7">
        <f>SUM(B8:B30)</f>
        <v>58.75</v>
      </c>
      <c r="L32" s="8" t="s">
        <v>13</v>
      </c>
      <c r="M32" s="7">
        <f t="array" aca="1" ref="M32" ca="1">IF(SUM(IF(M8:S30="",0,1))=0,"",SUM(M8:S30))</f>
        <v>58.75</v>
      </c>
      <c r="O32" s="12" t="s">
        <v>16</v>
      </c>
      <c r="P32" s="5">
        <f ca="1">IF(M32="","",M32/B32)</f>
        <v>1</v>
      </c>
    </row>
    <row r="34" spans="12:13" x14ac:dyDescent="0.25">
      <c r="L34" s="32" t="s">
        <v>46</v>
      </c>
      <c r="M34" s="33">
        <f>MROUND(72%*B32,0.25)</f>
        <v>42.25</v>
      </c>
    </row>
  </sheetData>
  <sheetProtection formatCells="0" formatColumns="0" formatRows="0"/>
  <mergeCells count="1">
    <mergeCell ref="B6:B7"/>
  </mergeCells>
  <conditionalFormatting sqref="C8:I30">
    <cfRule type="expression" dxfId="83" priority="29">
      <formula>ISBLANK(C8)</formula>
    </cfRule>
  </conditionalFormatting>
  <conditionalFormatting sqref="J8:J30">
    <cfRule type="cellIs" dxfId="82" priority="698" operator="equal">
      <formula>"Finished"</formula>
    </cfRule>
    <cfRule type="cellIs" dxfId="81" priority="699" operator="equal">
      <formula>"Flag for Review"</formula>
    </cfRule>
    <cfRule type="cellIs" dxfId="80" priority="700" operator="equal">
      <formula>"Incomplete"</formula>
    </cfRule>
  </conditionalFormatting>
  <conditionalFormatting sqref="M8:S30">
    <cfRule type="expression" dxfId="79" priority="1">
      <formula>M8/C8&gt;=0.75</formula>
    </cfRule>
    <cfRule type="expression" dxfId="78" priority="2">
      <formula>M8/C8&gt;=0.65</formula>
    </cfRule>
    <cfRule type="expression" dxfId="77" priority="3">
      <formula>M8/C8&gt;=0</formula>
    </cfRule>
    <cfRule type="expression" dxfId="76" priority="4">
      <formula>_xlfn.IFNA(MATCH(M$7,INDIRECT("'"&amp;$L8&amp;"'!$A:$A"),0),0)=0</formula>
    </cfRule>
  </conditionalFormatting>
  <conditionalFormatting sqref="P32">
    <cfRule type="expression" dxfId="75" priority="162">
      <formula>LEN(P32)=0</formula>
    </cfRule>
    <cfRule type="cellIs" dxfId="74" priority="163" operator="greaterThanOrEqual">
      <formula>0.75</formula>
    </cfRule>
    <cfRule type="cellIs" dxfId="73" priority="164" operator="greaterThanOrEqual">
      <formula>0.65</formula>
    </cfRule>
    <cfRule type="cellIs" dxfId="72" priority="165" operator="greaterThanOrEqual">
      <formula>0</formula>
    </cfRule>
  </conditionalFormatting>
  <hyperlinks>
    <hyperlink ref="L8" location="'1'!A1" display="'1'!A1" xr:uid="{EEB2F41D-4C5E-45E3-868E-8AB4AC250B33}"/>
    <hyperlink ref="L9" location="'2'!A1" display="'2'!A1" xr:uid="{54381741-FA85-48C9-B9FB-0986002F461F}"/>
    <hyperlink ref="L10" location="'3'!A1" display="'3'!A1" xr:uid="{DDF5B344-2A0C-451F-B5F6-2DC7DE369462}"/>
    <hyperlink ref="L11" location="'4'!A1" display="'4'!A1" xr:uid="{0C5CB486-9354-4C70-9B6F-51C32CCB499E}"/>
    <hyperlink ref="L12" location="'5'!A1" display="'5'!A1" xr:uid="{7E78161F-0455-4E29-A481-EA8D02B932EB}"/>
    <hyperlink ref="L13" location="'6'!A1" display="'6'!A1" xr:uid="{46FCA9F3-44A4-4413-8871-6FA0DEA4DB3B}"/>
    <hyperlink ref="L14" location="'7'!A1" display="'7'!A1" xr:uid="{F2EEC1B2-4F14-4B01-BA35-AA223F0ECD59}"/>
    <hyperlink ref="L15" location="'8'!A1" display="'8'!A1" xr:uid="{380D658B-F52F-49C4-8FCA-15609F15FA96}"/>
    <hyperlink ref="L16" location="'9'!A1" display="'9'!A1" xr:uid="{9B904F90-8A04-433E-9672-86A2B5EFDA59}"/>
    <hyperlink ref="L17" location="'10'!A1" display="'10'!A1" xr:uid="{CF316553-E0E7-42B0-8473-99A45D63D55E}"/>
    <hyperlink ref="L18" location="'11'!A1" display="'11'!A1" xr:uid="{345DB5EE-FCF5-4D3D-A362-10CF234E082F}"/>
    <hyperlink ref="L19" location="'12'!A1" display="'12'!A1" xr:uid="{4887FA27-3BC9-42EE-9ABC-32F4BD751A2C}"/>
    <hyperlink ref="L20" location="'13'!A1" display="'13'!A1" xr:uid="{AD4932DB-B4FB-4D89-A19D-B6DE7FEA3ACA}"/>
    <hyperlink ref="L21" location="'14'!A1" display="'14'!A1" xr:uid="{FD757D54-1A04-407F-85BC-DC29B9D10B10}"/>
    <hyperlink ref="L22" location="'15'!A1" display="'15'!A1" xr:uid="{A83ECE4A-4379-483B-88B6-444BF642EA1B}"/>
    <hyperlink ref="L23" location="'16'!A1" display="'16'!A1" xr:uid="{5D5C15C2-7A88-423B-977E-029D784C93AC}"/>
    <hyperlink ref="L24" location="'17'!A1" display="'17'!A1" xr:uid="{05F5B110-EB25-4448-BE89-788FAE1A5BB4}"/>
    <hyperlink ref="L25" location="'18'!A1" display="'18'!A1" xr:uid="{AB290070-0626-4BED-824D-DEA8E8D5B249}"/>
    <hyperlink ref="L28" location="'21'!A1" display="'21'!A1" xr:uid="{3F70EF44-F6BF-4762-AC27-B5ABCB72101E}"/>
    <hyperlink ref="A8" location="'1'!A1" display="'1'!A1" xr:uid="{CFFA0440-4925-4E1D-A7CA-9ACA304FC921}"/>
    <hyperlink ref="A9" location="'2'!A1" display="'2'!A1" xr:uid="{C9FB007F-D701-4146-914F-EF441BE99447}"/>
    <hyperlink ref="A10" location="'3'!A1" display="'3'!A1" xr:uid="{2A81A52B-304E-4A2C-BC60-8E16A8C48D9C}"/>
    <hyperlink ref="A11" location="'4'!A1" display="'4'!A1" xr:uid="{66B34D2F-C28F-4176-9B03-547846381DBA}"/>
    <hyperlink ref="A12" location="'5'!A1" display="'5'!A1" xr:uid="{5E4037E5-3452-4B2D-AE5D-77D930C05A9F}"/>
    <hyperlink ref="A13" location="'6'!A1" display="'6'!A1" xr:uid="{C391F207-22DC-4F14-BCDE-8844AD0AA3EE}"/>
    <hyperlink ref="A14" location="'7'!A1" display="'7'!A1" xr:uid="{A38AE76B-9BAB-4518-BD6F-1BE205A7E90D}"/>
    <hyperlink ref="A15" location="'8'!A1" display="'8'!A1" xr:uid="{E82C5443-01F4-411E-A0E3-3595F2B2BBF8}"/>
    <hyperlink ref="A16" location="'9'!A1" display="'9'!A1" xr:uid="{5E0C90FA-874D-4504-9C10-C716B3CA889D}"/>
    <hyperlink ref="A17" location="'10'!A1" display="'10'!A1" xr:uid="{4C7CE00C-44CF-4FAC-9E17-BD4E76C673EF}"/>
    <hyperlink ref="A18" location="'11'!A1" display="'11'!A1" xr:uid="{BE291FC8-A160-4657-A514-472E061AC027}"/>
    <hyperlink ref="A19" location="'12'!A1" display="'12'!A1" xr:uid="{7CF02CE4-BDDF-4F90-A592-40224EB2C865}"/>
    <hyperlink ref="A20" location="'13'!A1" display="'13'!A1" xr:uid="{67F981C5-2158-4BBF-A017-D5B8503E0856}"/>
    <hyperlink ref="A21" location="'14'!A1" display="'14'!A1" xr:uid="{DEDD0535-0E23-403C-8B61-C5D632CD8B6D}"/>
    <hyperlink ref="A22" location="'15'!A1" display="'15'!A1" xr:uid="{F104AFDA-3D58-4EB6-BA89-17E32A0F7487}"/>
    <hyperlink ref="A23" location="'16'!A1" display="'16'!A1" xr:uid="{96EFD0AE-78D2-4511-B3C6-ECA0F02625F1}"/>
    <hyperlink ref="A24" location="'17'!A1" display="'17'!A1" xr:uid="{4A5C76FB-9106-4EA6-915C-F426AA33CDB1}"/>
    <hyperlink ref="A25" location="'18'!A1" display="'18'!A1" xr:uid="{42493673-DCF0-42F5-8986-6B210F19B328}"/>
    <hyperlink ref="A28" location="'19'!A1" display="'19'!A1" xr:uid="{AC24EC4B-6D86-4344-97FC-660E99C34B48}"/>
    <hyperlink ref="L26:L27" location="'18'!A1" display="'18'!A1" xr:uid="{C4D9CF10-E5D1-44D8-BEED-E94D3A691F0D}"/>
    <hyperlink ref="L26" location="'19'!A1" display="'19'!A1" xr:uid="{45E7DD16-5097-4199-89A5-1C572F5154EE}"/>
    <hyperlink ref="L27" location="'20'!A1" display="'20'!A1" xr:uid="{98EC568D-5619-4D5D-A332-ED3E319834DC}"/>
    <hyperlink ref="A26" location="'19'!A1" display="'19'!A1" xr:uid="{968A7BF9-EC4B-4460-B33D-04820E6CB37E}"/>
    <hyperlink ref="A27" location="'20'!A1" display="'20'!A1" xr:uid="{CDD9F52C-B31F-457D-A1DC-45DBD406B99E}"/>
    <hyperlink ref="A29" location="'22'!A1" display="'22'!A1" xr:uid="{B6211C2E-EC49-45C3-8ADD-B4E75E8AA43F}"/>
    <hyperlink ref="L29" location="'22'!A1" display="'22'!A1" xr:uid="{919BAC56-1AD8-41E9-9F3D-7F41BED03DF9}"/>
    <hyperlink ref="A30" location="'23'!A1" display="'23'!A1" xr:uid="{145754B1-C771-4CFF-900E-7DFC2316FB4F}"/>
    <hyperlink ref="L30" location="'23'!A1" display="'23'!A1" xr:uid="{D0635928-7C9D-4580-BBAA-FF7D3263F96E}"/>
  </hyperlinks>
  <pageMargins left="0.7" right="0.7" top="0.75" bottom="0.75" header="0.3" footer="0.3"/>
  <pageSetup paperSize="9" orientation="portrait" r:id="rId1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AA6938-8AFD-4EA5-8E1E-494DC6AC0CBB}">
  <sheetPr codeName="Sheet19"/>
  <dimension ref="A1:R28"/>
  <sheetViews>
    <sheetView workbookViewId="0"/>
  </sheetViews>
  <sheetFormatPr defaultColWidth="9.140625" defaultRowHeight="15" x14ac:dyDescent="0.25"/>
  <cols>
    <col min="1" max="1" width="6.5703125" style="3" bestFit="1" customWidth="1"/>
    <col min="2" max="2" width="19.28515625" style="3" customWidth="1"/>
    <col min="3" max="3" width="20.28515625" style="3" customWidth="1"/>
    <col min="4" max="4" width="4.42578125" style="3" customWidth="1"/>
    <col min="5" max="5" width="14.5703125" style="3" customWidth="1"/>
    <col min="6" max="6" width="10.7109375" style="3" bestFit="1" customWidth="1"/>
    <col min="7" max="7" width="5.7109375" style="3" customWidth="1"/>
    <col min="8" max="8" width="3.7109375" style="28" customWidth="1"/>
    <col min="9" max="9" width="12" style="3" customWidth="1"/>
    <col min="10" max="10" width="13.85546875" style="3" customWidth="1"/>
    <col min="11" max="11" width="12.28515625" style="3" bestFit="1" customWidth="1"/>
    <col min="12" max="12" width="12.85546875" style="3" bestFit="1" customWidth="1"/>
    <col min="13" max="13" width="14.5703125" style="3" bestFit="1" customWidth="1"/>
    <col min="14" max="14" width="9.140625" style="3"/>
    <col min="15" max="15" width="15.28515625" style="3" bestFit="1" customWidth="1"/>
    <col min="16" max="16" width="14.5703125" style="3" bestFit="1" customWidth="1"/>
    <col min="17" max="17" width="9.140625" style="3"/>
    <col min="18" max="18" width="14.5703125" style="3" bestFit="1" customWidth="1"/>
    <col min="19" max="16384" width="9.140625" style="3"/>
  </cols>
  <sheetData>
    <row r="1" spans="1:18" ht="15.75" x14ac:dyDescent="0.25">
      <c r="A1" s="80">
        <v>17</v>
      </c>
      <c r="B1" s="78" t="s">
        <v>530</v>
      </c>
      <c r="C1" s="81"/>
      <c r="D1" s="81"/>
      <c r="E1" s="81"/>
      <c r="F1" s="81"/>
      <c r="G1" s="77" t="s">
        <v>529</v>
      </c>
      <c r="I1" s="79" t="s">
        <v>38</v>
      </c>
    </row>
    <row r="2" spans="1:18" x14ac:dyDescent="0.25">
      <c r="A2" s="82"/>
      <c r="B2" s="83"/>
      <c r="C2" s="83"/>
      <c r="D2" s="83"/>
      <c r="E2" s="83"/>
      <c r="F2" s="83"/>
      <c r="G2" s="84"/>
      <c r="H2" t="s">
        <v>63</v>
      </c>
      <c r="I2" t="s">
        <v>721</v>
      </c>
      <c r="J2"/>
      <c r="K2"/>
    </row>
    <row r="3" spans="1:18" x14ac:dyDescent="0.25">
      <c r="A3" s="85" t="s">
        <v>14</v>
      </c>
      <c r="B3" s="83" t="s">
        <v>716</v>
      </c>
      <c r="C3" s="83"/>
      <c r="D3" s="83"/>
      <c r="E3" s="83"/>
      <c r="F3" s="83"/>
      <c r="G3" s="84"/>
      <c r="H3"/>
      <c r="I3"/>
      <c r="J3"/>
      <c r="K3"/>
    </row>
    <row r="4" spans="1:18" x14ac:dyDescent="0.25">
      <c r="A4" s="86">
        <f>INDEX('Point Grid'!B:B,MATCH('17'!A1,'Point Grid'!A:A,0))</f>
        <v>1.5</v>
      </c>
      <c r="B4" s="83"/>
      <c r="C4" s="83"/>
      <c r="D4" s="83"/>
      <c r="E4" s="83"/>
      <c r="F4" s="83"/>
      <c r="G4" s="84"/>
      <c r="H4"/>
      <c r="I4" s="3" t="s">
        <v>723</v>
      </c>
      <c r="J4"/>
      <c r="K4"/>
    </row>
    <row r="5" spans="1:18" x14ac:dyDescent="0.25">
      <c r="A5" s="82"/>
      <c r="B5" s="328">
        <v>10000</v>
      </c>
      <c r="C5" s="165" t="s">
        <v>714</v>
      </c>
      <c r="D5" s="83"/>
      <c r="E5" s="137" t="s">
        <v>712</v>
      </c>
      <c r="F5" s="287" t="s">
        <v>713</v>
      </c>
      <c r="G5" s="84"/>
      <c r="H5"/>
      <c r="I5"/>
      <c r="J5"/>
      <c r="K5"/>
    </row>
    <row r="6" spans="1:18" x14ac:dyDescent="0.25">
      <c r="A6" s="82"/>
      <c r="B6" s="148">
        <v>250000</v>
      </c>
      <c r="C6" s="166" t="s">
        <v>715</v>
      </c>
      <c r="D6" s="83"/>
      <c r="E6" s="148">
        <v>250</v>
      </c>
      <c r="F6" s="326">
        <v>0.17680000000000001</v>
      </c>
      <c r="G6" s="84"/>
      <c r="H6"/>
      <c r="I6"/>
      <c r="J6"/>
      <c r="K6"/>
    </row>
    <row r="7" spans="1:18" x14ac:dyDescent="0.25">
      <c r="A7" s="82"/>
      <c r="B7" s="148">
        <v>500</v>
      </c>
      <c r="C7" s="166" t="s">
        <v>710</v>
      </c>
      <c r="D7" s="83"/>
      <c r="E7" s="148">
        <v>2500</v>
      </c>
      <c r="F7" s="326">
        <v>0.57089999999999996</v>
      </c>
      <c r="G7" s="84"/>
      <c r="H7"/>
      <c r="I7"/>
      <c r="J7"/>
      <c r="K7"/>
    </row>
    <row r="8" spans="1:18" ht="17.25" x14ac:dyDescent="0.25">
      <c r="A8" s="82"/>
      <c r="B8" s="140">
        <v>0.02</v>
      </c>
      <c r="C8" s="166" t="s">
        <v>711</v>
      </c>
      <c r="D8" s="83"/>
      <c r="E8" s="148">
        <v>15000</v>
      </c>
      <c r="F8" s="326">
        <v>0.1565</v>
      </c>
      <c r="G8" s="84"/>
      <c r="H8"/>
      <c r="I8" s="333" t="s">
        <v>712</v>
      </c>
      <c r="J8" s="303" t="s">
        <v>724</v>
      </c>
      <c r="K8" s="303" t="s">
        <v>725</v>
      </c>
      <c r="L8" s="303" t="s">
        <v>808</v>
      </c>
      <c r="M8" s="303" t="s">
        <v>807</v>
      </c>
      <c r="Q8"/>
      <c r="R8"/>
    </row>
    <row r="9" spans="1:18" x14ac:dyDescent="0.25">
      <c r="A9" s="82"/>
      <c r="B9" s="329">
        <v>4</v>
      </c>
      <c r="C9" s="166" t="s">
        <v>717</v>
      </c>
      <c r="D9" s="83"/>
      <c r="E9" s="150">
        <v>75000</v>
      </c>
      <c r="F9" s="327">
        <v>9.5799999999999996E-2</v>
      </c>
      <c r="G9" s="84"/>
      <c r="H9"/>
      <c r="I9" s="331">
        <f>E6</f>
        <v>250</v>
      </c>
      <c r="J9" s="334">
        <f>MIN(I9,$B$5)</f>
        <v>250</v>
      </c>
      <c r="K9" s="334">
        <f>MIN(I9,$B$6)</f>
        <v>250</v>
      </c>
      <c r="L9" s="334">
        <f t="shared" ref="L9:M12" si="0">J9^2</f>
        <v>62500</v>
      </c>
      <c r="M9" s="334">
        <f t="shared" si="0"/>
        <v>62500</v>
      </c>
      <c r="Q9"/>
      <c r="R9"/>
    </row>
    <row r="10" spans="1:18" x14ac:dyDescent="0.25">
      <c r="A10" s="82"/>
      <c r="B10" s="143">
        <v>0.15</v>
      </c>
      <c r="C10" s="167" t="s">
        <v>720</v>
      </c>
      <c r="D10" s="83"/>
      <c r="E10" s="83"/>
      <c r="F10" s="83"/>
      <c r="G10" s="84"/>
      <c r="H10"/>
      <c r="I10" s="331">
        <f t="shared" ref="I10:I12" si="1">E7</f>
        <v>2500</v>
      </c>
      <c r="J10" s="334">
        <f t="shared" ref="J10:J12" si="2">MIN(I10,$B$5)</f>
        <v>2500</v>
      </c>
      <c r="K10" s="334">
        <f>MIN(I10,$B$6)</f>
        <v>2500</v>
      </c>
      <c r="L10" s="334">
        <f t="shared" si="0"/>
        <v>6250000</v>
      </c>
      <c r="M10" s="334">
        <f t="shared" si="0"/>
        <v>6250000</v>
      </c>
      <c r="Q10"/>
      <c r="R10"/>
    </row>
    <row r="11" spans="1:18" x14ac:dyDescent="0.25">
      <c r="A11" s="82"/>
      <c r="B11" s="182"/>
      <c r="C11" s="83"/>
      <c r="D11" s="83"/>
      <c r="E11" s="83"/>
      <c r="F11" s="182"/>
      <c r="G11" s="84"/>
      <c r="H11"/>
      <c r="I11" s="331">
        <f t="shared" si="1"/>
        <v>15000</v>
      </c>
      <c r="J11" s="334">
        <f t="shared" si="2"/>
        <v>10000</v>
      </c>
      <c r="K11" s="334">
        <f>MIN(I11,$B$6)</f>
        <v>15000</v>
      </c>
      <c r="L11" s="334">
        <f t="shared" si="0"/>
        <v>100000000</v>
      </c>
      <c r="M11" s="334">
        <f t="shared" si="0"/>
        <v>225000000</v>
      </c>
      <c r="Q11"/>
      <c r="R11"/>
    </row>
    <row r="12" spans="1:18" x14ac:dyDescent="0.25">
      <c r="A12" s="82"/>
      <c r="B12" s="83" t="s">
        <v>718</v>
      </c>
      <c r="C12" s="83"/>
      <c r="D12" s="83"/>
      <c r="E12" s="83"/>
      <c r="F12" s="83"/>
      <c r="G12" s="84"/>
      <c r="H12"/>
      <c r="I12" s="332">
        <f t="shared" si="1"/>
        <v>75000</v>
      </c>
      <c r="J12" s="335">
        <f t="shared" si="2"/>
        <v>10000</v>
      </c>
      <c r="K12" s="335">
        <f>MIN(I12,$B$6)</f>
        <v>75000</v>
      </c>
      <c r="L12" s="335">
        <f t="shared" si="0"/>
        <v>100000000</v>
      </c>
      <c r="M12" s="335">
        <f t="shared" si="0"/>
        <v>5625000000</v>
      </c>
      <c r="Q12"/>
      <c r="R12"/>
    </row>
    <row r="13" spans="1:18" x14ac:dyDescent="0.25">
      <c r="A13" s="82"/>
      <c r="B13" s="83" t="s">
        <v>719</v>
      </c>
      <c r="C13" s="83"/>
      <c r="D13" s="83"/>
      <c r="E13" s="83"/>
      <c r="F13" s="83"/>
      <c r="G13" s="84"/>
      <c r="H13"/>
      <c r="I13"/>
      <c r="J13"/>
      <c r="K13"/>
      <c r="Q13"/>
      <c r="R13"/>
    </row>
    <row r="14" spans="1:18" x14ac:dyDescent="0.25">
      <c r="A14" s="82"/>
      <c r="B14" s="83"/>
      <c r="C14" s="83"/>
      <c r="D14" s="83"/>
      <c r="E14" s="83"/>
      <c r="F14" s="83"/>
      <c r="G14" s="84"/>
      <c r="H14"/>
      <c r="I14" t="s">
        <v>806</v>
      </c>
      <c r="J14" s="336">
        <f>SUMPRODUCT(J9:J12,F6:F9)</f>
        <v>3994.45</v>
      </c>
      <c r="K14" s="336">
        <f>SUMPRODUCT(K9:K12,F6:F9)</f>
        <v>11003.95</v>
      </c>
      <c r="Q14"/>
      <c r="R14"/>
    </row>
    <row r="15" spans="1:18" x14ac:dyDescent="0.25">
      <c r="A15" s="98" t="s">
        <v>2</v>
      </c>
      <c r="B15" s="83" t="s">
        <v>733</v>
      </c>
      <c r="C15" s="83"/>
      <c r="D15" s="83"/>
      <c r="E15" s="83"/>
      <c r="F15" s="83"/>
      <c r="G15" s="84"/>
      <c r="H15"/>
      <c r="I15"/>
      <c r="K15"/>
      <c r="Q15"/>
      <c r="R15"/>
    </row>
    <row r="16" spans="1:18" ht="15.75" thickBot="1" x14ac:dyDescent="0.3">
      <c r="A16" s="86">
        <f>INDEX('Point Grid'!$C$8:$I$28,MATCH($A$1,'Point Grid'!$A$8:$A$28,0),MATCH(A15,'Point Grid'!$C$7:$I$7,0))</f>
        <v>1.5</v>
      </c>
      <c r="B16" s="83"/>
      <c r="C16" s="83"/>
      <c r="D16" s="83"/>
      <c r="E16" s="83"/>
      <c r="F16" s="83"/>
      <c r="G16" s="84"/>
      <c r="H16"/>
      <c r="I16" s="330" t="s">
        <v>722</v>
      </c>
      <c r="J16"/>
      <c r="K16"/>
      <c r="Q16"/>
      <c r="R16"/>
    </row>
    <row r="17" spans="1:18" ht="15.75" thickBot="1" x14ac:dyDescent="0.3">
      <c r="A17" s="4">
        <v>1.5</v>
      </c>
      <c r="B17" s="83"/>
      <c r="C17" s="83"/>
      <c r="D17" s="83"/>
      <c r="E17" s="83"/>
      <c r="F17" s="83"/>
      <c r="G17" s="84"/>
      <c r="H17"/>
      <c r="I17" t="s">
        <v>726</v>
      </c>
      <c r="J17" s="338">
        <f>((K14+B7)*(1+B8))/((J14+B7)*(1+B8))</f>
        <v>2.5595901611988121</v>
      </c>
      <c r="K17"/>
      <c r="Q17"/>
      <c r="R17"/>
    </row>
    <row r="18" spans="1:18" ht="15.75" thickBot="1" x14ac:dyDescent="0.3">
      <c r="A18" s="106"/>
      <c r="B18" s="100"/>
      <c r="C18" s="100"/>
      <c r="D18" s="100"/>
      <c r="E18" s="100"/>
      <c r="F18" s="100"/>
      <c r="G18" s="101"/>
      <c r="H18"/>
      <c r="I18"/>
      <c r="J18"/>
      <c r="K18"/>
    </row>
    <row r="19" spans="1:18" x14ac:dyDescent="0.25">
      <c r="A19"/>
      <c r="B19"/>
      <c r="C19"/>
      <c r="D19"/>
      <c r="E19"/>
      <c r="F19"/>
      <c r="G19"/>
      <c r="H19"/>
      <c r="I19" s="316" t="s">
        <v>727</v>
      </c>
    </row>
    <row r="20" spans="1:18" x14ac:dyDescent="0.25">
      <c r="A20"/>
      <c r="B20"/>
      <c r="C20"/>
      <c r="D20"/>
      <c r="E20"/>
      <c r="F20"/>
      <c r="G20"/>
      <c r="I20" s="3" t="s">
        <v>728</v>
      </c>
    </row>
    <row r="21" spans="1:18" x14ac:dyDescent="0.25">
      <c r="A21"/>
      <c r="B21"/>
      <c r="C21"/>
      <c r="D21"/>
      <c r="E21"/>
      <c r="F21"/>
      <c r="G21"/>
      <c r="I21"/>
      <c r="J21"/>
      <c r="K21"/>
      <c r="L21"/>
    </row>
    <row r="22" spans="1:18" ht="17.25" x14ac:dyDescent="0.25">
      <c r="A22"/>
      <c r="B22"/>
      <c r="C22"/>
      <c r="D22"/>
      <c r="E22"/>
      <c r="F22"/>
      <c r="G22"/>
      <c r="H22" s="3"/>
      <c r="I22" t="s">
        <v>731</v>
      </c>
      <c r="J22" s="336">
        <f>SUMPRODUCT(L9:L12,F6:F9)</f>
        <v>28809175</v>
      </c>
      <c r="L22"/>
      <c r="O22" s="61"/>
    </row>
    <row r="23" spans="1:18" ht="17.25" x14ac:dyDescent="0.25">
      <c r="H23" s="3"/>
      <c r="I23" t="s">
        <v>732</v>
      </c>
      <c r="J23" s="336">
        <f>SUMPRODUCT(F6:F9,M9:M12)</f>
        <v>577666675</v>
      </c>
    </row>
    <row r="24" spans="1:18" x14ac:dyDescent="0.25">
      <c r="H24" s="3"/>
    </row>
    <row r="25" spans="1:18" x14ac:dyDescent="0.25">
      <c r="H25" s="3"/>
      <c r="I25" s="337" t="s">
        <v>729</v>
      </c>
      <c r="J25" s="61">
        <f>B10/SQRT(B9)*SQRT(J22)</f>
        <v>402.55634310615454</v>
      </c>
    </row>
    <row r="26" spans="1:18" x14ac:dyDescent="0.25">
      <c r="I26" s="337" t="s">
        <v>730</v>
      </c>
      <c r="J26" s="61">
        <f>B10/SQRT(B9)*SQRT(J23)</f>
        <v>1802.6022985880716</v>
      </c>
    </row>
    <row r="28" spans="1:18" x14ac:dyDescent="0.25">
      <c r="I28" s="3" t="s">
        <v>726</v>
      </c>
      <c r="J28" s="249">
        <f>((K14+B7)*(1+B8)+J26)/((J14+B7)*(1+B8)+J25)</f>
        <v>2.7144406223204598</v>
      </c>
    </row>
  </sheetData>
  <sheetProtection formatCells="0" formatColumns="0" formatRows="0"/>
  <conditionalFormatting sqref="B1">
    <cfRule type="cellIs" dxfId="20" priority="1" operator="equal">
      <formula>"Incomplete"</formula>
    </cfRule>
    <cfRule type="cellIs" dxfId="19" priority="2" operator="equal">
      <formula>"Flag for Review"</formula>
    </cfRule>
    <cfRule type="cellIs" dxfId="18" priority="3" operator="equal">
      <formula>"Finished"</formula>
    </cfRule>
  </conditionalFormatting>
  <dataValidations count="2">
    <dataValidation type="list" allowBlank="1" showInputMessage="1" showErrorMessage="1" sqref="B1" xr:uid="{6BAE4AC5-3F5D-4A8F-A010-9345E50B3D5C}">
      <formula1>"Finished, Flag for Review, Incomplete"</formula1>
    </dataValidation>
    <dataValidation type="decimal" allowBlank="1" showInputMessage="1" showErrorMessage="1" sqref="A17" xr:uid="{CCA5247A-F6D2-401D-89E6-A673EFABBC88}">
      <formula1>0</formula1>
      <formula2>A16</formula2>
    </dataValidation>
  </dataValidations>
  <hyperlinks>
    <hyperlink ref="G1" location="Navigator!A1" display="Navigator" xr:uid="{17CD3B29-2C89-4425-BD16-10026FC01112}"/>
  </hyperlinks>
  <pageMargins left="0.7" right="0.7" top="0.75" bottom="0.75" header="0.3" footer="0.3"/>
  <pageSetup paperSize="9" orientation="portrait" r:id="rId1"/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9B1C06-A5A5-4CF9-B123-20755A8AB91D}">
  <sheetPr codeName="Sheet20"/>
  <dimension ref="A1:Q52"/>
  <sheetViews>
    <sheetView workbookViewId="0"/>
  </sheetViews>
  <sheetFormatPr defaultColWidth="9.140625" defaultRowHeight="15" x14ac:dyDescent="0.25"/>
  <cols>
    <col min="1" max="1" width="6.5703125" style="3" bestFit="1" customWidth="1"/>
    <col min="2" max="2" width="19.28515625" style="3" customWidth="1"/>
    <col min="3" max="3" width="19.5703125" style="3" customWidth="1"/>
    <col min="4" max="4" width="7.28515625" style="3" bestFit="1" customWidth="1"/>
    <col min="5" max="5" width="16.140625" style="3" customWidth="1"/>
    <col min="6" max="6" width="12.42578125" style="3" bestFit="1" customWidth="1"/>
    <col min="7" max="7" width="10.140625" style="3" customWidth="1"/>
    <col min="8" max="8" width="5.7109375" style="3" customWidth="1"/>
    <col min="9" max="9" width="3.7109375" style="28" customWidth="1"/>
    <col min="10" max="10" width="11.140625" style="3" customWidth="1"/>
    <col min="11" max="11" width="12.7109375" style="3" customWidth="1"/>
    <col min="12" max="12" width="9.140625" style="3"/>
    <col min="13" max="13" width="10.42578125" style="3" bestFit="1" customWidth="1"/>
    <col min="14" max="16384" width="9.140625" style="3"/>
  </cols>
  <sheetData>
    <row r="1" spans="1:14" ht="15.75" x14ac:dyDescent="0.25">
      <c r="A1" s="244">
        <v>18</v>
      </c>
      <c r="B1" s="78" t="s">
        <v>530</v>
      </c>
      <c r="C1" s="245"/>
      <c r="D1" s="245"/>
      <c r="E1" s="245"/>
      <c r="F1" s="245"/>
      <c r="G1" s="380" t="s">
        <v>529</v>
      </c>
      <c r="H1" s="381"/>
      <c r="J1" s="79" t="s">
        <v>38</v>
      </c>
    </row>
    <row r="2" spans="1:14" x14ac:dyDescent="0.25">
      <c r="A2" s="181"/>
      <c r="B2" s="182"/>
      <c r="C2" s="182"/>
      <c r="D2" s="182"/>
      <c r="E2" s="182"/>
      <c r="F2" s="182"/>
      <c r="G2" s="182"/>
      <c r="H2" s="200"/>
      <c r="I2" s="28" t="s">
        <v>63</v>
      </c>
    </row>
    <row r="3" spans="1:14" x14ac:dyDescent="0.25">
      <c r="A3" s="246" t="s">
        <v>14</v>
      </c>
      <c r="B3" s="182" t="s">
        <v>708</v>
      </c>
      <c r="C3" s="182"/>
      <c r="D3" s="182"/>
      <c r="E3" s="182"/>
      <c r="F3" s="182"/>
      <c r="G3" s="182"/>
      <c r="H3" s="200"/>
    </row>
    <row r="4" spans="1:14" x14ac:dyDescent="0.25">
      <c r="A4" s="247">
        <f>INDEX('Point Grid'!B:B,MATCH('18'!A1,'Point Grid'!A:A,0))</f>
        <v>3</v>
      </c>
      <c r="B4" s="251" t="s">
        <v>709</v>
      </c>
      <c r="C4" s="182"/>
      <c r="D4" s="182"/>
      <c r="E4" s="182"/>
      <c r="F4" s="182"/>
      <c r="G4" s="182"/>
      <c r="H4" s="200"/>
    </row>
    <row r="5" spans="1:14" x14ac:dyDescent="0.25">
      <c r="A5" s="181"/>
      <c r="B5" s="182"/>
      <c r="C5" s="182"/>
      <c r="D5" s="182"/>
      <c r="E5" s="182"/>
      <c r="F5" s="182"/>
      <c r="G5" s="182"/>
      <c r="H5" s="200"/>
      <c r="I5" s="3"/>
      <c r="J5" s="3" t="s">
        <v>624</v>
      </c>
    </row>
    <row r="6" spans="1:14" x14ac:dyDescent="0.25">
      <c r="A6" s="181"/>
      <c r="B6" s="182" t="s">
        <v>600</v>
      </c>
      <c r="C6" s="182"/>
      <c r="D6" s="182"/>
      <c r="E6" s="182"/>
      <c r="F6" s="182"/>
      <c r="G6" s="182"/>
      <c r="H6" s="200"/>
      <c r="I6" s="3"/>
      <c r="J6" s="42" t="s">
        <v>614</v>
      </c>
      <c r="K6" s="43" t="s">
        <v>623</v>
      </c>
    </row>
    <row r="7" spans="1:14" x14ac:dyDescent="0.25">
      <c r="A7" s="181"/>
      <c r="B7" s="252">
        <v>4000000</v>
      </c>
      <c r="C7" s="253" t="s">
        <v>601</v>
      </c>
      <c r="D7" s="254"/>
      <c r="E7" s="255"/>
      <c r="F7" s="182"/>
      <c r="G7" s="182"/>
      <c r="H7" s="200"/>
      <c r="I7" s="3"/>
      <c r="J7" s="48">
        <f>C30</f>
        <v>1.17</v>
      </c>
      <c r="K7" s="240">
        <f>D30</f>
        <v>0.2</v>
      </c>
    </row>
    <row r="8" spans="1:14" x14ac:dyDescent="0.25">
      <c r="A8" s="181"/>
      <c r="B8" s="256" t="s">
        <v>602</v>
      </c>
      <c r="C8" s="257" t="s">
        <v>603</v>
      </c>
      <c r="D8" s="182"/>
      <c r="E8" s="258"/>
      <c r="F8" s="182"/>
      <c r="G8" s="182"/>
      <c r="H8" s="200"/>
      <c r="I8" s="3"/>
    </row>
    <row r="9" spans="1:14" x14ac:dyDescent="0.25">
      <c r="A9" s="181"/>
      <c r="B9" s="256">
        <v>4279</v>
      </c>
      <c r="C9" s="257" t="s">
        <v>606</v>
      </c>
      <c r="D9" s="182"/>
      <c r="E9" s="258"/>
      <c r="F9" s="182"/>
      <c r="G9" s="182"/>
      <c r="H9" s="200"/>
      <c r="I9" s="3"/>
      <c r="J9" s="59">
        <f>B7/100</f>
        <v>40000</v>
      </c>
      <c r="K9" s="3" t="s">
        <v>622</v>
      </c>
    </row>
    <row r="10" spans="1:14" x14ac:dyDescent="0.25">
      <c r="A10" s="181"/>
      <c r="B10" s="259">
        <v>5000</v>
      </c>
      <c r="C10" s="257" t="s">
        <v>618</v>
      </c>
      <c r="D10" s="182"/>
      <c r="E10" s="258"/>
      <c r="F10" s="182"/>
      <c r="G10" s="182"/>
      <c r="H10" s="200"/>
      <c r="I10" s="3"/>
    </row>
    <row r="11" spans="1:14" x14ac:dyDescent="0.25">
      <c r="A11" s="181"/>
      <c r="B11" s="260">
        <v>167000</v>
      </c>
      <c r="C11" s="257" t="s">
        <v>619</v>
      </c>
      <c r="D11" s="182"/>
      <c r="E11" s="258"/>
      <c r="F11" s="182"/>
      <c r="G11" s="182"/>
      <c r="H11" s="200"/>
      <c r="I11" s="3"/>
      <c r="J11" s="3" t="s">
        <v>625</v>
      </c>
      <c r="L11" s="59">
        <f>J9*J7</f>
        <v>46800</v>
      </c>
    </row>
    <row r="12" spans="1:14" x14ac:dyDescent="0.25">
      <c r="A12" s="181"/>
      <c r="B12" s="260">
        <v>334000</v>
      </c>
      <c r="C12" s="257" t="s">
        <v>620</v>
      </c>
      <c r="D12" s="182"/>
      <c r="E12" s="258"/>
      <c r="F12" s="182"/>
      <c r="G12" s="182"/>
      <c r="H12" s="200"/>
      <c r="I12" s="3"/>
    </row>
    <row r="13" spans="1:14" x14ac:dyDescent="0.25">
      <c r="A13" s="181"/>
      <c r="B13" s="261">
        <v>6.7</v>
      </c>
      <c r="C13" s="262" t="s">
        <v>621</v>
      </c>
      <c r="D13" s="263"/>
      <c r="E13" s="264"/>
      <c r="F13" s="182"/>
      <c r="G13" s="182"/>
      <c r="H13" s="200"/>
      <c r="I13" s="3"/>
      <c r="J13" s="3" t="s">
        <v>626</v>
      </c>
      <c r="N13" s="59">
        <f>K7*L11</f>
        <v>9360</v>
      </c>
    </row>
    <row r="14" spans="1:14" x14ac:dyDescent="0.25">
      <c r="A14" s="181"/>
      <c r="B14" s="182"/>
      <c r="C14" s="182"/>
      <c r="D14" s="182"/>
      <c r="E14" s="182"/>
      <c r="F14" s="182"/>
      <c r="G14" s="182"/>
      <c r="H14" s="200"/>
      <c r="I14" s="3"/>
    </row>
    <row r="15" spans="1:14" x14ac:dyDescent="0.25">
      <c r="A15" s="181"/>
      <c r="B15" s="182" t="s">
        <v>604</v>
      </c>
      <c r="C15" s="182"/>
      <c r="D15" s="182"/>
      <c r="E15" s="182"/>
      <c r="F15" s="182"/>
      <c r="G15" s="182"/>
      <c r="H15" s="200"/>
      <c r="I15" s="3"/>
      <c r="J15" s="3" t="s">
        <v>627</v>
      </c>
      <c r="N15" s="59">
        <f>L11-N13</f>
        <v>37440</v>
      </c>
    </row>
    <row r="16" spans="1:14" x14ac:dyDescent="0.25">
      <c r="A16" s="181"/>
      <c r="B16" s="265" t="s">
        <v>608</v>
      </c>
      <c r="C16" s="182"/>
      <c r="D16" s="182"/>
      <c r="E16" s="265" t="s">
        <v>609</v>
      </c>
      <c r="F16" s="182"/>
      <c r="G16" s="182"/>
      <c r="H16" s="200"/>
      <c r="I16" s="3"/>
    </row>
    <row r="17" spans="1:13" x14ac:dyDescent="0.25">
      <c r="A17" s="181"/>
      <c r="B17" s="268" t="s">
        <v>23</v>
      </c>
      <c r="C17" s="278" t="s">
        <v>607</v>
      </c>
      <c r="D17" s="182"/>
      <c r="E17" s="278" t="s">
        <v>23</v>
      </c>
      <c r="F17" s="269" t="s">
        <v>607</v>
      </c>
      <c r="G17" s="182"/>
      <c r="H17" s="200"/>
      <c r="I17" s="3"/>
      <c r="J17" s="3" t="s">
        <v>637</v>
      </c>
    </row>
    <row r="18" spans="1:13" x14ac:dyDescent="0.25">
      <c r="A18" s="181"/>
      <c r="B18" s="270">
        <v>1</v>
      </c>
      <c r="C18" s="260">
        <v>2000</v>
      </c>
      <c r="D18" s="182"/>
      <c r="E18" s="256">
        <v>7</v>
      </c>
      <c r="F18" s="280">
        <v>500</v>
      </c>
      <c r="G18" s="266"/>
      <c r="H18" s="200"/>
      <c r="I18" s="3"/>
      <c r="J18" s="3" t="s">
        <v>638</v>
      </c>
      <c r="K18" s="243">
        <f>F34</f>
        <v>20100</v>
      </c>
    </row>
    <row r="19" spans="1:13" x14ac:dyDescent="0.25">
      <c r="A19" s="181"/>
      <c r="B19" s="270">
        <v>2</v>
      </c>
      <c r="C19" s="260">
        <v>2500</v>
      </c>
      <c r="D19" s="182"/>
      <c r="E19" s="256">
        <v>8</v>
      </c>
      <c r="F19" s="280">
        <v>1750</v>
      </c>
      <c r="G19" s="267"/>
      <c r="H19" s="200"/>
      <c r="I19" s="3"/>
      <c r="J19" s="3" t="s">
        <v>639</v>
      </c>
      <c r="K19" s="41">
        <f>C33</f>
        <v>0.1</v>
      </c>
    </row>
    <row r="20" spans="1:13" x14ac:dyDescent="0.25">
      <c r="A20" s="181"/>
      <c r="B20" s="270">
        <v>3</v>
      </c>
      <c r="C20" s="260">
        <v>4000</v>
      </c>
      <c r="D20" s="182"/>
      <c r="E20" s="256">
        <v>9</v>
      </c>
      <c r="F20" s="280">
        <v>3000</v>
      </c>
      <c r="G20" s="267"/>
      <c r="H20" s="200"/>
      <c r="I20" s="3"/>
    </row>
    <row r="21" spans="1:13" x14ac:dyDescent="0.25">
      <c r="A21" s="181"/>
      <c r="B21" s="270">
        <v>4</v>
      </c>
      <c r="C21" s="260">
        <v>5000</v>
      </c>
      <c r="D21" s="182"/>
      <c r="E21" s="279">
        <v>10</v>
      </c>
      <c r="F21" s="281">
        <v>25000</v>
      </c>
      <c r="G21" s="267"/>
      <c r="H21" s="200"/>
      <c r="I21" s="3"/>
      <c r="J21" s="3" t="s">
        <v>628</v>
      </c>
    </row>
    <row r="22" spans="1:13" x14ac:dyDescent="0.25">
      <c r="A22" s="181"/>
      <c r="B22" s="270">
        <v>5</v>
      </c>
      <c r="C22" s="260">
        <v>25000</v>
      </c>
      <c r="D22" s="182"/>
      <c r="E22" s="182"/>
      <c r="F22" s="182"/>
      <c r="G22" s="182"/>
      <c r="H22" s="200"/>
      <c r="I22" s="3"/>
    </row>
    <row r="23" spans="1:13" x14ac:dyDescent="0.25">
      <c r="A23" s="181"/>
      <c r="B23" s="273" t="s">
        <v>610</v>
      </c>
      <c r="C23" s="282">
        <v>350000</v>
      </c>
      <c r="D23" s="182"/>
      <c r="E23" s="182"/>
      <c r="F23" s="182"/>
      <c r="G23" s="182"/>
      <c r="H23" s="200"/>
      <c r="I23" s="3"/>
      <c r="J23" s="3" t="s">
        <v>629</v>
      </c>
    </row>
    <row r="24" spans="1:13" x14ac:dyDescent="0.25">
      <c r="A24" s="181"/>
      <c r="B24" s="182" t="s">
        <v>611</v>
      </c>
      <c r="C24" s="182"/>
      <c r="D24" s="182"/>
      <c r="E24" s="182"/>
      <c r="F24" s="182"/>
      <c r="G24" s="182"/>
      <c r="H24" s="200"/>
      <c r="I24" s="3"/>
      <c r="J24" s="3" t="s">
        <v>631</v>
      </c>
    </row>
    <row r="25" spans="1:13" x14ac:dyDescent="0.25">
      <c r="A25" s="181"/>
      <c r="B25" s="182"/>
      <c r="C25" s="182"/>
      <c r="D25" s="182"/>
      <c r="E25" s="182"/>
      <c r="F25" s="182"/>
      <c r="G25" s="182"/>
      <c r="H25" s="200"/>
      <c r="I25" s="3"/>
      <c r="J25" s="3" t="s">
        <v>630</v>
      </c>
    </row>
    <row r="26" spans="1:13" x14ac:dyDescent="0.25">
      <c r="A26" s="181"/>
      <c r="B26" s="182" t="s">
        <v>612</v>
      </c>
      <c r="C26" s="182"/>
      <c r="D26" s="182"/>
      <c r="E26" s="182"/>
      <c r="F26" s="182"/>
      <c r="G26" s="182"/>
      <c r="H26" s="200"/>
      <c r="I26" s="3"/>
    </row>
    <row r="27" spans="1:13" x14ac:dyDescent="0.25">
      <c r="A27" s="181"/>
      <c r="B27" s="268" t="s">
        <v>613</v>
      </c>
      <c r="C27" s="278" t="s">
        <v>614</v>
      </c>
      <c r="D27" s="269" t="s">
        <v>615</v>
      </c>
      <c r="E27" s="182"/>
      <c r="F27" s="182"/>
      <c r="G27" s="182"/>
      <c r="H27" s="200"/>
      <c r="I27" s="3"/>
      <c r="J27" s="42" t="s">
        <v>23</v>
      </c>
      <c r="K27" s="50" t="s">
        <v>632</v>
      </c>
      <c r="L27" s="50" t="s">
        <v>633</v>
      </c>
      <c r="M27" s="43" t="s">
        <v>634</v>
      </c>
    </row>
    <row r="28" spans="1:13" x14ac:dyDescent="0.25">
      <c r="A28" s="181"/>
      <c r="B28" s="270">
        <v>4263</v>
      </c>
      <c r="C28" s="256">
        <v>1.01</v>
      </c>
      <c r="D28" s="271">
        <v>0.22</v>
      </c>
      <c r="E28" s="182"/>
      <c r="F28" s="182"/>
      <c r="G28" s="182"/>
      <c r="H28" s="200"/>
      <c r="I28" s="3"/>
      <c r="J28" s="46">
        <f t="shared" ref="J28:J33" si="0">B18</f>
        <v>1</v>
      </c>
      <c r="K28" s="209">
        <f t="shared" ref="K28:K33" si="1">MIN(C18,$B$11)</f>
        <v>2000</v>
      </c>
      <c r="L28" s="209">
        <f>MIN(K28,$B$10)</f>
        <v>2000</v>
      </c>
      <c r="M28" s="207">
        <f>K28-L28</f>
        <v>0</v>
      </c>
    </row>
    <row r="29" spans="1:13" x14ac:dyDescent="0.25">
      <c r="A29" s="181"/>
      <c r="B29" s="270">
        <v>4273</v>
      </c>
      <c r="C29" s="256">
        <v>0.94</v>
      </c>
      <c r="D29" s="271">
        <v>0.21</v>
      </c>
      <c r="E29" s="182"/>
      <c r="F29" s="182"/>
      <c r="G29" s="182"/>
      <c r="H29" s="200"/>
      <c r="I29" s="3"/>
      <c r="J29" s="46">
        <f t="shared" si="0"/>
        <v>2</v>
      </c>
      <c r="K29" s="209">
        <f t="shared" si="1"/>
        <v>2500</v>
      </c>
      <c r="L29" s="209">
        <f t="shared" ref="L29:L33" si="2">MIN(K29,$B$10)</f>
        <v>2500</v>
      </c>
      <c r="M29" s="207">
        <f t="shared" ref="M29:M33" si="3">K29-L29</f>
        <v>0</v>
      </c>
    </row>
    <row r="30" spans="1:13" x14ac:dyDescent="0.25">
      <c r="A30" s="181"/>
      <c r="B30" s="273">
        <v>4279</v>
      </c>
      <c r="C30" s="279">
        <v>1.17</v>
      </c>
      <c r="D30" s="274">
        <v>0.2</v>
      </c>
      <c r="E30" s="182"/>
      <c r="F30" s="182"/>
      <c r="G30" s="182"/>
      <c r="H30" s="200"/>
      <c r="I30" s="3"/>
      <c r="J30" s="46">
        <f t="shared" si="0"/>
        <v>3</v>
      </c>
      <c r="K30" s="209">
        <f t="shared" si="1"/>
        <v>4000</v>
      </c>
      <c r="L30" s="209">
        <f t="shared" si="2"/>
        <v>4000</v>
      </c>
      <c r="M30" s="207">
        <f t="shared" si="3"/>
        <v>0</v>
      </c>
    </row>
    <row r="31" spans="1:13" x14ac:dyDescent="0.25">
      <c r="A31" s="181"/>
      <c r="B31" s="182"/>
      <c r="C31" s="182"/>
      <c r="D31" s="182"/>
      <c r="E31" s="182"/>
      <c r="F31" s="182"/>
      <c r="G31" s="182"/>
      <c r="H31" s="200"/>
      <c r="I31" s="3"/>
      <c r="J31" s="46">
        <f t="shared" si="0"/>
        <v>4</v>
      </c>
      <c r="K31" s="209">
        <f t="shared" si="1"/>
        <v>5000</v>
      </c>
      <c r="L31" s="209">
        <f t="shared" si="2"/>
        <v>5000</v>
      </c>
      <c r="M31" s="207">
        <f t="shared" si="3"/>
        <v>0</v>
      </c>
    </row>
    <row r="32" spans="1:13" x14ac:dyDescent="0.25">
      <c r="A32" s="181"/>
      <c r="B32" s="278" t="s">
        <v>406</v>
      </c>
      <c r="C32" s="269" t="s">
        <v>616</v>
      </c>
      <c r="D32" s="182"/>
      <c r="E32" s="278" t="s">
        <v>406</v>
      </c>
      <c r="F32" s="269" t="s">
        <v>617</v>
      </c>
      <c r="G32" s="182"/>
      <c r="H32" s="200"/>
      <c r="I32" s="3"/>
      <c r="J32" s="46">
        <f t="shared" si="0"/>
        <v>5</v>
      </c>
      <c r="K32" s="209">
        <f t="shared" si="1"/>
        <v>25000</v>
      </c>
      <c r="L32" s="209">
        <f t="shared" si="2"/>
        <v>5000</v>
      </c>
      <c r="M32" s="207">
        <f t="shared" si="3"/>
        <v>20000</v>
      </c>
    </row>
    <row r="33" spans="1:17" x14ac:dyDescent="0.25">
      <c r="A33" s="181"/>
      <c r="B33" s="256" t="s">
        <v>640</v>
      </c>
      <c r="C33" s="271">
        <v>0.1</v>
      </c>
      <c r="D33" s="182"/>
      <c r="E33" s="256" t="s">
        <v>643</v>
      </c>
      <c r="F33" s="272">
        <v>16750</v>
      </c>
      <c r="G33" s="182"/>
      <c r="H33" s="200"/>
      <c r="I33" s="3"/>
      <c r="J33" s="48" t="str">
        <f t="shared" si="0"/>
        <v>6*</v>
      </c>
      <c r="K33" s="210">
        <f t="shared" si="1"/>
        <v>167000</v>
      </c>
      <c r="L33" s="210">
        <f t="shared" si="2"/>
        <v>5000</v>
      </c>
      <c r="M33" s="208">
        <f t="shared" si="3"/>
        <v>162000</v>
      </c>
    </row>
    <row r="34" spans="1:17" x14ac:dyDescent="0.25">
      <c r="A34" s="181"/>
      <c r="B34" s="256" t="s">
        <v>641</v>
      </c>
      <c r="C34" s="271">
        <v>0.11</v>
      </c>
      <c r="D34" s="182"/>
      <c r="E34" s="256" t="s">
        <v>644</v>
      </c>
      <c r="F34" s="272">
        <v>20100</v>
      </c>
      <c r="G34" s="182"/>
      <c r="H34" s="200"/>
      <c r="I34" s="3"/>
      <c r="J34" s="44">
        <f>E18</f>
        <v>7</v>
      </c>
      <c r="K34" s="248">
        <f>MIN(F18*(1-70%),$B$11)</f>
        <v>150.00000000000003</v>
      </c>
      <c r="L34" s="248">
        <f>MIN(K34,(1-70%)*$B$10)</f>
        <v>150.00000000000003</v>
      </c>
      <c r="M34" s="250">
        <f>K34-L34</f>
        <v>0</v>
      </c>
    </row>
    <row r="35" spans="1:17" x14ac:dyDescent="0.25">
      <c r="A35" s="181"/>
      <c r="B35" s="279" t="s">
        <v>642</v>
      </c>
      <c r="C35" s="274">
        <v>0.12</v>
      </c>
      <c r="D35" s="182"/>
      <c r="E35" s="279" t="s">
        <v>645</v>
      </c>
      <c r="F35" s="275">
        <v>23450</v>
      </c>
      <c r="G35" s="182"/>
      <c r="H35" s="200"/>
      <c r="I35" s="3"/>
      <c r="J35" s="46">
        <f t="shared" ref="J35:J37" si="4">E19</f>
        <v>8</v>
      </c>
      <c r="K35" s="209">
        <f>MIN(F19*(1-70%),$B$11)</f>
        <v>525.00000000000011</v>
      </c>
      <c r="L35" s="209">
        <f t="shared" ref="L35:L37" si="5">MIN(K35,(1-70%)*$B$10)</f>
        <v>525.00000000000011</v>
      </c>
      <c r="M35" s="207">
        <f t="shared" ref="M35:M37" si="6">K35-L35</f>
        <v>0</v>
      </c>
    </row>
    <row r="36" spans="1:17" x14ac:dyDescent="0.25">
      <c r="A36" s="181"/>
      <c r="B36" s="182"/>
      <c r="C36" s="182"/>
      <c r="D36" s="182"/>
      <c r="E36" s="182"/>
      <c r="F36" s="182"/>
      <c r="G36" s="182"/>
      <c r="H36" s="200"/>
      <c r="I36" s="3"/>
      <c r="J36" s="46">
        <f t="shared" si="4"/>
        <v>9</v>
      </c>
      <c r="K36" s="209">
        <f>MIN(F20*(1-70%),$B$11)</f>
        <v>900.00000000000011</v>
      </c>
      <c r="L36" s="209">
        <f t="shared" si="5"/>
        <v>900.00000000000011</v>
      </c>
      <c r="M36" s="207">
        <f t="shared" si="6"/>
        <v>0</v>
      </c>
    </row>
    <row r="37" spans="1:17" x14ac:dyDescent="0.25">
      <c r="A37" s="98" t="s">
        <v>2</v>
      </c>
      <c r="B37" s="182" t="s">
        <v>605</v>
      </c>
      <c r="C37" s="182"/>
      <c r="D37" s="182"/>
      <c r="E37" s="182"/>
      <c r="F37" s="182"/>
      <c r="G37" s="182"/>
      <c r="H37" s="200"/>
      <c r="I37" s="3"/>
      <c r="J37" s="48">
        <f t="shared" si="4"/>
        <v>10</v>
      </c>
      <c r="K37" s="210">
        <f>MIN(F21*(1-70%),$B$11)</f>
        <v>7500.0000000000009</v>
      </c>
      <c r="L37" s="210">
        <f t="shared" si="5"/>
        <v>1500.0000000000002</v>
      </c>
      <c r="M37" s="208">
        <f t="shared" si="6"/>
        <v>6000.0000000000009</v>
      </c>
    </row>
    <row r="38" spans="1:17" ht="15.75" thickBot="1" x14ac:dyDescent="0.3">
      <c r="A38" s="86">
        <f>INDEX('Point Grid'!$C$8:$I$28,MATCH($A$1,'Point Grid'!$A$8:$A$28,0),MATCH(A37,'Point Grid'!$C$7:$I$7,0))</f>
        <v>2.5</v>
      </c>
      <c r="B38" s="182"/>
      <c r="C38" s="182"/>
      <c r="D38" s="182"/>
      <c r="E38" s="182"/>
      <c r="F38" s="182"/>
      <c r="G38" s="182"/>
      <c r="H38" s="200"/>
      <c r="I38" s="3"/>
    </row>
    <row r="39" spans="1:17" ht="15.75" thickBot="1" x14ac:dyDescent="0.3">
      <c r="A39" s="4">
        <v>2.5</v>
      </c>
      <c r="B39" s="182"/>
      <c r="C39" s="182"/>
      <c r="D39" s="182"/>
      <c r="E39" s="182"/>
      <c r="F39" s="182"/>
      <c r="G39" s="182"/>
      <c r="H39" s="200"/>
      <c r="I39" s="3"/>
    </row>
    <row r="40" spans="1:17" x14ac:dyDescent="0.25">
      <c r="A40" s="181"/>
      <c r="B40" s="182"/>
      <c r="C40" s="182"/>
      <c r="D40" s="182"/>
      <c r="E40" s="182"/>
      <c r="F40" s="182"/>
      <c r="G40" s="182"/>
      <c r="H40" s="200"/>
      <c r="J40" s="3" t="s">
        <v>635</v>
      </c>
      <c r="K40" s="59">
        <f>SUM(L28:L37)</f>
        <v>26575</v>
      </c>
    </row>
    <row r="41" spans="1:17" x14ac:dyDescent="0.25">
      <c r="A41" s="98" t="s">
        <v>3</v>
      </c>
      <c r="B41" s="182" t="s">
        <v>648</v>
      </c>
      <c r="C41" s="182"/>
      <c r="D41" s="182"/>
      <c r="E41" s="182"/>
      <c r="F41" s="182"/>
      <c r="G41" s="182"/>
      <c r="H41" s="200"/>
      <c r="J41" s="3" t="s">
        <v>636</v>
      </c>
      <c r="K41" s="59">
        <f>SUM(M28:M37)</f>
        <v>188000</v>
      </c>
    </row>
    <row r="42" spans="1:17" ht="15.75" thickBot="1" x14ac:dyDescent="0.3">
      <c r="A42" s="86">
        <f>INDEX('Point Grid'!$C$8:$I$28,MATCH($A$1,'Point Grid'!$A$8:$A$28,0),MATCH(A41,'Point Grid'!$C$7:$I$7,0))</f>
        <v>0.5</v>
      </c>
      <c r="B42" s="182"/>
      <c r="C42" s="182"/>
      <c r="D42" s="182"/>
      <c r="E42" s="182"/>
      <c r="F42" s="182"/>
      <c r="G42" s="182"/>
      <c r="H42" s="200"/>
    </row>
    <row r="43" spans="1:17" ht="15.75" thickBot="1" x14ac:dyDescent="0.3">
      <c r="A43" s="4">
        <v>0.5</v>
      </c>
      <c r="B43" s="183" t="s">
        <v>649</v>
      </c>
      <c r="C43" s="182"/>
      <c r="D43" s="182"/>
      <c r="E43" s="182"/>
      <c r="F43" s="182"/>
      <c r="G43" s="182"/>
      <c r="H43" s="200"/>
      <c r="J43" s="3" t="s">
        <v>646</v>
      </c>
      <c r="Q43" s="65">
        <f>1.1+0.0004*L11/B13</f>
        <v>3.8940298507462692</v>
      </c>
    </row>
    <row r="44" spans="1:17" x14ac:dyDescent="0.25">
      <c r="A44" s="181"/>
      <c r="B44" s="183" t="s">
        <v>650</v>
      </c>
      <c r="C44" s="182"/>
      <c r="D44" s="182"/>
      <c r="E44" s="182"/>
      <c r="F44" s="182"/>
      <c r="G44" s="182"/>
      <c r="H44" s="200"/>
    </row>
    <row r="45" spans="1:17" x14ac:dyDescent="0.25">
      <c r="A45" s="181"/>
      <c r="B45" s="283" t="s">
        <v>651</v>
      </c>
      <c r="C45" s="182"/>
      <c r="D45" s="182"/>
      <c r="E45" s="182"/>
      <c r="F45" s="182"/>
      <c r="G45" s="182"/>
      <c r="H45" s="200"/>
      <c r="J45" s="3" t="s">
        <v>647</v>
      </c>
      <c r="L45" s="249">
        <f>ROUND(MIN(Q43,(K40+(1-K19)*N15+K18+K19*K41)/(N13+(1-K19)*N15+K18+K19*N15)),2)</f>
        <v>1.48</v>
      </c>
    </row>
    <row r="46" spans="1:17" x14ac:dyDescent="0.25">
      <c r="A46" s="181"/>
      <c r="B46" s="283" t="s">
        <v>654</v>
      </c>
      <c r="C46" s="182"/>
      <c r="D46" s="182"/>
      <c r="E46" s="182"/>
      <c r="F46" s="182"/>
      <c r="G46" s="182"/>
      <c r="H46" s="200"/>
    </row>
    <row r="47" spans="1:17" x14ac:dyDescent="0.25">
      <c r="A47" s="181"/>
      <c r="B47" s="283" t="s">
        <v>652</v>
      </c>
      <c r="C47" s="182"/>
      <c r="D47" s="182"/>
      <c r="E47" s="182"/>
      <c r="F47" s="182"/>
      <c r="G47" s="182"/>
      <c r="H47" s="200"/>
      <c r="I47" s="28" t="s">
        <v>84</v>
      </c>
      <c r="J47" s="3" t="s">
        <v>659</v>
      </c>
    </row>
    <row r="48" spans="1:17" ht="15.75" thickBot="1" x14ac:dyDescent="0.3">
      <c r="A48" s="184"/>
      <c r="B48" s="276"/>
      <c r="C48" s="276"/>
      <c r="D48" s="276"/>
      <c r="E48" s="276"/>
      <c r="F48" s="276"/>
      <c r="G48" s="276"/>
      <c r="H48" s="277"/>
      <c r="J48" s="3" t="s">
        <v>658</v>
      </c>
    </row>
    <row r="49" spans="1:10" x14ac:dyDescent="0.25">
      <c r="A49"/>
      <c r="B49"/>
      <c r="C49"/>
      <c r="D49"/>
      <c r="E49"/>
      <c r="F49"/>
      <c r="G49"/>
      <c r="H49"/>
      <c r="I49"/>
      <c r="J49" s="286" t="s">
        <v>653</v>
      </c>
    </row>
    <row r="50" spans="1:10" x14ac:dyDescent="0.25">
      <c r="J50" s="3" t="s">
        <v>657</v>
      </c>
    </row>
    <row r="51" spans="1:10" x14ac:dyDescent="0.25">
      <c r="J51" s="3" t="s">
        <v>655</v>
      </c>
    </row>
    <row r="52" spans="1:10" x14ac:dyDescent="0.25">
      <c r="J52" s="3" t="s">
        <v>656</v>
      </c>
    </row>
  </sheetData>
  <sheetProtection formatCells="0" formatColumns="0" formatRows="0"/>
  <mergeCells count="1">
    <mergeCell ref="G1:H1"/>
  </mergeCells>
  <conditionalFormatting sqref="B1">
    <cfRule type="cellIs" dxfId="17" priority="1" operator="equal">
      <formula>"Incomplete"</formula>
    </cfRule>
    <cfRule type="cellIs" dxfId="16" priority="2" operator="equal">
      <formula>"Flag for Review"</formula>
    </cfRule>
    <cfRule type="cellIs" dxfId="15" priority="3" operator="equal">
      <formula>"Finished"</formula>
    </cfRule>
  </conditionalFormatting>
  <dataValidations count="2">
    <dataValidation type="decimal" allowBlank="1" showInputMessage="1" showErrorMessage="1" sqref="A39 A43" xr:uid="{EE061112-41CD-4419-90B2-B0FA0CA10E26}">
      <formula1>0</formula1>
      <formula2>A38</formula2>
    </dataValidation>
    <dataValidation type="list" allowBlank="1" showInputMessage="1" showErrorMessage="1" sqref="B1" xr:uid="{56F1E708-C4EC-497E-8BE8-A8619ECAECA1}">
      <formula1>"Finished, Flag for Review, Incomplete"</formula1>
    </dataValidation>
  </dataValidations>
  <hyperlinks>
    <hyperlink ref="G1" location="Navigator!A1" display="Navigator" xr:uid="{53269822-2A0F-4068-B8CF-BC0D91AD301C}"/>
  </hyperlinks>
  <pageMargins left="0.7" right="0.7" top="0.75" bottom="0.75" header="0.3" footer="0.3"/>
  <pageSetup paperSize="9" orientation="portrait" r:id="rId1"/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92A7F8-A8FA-44E6-A968-BD5F81EB92F0}">
  <sheetPr codeName="Sheet21"/>
  <dimension ref="A1:O49"/>
  <sheetViews>
    <sheetView workbookViewId="0"/>
  </sheetViews>
  <sheetFormatPr defaultColWidth="9.140625" defaultRowHeight="15" x14ac:dyDescent="0.25"/>
  <cols>
    <col min="1" max="1" width="6.5703125" style="3" bestFit="1" customWidth="1"/>
    <col min="2" max="2" width="19.85546875" style="3" customWidth="1"/>
    <col min="3" max="8" width="9.140625" style="3" customWidth="1"/>
    <col min="9" max="9" width="2.85546875" style="3" customWidth="1"/>
    <col min="10" max="10" width="3.7109375" style="28" customWidth="1"/>
    <col min="11" max="11" width="10.85546875" style="3" customWidth="1"/>
    <col min="12" max="12" width="10.140625" style="3" customWidth="1"/>
    <col min="13" max="13" width="10.28515625" style="3" bestFit="1" customWidth="1"/>
    <col min="14" max="14" width="10.140625" style="3" bestFit="1" customWidth="1"/>
    <col min="15" max="15" width="13.85546875" style="3" bestFit="1" customWidth="1"/>
    <col min="16" max="16384" width="9.140625" style="3"/>
  </cols>
  <sheetData>
    <row r="1" spans="1:15" ht="15.75" x14ac:dyDescent="0.25">
      <c r="A1" s="80">
        <v>19</v>
      </c>
      <c r="B1" s="78" t="s">
        <v>530</v>
      </c>
      <c r="C1" s="81"/>
      <c r="D1" s="81"/>
      <c r="E1" s="81"/>
      <c r="F1" s="81"/>
      <c r="G1" s="81"/>
      <c r="H1" s="81"/>
      <c r="I1" s="77" t="s">
        <v>529</v>
      </c>
      <c r="K1" s="79" t="s">
        <v>38</v>
      </c>
    </row>
    <row r="2" spans="1:15" x14ac:dyDescent="0.25">
      <c r="A2" s="82"/>
      <c r="B2" s="83"/>
      <c r="C2" s="83"/>
      <c r="D2" s="83"/>
      <c r="E2" s="83"/>
      <c r="F2" s="83"/>
      <c r="G2" s="83"/>
      <c r="H2" s="83"/>
      <c r="I2" s="84"/>
      <c r="J2" s="28" t="s">
        <v>63</v>
      </c>
      <c r="K2" t="s">
        <v>741</v>
      </c>
      <c r="L2"/>
      <c r="M2"/>
      <c r="N2"/>
      <c r="O2"/>
    </row>
    <row r="3" spans="1:15" x14ac:dyDescent="0.25">
      <c r="A3" s="85" t="s">
        <v>14</v>
      </c>
      <c r="B3" s="83"/>
      <c r="C3" s="83"/>
      <c r="D3" s="83"/>
      <c r="E3" s="83"/>
      <c r="F3" s="83"/>
      <c r="G3" s="83"/>
      <c r="H3" s="83"/>
      <c r="I3" s="84"/>
      <c r="K3"/>
      <c r="L3"/>
      <c r="M3"/>
      <c r="N3"/>
      <c r="O3"/>
    </row>
    <row r="4" spans="1:15" ht="18" x14ac:dyDescent="0.35">
      <c r="A4" s="86">
        <f>INDEX('Point Grid'!B:B,MATCH('19'!A1,'Point Grid'!A:A,0))</f>
        <v>2.5</v>
      </c>
      <c r="B4" s="83" t="s">
        <v>765</v>
      </c>
      <c r="C4" s="83"/>
      <c r="D4" s="83"/>
      <c r="E4" s="83"/>
      <c r="F4" s="83"/>
      <c r="G4" s="83"/>
      <c r="H4" s="83"/>
      <c r="I4" s="84"/>
      <c r="K4" s="3" t="s">
        <v>746</v>
      </c>
    </row>
    <row r="5" spans="1:15" x14ac:dyDescent="0.25">
      <c r="A5" s="82"/>
      <c r="B5" s="83" t="s">
        <v>766</v>
      </c>
      <c r="C5" s="83"/>
      <c r="D5" s="83"/>
      <c r="E5" s="83"/>
      <c r="F5" s="83"/>
      <c r="G5" s="83"/>
      <c r="H5" s="83"/>
      <c r="I5" s="84"/>
      <c r="J5"/>
    </row>
    <row r="6" spans="1:15" x14ac:dyDescent="0.25">
      <c r="A6" s="182"/>
      <c r="B6" s="182"/>
      <c r="C6" s="182"/>
      <c r="D6" s="182"/>
      <c r="E6" s="182"/>
      <c r="F6" s="182"/>
      <c r="G6" s="182"/>
      <c r="H6" s="182"/>
      <c r="I6" s="200"/>
      <c r="J6"/>
      <c r="K6" s="3" t="s">
        <v>749</v>
      </c>
    </row>
    <row r="7" spans="1:15" x14ac:dyDescent="0.25">
      <c r="A7" s="82"/>
      <c r="B7" s="112">
        <v>2.9999999999999997E-4</v>
      </c>
      <c r="C7" s="151" t="s">
        <v>734</v>
      </c>
      <c r="D7" s="164"/>
      <c r="E7" s="165"/>
      <c r="F7" s="83"/>
      <c r="G7" s="83"/>
      <c r="H7" s="83"/>
      <c r="I7" s="84"/>
      <c r="J7"/>
    </row>
    <row r="8" spans="1:15" x14ac:dyDescent="0.25">
      <c r="A8" s="82"/>
      <c r="B8" s="131">
        <v>100000</v>
      </c>
      <c r="C8" s="339" t="s">
        <v>735</v>
      </c>
      <c r="D8" s="83"/>
      <c r="E8" s="166"/>
      <c r="F8" s="83"/>
      <c r="G8" s="83"/>
      <c r="H8" s="83"/>
      <c r="I8" s="84"/>
      <c r="J8"/>
    </row>
    <row r="9" spans="1:15" x14ac:dyDescent="0.25">
      <c r="A9" s="82"/>
      <c r="B9" s="131">
        <v>12310</v>
      </c>
      <c r="C9" s="339" t="s">
        <v>736</v>
      </c>
      <c r="D9" s="83"/>
      <c r="E9" s="166"/>
      <c r="F9" s="83"/>
      <c r="G9" s="83"/>
      <c r="H9" s="83"/>
      <c r="I9" s="84"/>
      <c r="J9"/>
      <c r="K9" s="291"/>
      <c r="L9" s="344"/>
      <c r="M9" s="342" t="s">
        <v>664</v>
      </c>
      <c r="N9" s="342"/>
      <c r="O9" s="343"/>
    </row>
    <row r="10" spans="1:15" x14ac:dyDescent="0.25">
      <c r="A10" s="82"/>
      <c r="B10" s="114">
        <v>150</v>
      </c>
      <c r="C10" s="339" t="s">
        <v>253</v>
      </c>
      <c r="D10" s="83"/>
      <c r="E10" s="166"/>
      <c r="F10" s="83"/>
      <c r="G10" s="83"/>
      <c r="H10" s="83"/>
      <c r="I10" s="84"/>
      <c r="J10"/>
      <c r="K10" s="296" t="s">
        <v>737</v>
      </c>
      <c r="L10" s="302" t="s">
        <v>742</v>
      </c>
      <c r="M10" s="297" t="s">
        <v>743</v>
      </c>
      <c r="N10" s="297" t="s">
        <v>744</v>
      </c>
      <c r="O10" s="298" t="s">
        <v>745</v>
      </c>
    </row>
    <row r="11" spans="1:15" x14ac:dyDescent="0.25">
      <c r="A11" s="82"/>
      <c r="B11" s="143">
        <v>0.12</v>
      </c>
      <c r="C11" s="307" t="s">
        <v>711</v>
      </c>
      <c r="D11" s="104"/>
      <c r="E11" s="167"/>
      <c r="F11" s="83"/>
      <c r="G11" s="83"/>
      <c r="H11" s="83"/>
      <c r="I11" s="84"/>
      <c r="J11"/>
      <c r="K11" s="340">
        <v>0</v>
      </c>
      <c r="L11" s="345">
        <f t="shared" ref="L11:L16" si="0">(C18+D18*$B$10)/($B$9+$B$10)</f>
        <v>0</v>
      </c>
      <c r="M11" s="352">
        <f t="shared" ref="M11:M16" si="1">$B$7*(1-D18)</f>
        <v>2.9999999999999997E-4</v>
      </c>
      <c r="N11" s="353">
        <f t="shared" ref="N11:N16" si="2">(($B$9-C18)+(1-D18)*$B$10)/(1-D18)*(1+$B$11)</f>
        <v>13955.2</v>
      </c>
      <c r="O11" s="354">
        <f>M11*N11</f>
        <v>4.1865600000000001</v>
      </c>
    </row>
    <row r="12" spans="1:15" x14ac:dyDescent="0.25">
      <c r="A12" s="181"/>
      <c r="B12" s="182"/>
      <c r="C12" s="182"/>
      <c r="D12" s="182"/>
      <c r="E12" s="182"/>
      <c r="F12" s="182"/>
      <c r="G12" s="182"/>
      <c r="H12" s="182"/>
      <c r="I12" s="200"/>
      <c r="J12"/>
      <c r="K12" s="340">
        <v>1000</v>
      </c>
      <c r="L12" s="345">
        <f t="shared" si="0"/>
        <v>5.8724317817014447E-2</v>
      </c>
      <c r="M12" s="352">
        <f t="shared" si="1"/>
        <v>1.5458999999999997E-4</v>
      </c>
      <c r="N12" s="353">
        <f t="shared" si="2"/>
        <v>25491.345623908404</v>
      </c>
      <c r="O12" s="354">
        <f t="shared" ref="O12:O16" si="3">M12*N12</f>
        <v>3.9407071199999995</v>
      </c>
    </row>
    <row r="13" spans="1:15" x14ac:dyDescent="0.25">
      <c r="A13" s="181"/>
      <c r="B13" s="252">
        <v>250000</v>
      </c>
      <c r="C13" s="253" t="s">
        <v>715</v>
      </c>
      <c r="D13" s="254"/>
      <c r="E13" s="255"/>
      <c r="F13" s="182"/>
      <c r="G13" s="182"/>
      <c r="H13" s="182"/>
      <c r="I13" s="200"/>
      <c r="J13"/>
      <c r="K13" s="340">
        <v>2000</v>
      </c>
      <c r="L13" s="345">
        <f t="shared" si="0"/>
        <v>9.6375200642054584E-2</v>
      </c>
      <c r="M13" s="352">
        <f t="shared" si="1"/>
        <v>1.2032999999999999E-4</v>
      </c>
      <c r="N13" s="353">
        <f t="shared" si="2"/>
        <v>31439.204188481679</v>
      </c>
      <c r="O13" s="354">
        <f t="shared" si="3"/>
        <v>3.7830794400000003</v>
      </c>
    </row>
    <row r="14" spans="1:15" x14ac:dyDescent="0.25">
      <c r="A14" s="181"/>
      <c r="B14" s="260">
        <v>1000</v>
      </c>
      <c r="C14" s="257" t="s">
        <v>756</v>
      </c>
      <c r="D14" s="182"/>
      <c r="E14" s="258"/>
      <c r="F14" s="182"/>
      <c r="G14" s="182"/>
      <c r="H14" s="182"/>
      <c r="I14" s="200"/>
      <c r="J14"/>
      <c r="K14" s="340">
        <v>3000</v>
      </c>
      <c r="L14" s="345">
        <f t="shared" si="0"/>
        <v>0.12659510433386839</v>
      </c>
      <c r="M14" s="352">
        <f t="shared" si="1"/>
        <v>1.0124999999999999E-4</v>
      </c>
      <c r="N14" s="353">
        <f t="shared" si="2"/>
        <v>36114.192592592597</v>
      </c>
      <c r="O14" s="354">
        <f t="shared" si="3"/>
        <v>3.6565620000000001</v>
      </c>
    </row>
    <row r="15" spans="1:15" x14ac:dyDescent="0.25">
      <c r="A15" s="181"/>
      <c r="B15" s="282">
        <v>4684.1529901079139</v>
      </c>
      <c r="C15" s="262" t="s">
        <v>757</v>
      </c>
      <c r="D15" s="263"/>
      <c r="E15" s="264"/>
      <c r="F15" s="182"/>
      <c r="G15" s="182"/>
      <c r="H15" s="182"/>
      <c r="I15" s="200"/>
      <c r="J15"/>
      <c r="K15" s="340">
        <v>5000</v>
      </c>
      <c r="L15" s="345">
        <f t="shared" si="0"/>
        <v>0.17507704654895667</v>
      </c>
      <c r="M15" s="352">
        <f t="shared" si="1"/>
        <v>7.9079999999999981E-5</v>
      </c>
      <c r="N15" s="353">
        <f t="shared" si="2"/>
        <v>43672.097116843717</v>
      </c>
      <c r="O15" s="354">
        <f t="shared" si="3"/>
        <v>3.4535894400000005</v>
      </c>
    </row>
    <row r="16" spans="1:15" x14ac:dyDescent="0.25">
      <c r="A16" s="82"/>
      <c r="B16" s="83"/>
      <c r="C16" s="83"/>
      <c r="D16" s="83"/>
      <c r="E16" s="83"/>
      <c r="F16" s="83"/>
      <c r="G16" s="83"/>
      <c r="H16" s="83"/>
      <c r="I16" s="84"/>
      <c r="J16"/>
      <c r="K16" s="341">
        <v>10000</v>
      </c>
      <c r="L16" s="346">
        <f t="shared" si="0"/>
        <v>0.26221709470304977</v>
      </c>
      <c r="M16" s="355">
        <f t="shared" si="1"/>
        <v>5.3549999999999994E-5</v>
      </c>
      <c r="N16" s="356">
        <f t="shared" si="2"/>
        <v>57680.156862745098</v>
      </c>
      <c r="O16" s="357">
        <f t="shared" si="3"/>
        <v>3.0887723999999994</v>
      </c>
    </row>
    <row r="17" spans="1:14" ht="18" x14ac:dyDescent="0.35">
      <c r="A17" s="82"/>
      <c r="B17" s="159" t="s">
        <v>737</v>
      </c>
      <c r="C17" s="137" t="s">
        <v>748</v>
      </c>
      <c r="D17" s="287" t="s">
        <v>747</v>
      </c>
      <c r="E17" s="83"/>
      <c r="F17" s="137" t="s">
        <v>751</v>
      </c>
      <c r="G17" s="287" t="s">
        <v>752</v>
      </c>
      <c r="H17" s="83"/>
      <c r="I17" s="84"/>
      <c r="J17"/>
      <c r="K17"/>
    </row>
    <row r="18" spans="1:14" ht="18" x14ac:dyDescent="0.35">
      <c r="A18" s="82"/>
      <c r="B18" s="139">
        <v>0</v>
      </c>
      <c r="C18" s="131">
        <v>0</v>
      </c>
      <c r="D18" s="288">
        <v>0</v>
      </c>
      <c r="E18" s="83"/>
      <c r="F18" s="131">
        <v>100000</v>
      </c>
      <c r="G18" s="347">
        <v>0.66666666666666663</v>
      </c>
      <c r="H18" s="83"/>
      <c r="I18" s="84"/>
      <c r="J18" t="s">
        <v>84</v>
      </c>
      <c r="K18" t="s">
        <v>750</v>
      </c>
      <c r="N18" s="61"/>
    </row>
    <row r="19" spans="1:14" x14ac:dyDescent="0.25">
      <c r="A19" s="82"/>
      <c r="B19" s="139">
        <v>1000</v>
      </c>
      <c r="C19" s="131">
        <v>659</v>
      </c>
      <c r="D19" s="288">
        <v>0.48470000000000002</v>
      </c>
      <c r="E19" s="83"/>
      <c r="F19" s="131">
        <v>250000</v>
      </c>
      <c r="G19" s="347">
        <v>1</v>
      </c>
      <c r="H19" s="83"/>
      <c r="I19" s="84"/>
      <c r="J19"/>
      <c r="K19"/>
    </row>
    <row r="20" spans="1:14" x14ac:dyDescent="0.25">
      <c r="A20" s="82"/>
      <c r="B20" s="139">
        <v>2000</v>
      </c>
      <c r="C20" s="131">
        <v>1111</v>
      </c>
      <c r="D20" s="288">
        <v>0.59889999999999999</v>
      </c>
      <c r="E20" s="83"/>
      <c r="F20" s="131">
        <v>500000</v>
      </c>
      <c r="G20" s="347">
        <v>1.1666666666666667</v>
      </c>
      <c r="H20" s="83"/>
      <c r="I20" s="84"/>
      <c r="J20"/>
      <c r="K20" s="3" t="s">
        <v>754</v>
      </c>
    </row>
    <row r="21" spans="1:14" x14ac:dyDescent="0.25">
      <c r="A21" s="82"/>
      <c r="B21" s="139">
        <v>3000</v>
      </c>
      <c r="C21" s="131">
        <v>1478</v>
      </c>
      <c r="D21" s="288">
        <v>0.66249999999999998</v>
      </c>
      <c r="E21" s="83"/>
      <c r="F21" s="133">
        <v>1000000</v>
      </c>
      <c r="G21" s="348">
        <v>1.2666666666666666</v>
      </c>
      <c r="H21" s="83"/>
      <c r="I21" s="84"/>
      <c r="J21"/>
      <c r="K21" s="303" t="s">
        <v>751</v>
      </c>
      <c r="L21" s="43" t="s">
        <v>752</v>
      </c>
    </row>
    <row r="22" spans="1:14" x14ac:dyDescent="0.25">
      <c r="A22" s="82"/>
      <c r="B22" s="139">
        <v>5000</v>
      </c>
      <c r="C22" s="131">
        <v>2071</v>
      </c>
      <c r="D22" s="288">
        <v>0.73640000000000005</v>
      </c>
      <c r="E22" s="83"/>
      <c r="F22" s="83"/>
      <c r="G22" s="83"/>
      <c r="H22" s="83"/>
      <c r="I22" s="84"/>
      <c r="J22"/>
      <c r="K22" s="305">
        <v>100000</v>
      </c>
      <c r="L22" s="55">
        <f>G18/$G$18</f>
        <v>1</v>
      </c>
    </row>
    <row r="23" spans="1:14" x14ac:dyDescent="0.25">
      <c r="A23" s="82"/>
      <c r="B23" s="142">
        <v>10000</v>
      </c>
      <c r="C23" s="133">
        <v>3144</v>
      </c>
      <c r="D23" s="289">
        <v>0.82150000000000001</v>
      </c>
      <c r="E23" s="83"/>
      <c r="F23" s="83"/>
      <c r="G23" s="83"/>
      <c r="H23" s="83"/>
      <c r="I23" s="84"/>
      <c r="J23"/>
      <c r="K23" s="305">
        <v>250000</v>
      </c>
      <c r="L23" s="55">
        <f>G19/$G$18</f>
        <v>1.5</v>
      </c>
    </row>
    <row r="24" spans="1:14" x14ac:dyDescent="0.25">
      <c r="A24" s="181"/>
      <c r="B24" s="83"/>
      <c r="C24" s="83"/>
      <c r="D24" s="83"/>
      <c r="E24" s="83"/>
      <c r="F24" s="83"/>
      <c r="G24" s="83"/>
      <c r="H24" s="83"/>
      <c r="I24" s="84"/>
      <c r="J24"/>
      <c r="K24" s="305">
        <v>500000</v>
      </c>
      <c r="L24" s="55">
        <f>G20/$G$18</f>
        <v>1.7500000000000002</v>
      </c>
    </row>
    <row r="25" spans="1:14" x14ac:dyDescent="0.25">
      <c r="A25" s="98" t="s">
        <v>2</v>
      </c>
      <c r="B25" s="83" t="s">
        <v>739</v>
      </c>
      <c r="C25" s="83"/>
      <c r="D25" s="83"/>
      <c r="E25" s="83"/>
      <c r="F25" s="83"/>
      <c r="G25" s="83"/>
      <c r="H25" s="83"/>
      <c r="I25" s="84"/>
      <c r="J25"/>
      <c r="K25" s="351">
        <v>1000000</v>
      </c>
      <c r="L25" s="350">
        <f>G21/$G$18</f>
        <v>1.9</v>
      </c>
    </row>
    <row r="26" spans="1:14" ht="15.75" thickBot="1" x14ac:dyDescent="0.3">
      <c r="A26" s="86">
        <f>INDEX('Point Grid'!$C$8:$I$28,MATCH($A$1,'Point Grid'!$A$8:$A$28,0),MATCH(A25,'Point Grid'!$C$7:$I$7,0))</f>
        <v>1.5</v>
      </c>
      <c r="B26" s="83" t="s">
        <v>740</v>
      </c>
      <c r="C26" s="83"/>
      <c r="D26" s="83"/>
      <c r="E26" s="83"/>
      <c r="F26" s="83"/>
      <c r="G26" s="83"/>
      <c r="H26" s="83"/>
      <c r="I26" s="84"/>
      <c r="J26"/>
    </row>
    <row r="27" spans="1:14" ht="15.75" thickBot="1" x14ac:dyDescent="0.3">
      <c r="A27" s="4">
        <v>1.5</v>
      </c>
      <c r="B27" s="83"/>
      <c r="C27" s="83"/>
      <c r="D27" s="83"/>
      <c r="E27" s="83"/>
      <c r="F27" s="83"/>
      <c r="G27" s="83"/>
      <c r="H27" s="83"/>
      <c r="I27" s="84"/>
      <c r="J27" s="3"/>
      <c r="K27" s="349" t="s">
        <v>753</v>
      </c>
      <c r="M27" s="61">
        <f>B15/(L23-L12)</f>
        <v>3250.0048727757621</v>
      </c>
    </row>
    <row r="28" spans="1:14" x14ac:dyDescent="0.25">
      <c r="A28" s="181"/>
      <c r="B28" s="83"/>
      <c r="C28" s="83"/>
      <c r="D28" s="83"/>
      <c r="E28" s="83"/>
      <c r="F28" s="83"/>
      <c r="G28" s="83"/>
      <c r="H28" s="83"/>
      <c r="I28" s="84"/>
      <c r="J28" s="3"/>
    </row>
    <row r="29" spans="1:14" x14ac:dyDescent="0.25">
      <c r="A29" s="98" t="s">
        <v>3</v>
      </c>
      <c r="B29" s="83" t="s">
        <v>738</v>
      </c>
      <c r="C29" s="83"/>
      <c r="D29" s="83"/>
      <c r="E29" s="83"/>
      <c r="F29" s="83"/>
      <c r="G29" s="83"/>
      <c r="H29" s="83"/>
      <c r="I29" s="84"/>
      <c r="J29" s="3"/>
      <c r="K29" s="3" t="s">
        <v>755</v>
      </c>
      <c r="M29" s="226">
        <f>M27*(L25-L13)</f>
        <v>5861.7893865725282</v>
      </c>
    </row>
    <row r="30" spans="1:14" ht="15.75" thickBot="1" x14ac:dyDescent="0.3">
      <c r="A30" s="86">
        <f>INDEX('Point Grid'!$C$8:$I$28,MATCH($A$1,'Point Grid'!$A$8:$A$28,0),MATCH(A29,'Point Grid'!$C$7:$I$7,0))</f>
        <v>1</v>
      </c>
      <c r="B30" s="83"/>
      <c r="C30" s="83"/>
      <c r="D30" s="83"/>
      <c r="E30" s="83"/>
      <c r="F30" s="83"/>
      <c r="G30" s="83"/>
      <c r="H30" s="83"/>
      <c r="I30" s="84"/>
      <c r="J30" s="3"/>
    </row>
    <row r="31" spans="1:14" ht="15.75" thickBot="1" x14ac:dyDescent="0.3">
      <c r="A31" s="4">
        <v>1</v>
      </c>
      <c r="B31" s="182"/>
      <c r="C31" s="182"/>
      <c r="D31" s="182"/>
      <c r="E31" s="182"/>
      <c r="F31" s="182"/>
      <c r="G31" s="182"/>
      <c r="H31" s="182"/>
      <c r="I31" s="200"/>
      <c r="J31" s="3"/>
    </row>
    <row r="32" spans="1:14" ht="15.75" thickBot="1" x14ac:dyDescent="0.3">
      <c r="A32" s="184"/>
      <c r="B32" s="276"/>
      <c r="C32" s="276"/>
      <c r="D32" s="276"/>
      <c r="E32" s="276"/>
      <c r="F32" s="276"/>
      <c r="G32" s="276"/>
      <c r="H32" s="276"/>
      <c r="I32" s="277"/>
      <c r="J32" s="3"/>
    </row>
    <row r="33" spans="10:10" x14ac:dyDescent="0.25">
      <c r="J33" s="3"/>
    </row>
    <row r="34" spans="10:10" x14ac:dyDescent="0.25">
      <c r="J34" s="3"/>
    </row>
    <row r="35" spans="10:10" x14ac:dyDescent="0.25">
      <c r="J35" s="3"/>
    </row>
    <row r="36" spans="10:10" x14ac:dyDescent="0.25">
      <c r="J36" s="3"/>
    </row>
    <row r="37" spans="10:10" x14ac:dyDescent="0.25">
      <c r="J37" s="3"/>
    </row>
    <row r="38" spans="10:10" x14ac:dyDescent="0.25">
      <c r="J38" s="3"/>
    </row>
    <row r="39" spans="10:10" x14ac:dyDescent="0.25">
      <c r="J39" s="3"/>
    </row>
    <row r="40" spans="10:10" x14ac:dyDescent="0.25">
      <c r="J40" s="3"/>
    </row>
    <row r="41" spans="10:10" x14ac:dyDescent="0.25">
      <c r="J41" s="3"/>
    </row>
    <row r="42" spans="10:10" x14ac:dyDescent="0.25">
      <c r="J42" s="3"/>
    </row>
    <row r="43" spans="10:10" x14ac:dyDescent="0.25">
      <c r="J43" s="3"/>
    </row>
    <row r="44" spans="10:10" x14ac:dyDescent="0.25">
      <c r="J44" s="3"/>
    </row>
    <row r="45" spans="10:10" x14ac:dyDescent="0.25">
      <c r="J45" s="3"/>
    </row>
    <row r="46" spans="10:10" x14ac:dyDescent="0.25">
      <c r="J46" s="3"/>
    </row>
    <row r="47" spans="10:10" x14ac:dyDescent="0.25">
      <c r="J47" s="3"/>
    </row>
    <row r="48" spans="10:10" x14ac:dyDescent="0.25">
      <c r="J48" s="3"/>
    </row>
    <row r="49" spans="10:10" x14ac:dyDescent="0.25">
      <c r="J49" s="3"/>
    </row>
  </sheetData>
  <sheetProtection formatCells="0" formatColumns="0" formatRows="0"/>
  <conditionalFormatting sqref="B1">
    <cfRule type="cellIs" dxfId="14" priority="1" operator="equal">
      <formula>"Incomplete"</formula>
    </cfRule>
    <cfRule type="cellIs" dxfId="13" priority="2" operator="equal">
      <formula>"Flag for Review"</formula>
    </cfRule>
    <cfRule type="cellIs" dxfId="12" priority="3" operator="equal">
      <formula>"Finished"</formula>
    </cfRule>
  </conditionalFormatting>
  <dataValidations count="2">
    <dataValidation type="list" allowBlank="1" showInputMessage="1" showErrorMessage="1" sqref="B1" xr:uid="{26F07DA3-57BA-47DC-A424-C3B01ED05F07}">
      <formula1>"Finished, Flag for Review, Incomplete"</formula1>
    </dataValidation>
    <dataValidation type="decimal" allowBlank="1" showInputMessage="1" showErrorMessage="1" sqref="A27 A31" xr:uid="{1807BC19-996B-49B5-A2C4-A826BDACECBC}">
      <formula1>0</formula1>
      <formula2>A26</formula2>
    </dataValidation>
  </dataValidations>
  <hyperlinks>
    <hyperlink ref="I1" location="Navigator!A1" display="Navigator" xr:uid="{01BD0EE3-3B62-4895-A8AD-569B245743BB}"/>
  </hyperlinks>
  <pageMargins left="0.7" right="0.7" top="0.75" bottom="0.75" header="0.3" footer="0.3"/>
  <pageSetup paperSize="9" orientation="portrait" r:id="rId1"/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6CB5B7-A1CC-4198-AB75-8AB33C357AF9}">
  <sheetPr codeName="Sheet24"/>
  <dimension ref="A1:R39"/>
  <sheetViews>
    <sheetView workbookViewId="0"/>
  </sheetViews>
  <sheetFormatPr defaultColWidth="9.140625" defaultRowHeight="15" x14ac:dyDescent="0.25"/>
  <cols>
    <col min="1" max="1" width="6.5703125" style="3" bestFit="1" customWidth="1"/>
    <col min="2" max="2" width="19.85546875" style="3" customWidth="1"/>
    <col min="3" max="3" width="9.140625" style="3" customWidth="1"/>
    <col min="4" max="4" width="9.140625" style="3" bestFit="1" customWidth="1"/>
    <col min="5" max="5" width="12.140625" style="3" bestFit="1" customWidth="1"/>
    <col min="6" max="6" width="9.140625" style="3" customWidth="1"/>
    <col min="7" max="7" width="2.7109375" style="3" customWidth="1"/>
    <col min="8" max="8" width="9.5703125" style="3" bestFit="1" customWidth="1"/>
    <col min="9" max="9" width="17.85546875" style="3" bestFit="1" customWidth="1"/>
    <col min="10" max="10" width="2.85546875" style="3" customWidth="1"/>
    <col min="11" max="11" width="3.7109375" style="28" customWidth="1"/>
    <col min="12" max="12" width="9.5703125" style="3" customWidth="1"/>
    <col min="13" max="16384" width="9.140625" style="3"/>
  </cols>
  <sheetData>
    <row r="1" spans="1:18" ht="15.75" x14ac:dyDescent="0.25">
      <c r="A1" s="80">
        <v>20</v>
      </c>
      <c r="B1" s="78" t="s">
        <v>530</v>
      </c>
      <c r="C1" s="81"/>
      <c r="D1" s="81"/>
      <c r="E1" s="81"/>
      <c r="F1" s="81"/>
      <c r="G1" s="81"/>
      <c r="H1" s="81"/>
      <c r="I1" s="372" t="s">
        <v>529</v>
      </c>
      <c r="J1" s="373"/>
      <c r="L1" s="79" t="s">
        <v>38</v>
      </c>
    </row>
    <row r="2" spans="1:18" x14ac:dyDescent="0.25">
      <c r="A2" s="82"/>
      <c r="B2" s="83"/>
      <c r="C2" s="83"/>
      <c r="D2" s="83"/>
      <c r="E2" s="83"/>
      <c r="F2" s="83"/>
      <c r="G2" s="83"/>
      <c r="H2" s="83"/>
      <c r="I2" s="83"/>
      <c r="J2" s="84"/>
      <c r="K2" t="s">
        <v>63</v>
      </c>
      <c r="L2" s="291"/>
      <c r="M2" s="291"/>
      <c r="N2" s="304" t="s">
        <v>664</v>
      </c>
      <c r="O2" s="292" t="s">
        <v>634</v>
      </c>
      <c r="P2" s="304" t="s">
        <v>665</v>
      </c>
      <c r="Q2" s="293" t="s">
        <v>290</v>
      </c>
      <c r="R2"/>
    </row>
    <row r="3" spans="1:18" x14ac:dyDescent="0.25">
      <c r="A3" s="85" t="s">
        <v>14</v>
      </c>
      <c r="B3" s="83" t="s">
        <v>686</v>
      </c>
      <c r="C3" s="83"/>
      <c r="D3" s="83"/>
      <c r="E3" s="83"/>
      <c r="F3" s="83"/>
      <c r="G3" s="83"/>
      <c r="H3" s="83"/>
      <c r="I3" s="83"/>
      <c r="J3" s="84"/>
      <c r="K3"/>
      <c r="L3" s="294"/>
      <c r="M3" s="294" t="s">
        <v>663</v>
      </c>
      <c r="N3" s="301" t="s">
        <v>665</v>
      </c>
      <c r="O3" s="1" t="s">
        <v>669</v>
      </c>
      <c r="P3" s="301" t="s">
        <v>634</v>
      </c>
      <c r="Q3" s="295" t="s">
        <v>634</v>
      </c>
      <c r="R3"/>
    </row>
    <row r="4" spans="1:18" x14ac:dyDescent="0.25">
      <c r="A4" s="86">
        <f>INDEX('Point Grid'!B:B,MATCH('20'!A1,'Point Grid'!A:A,0))</f>
        <v>2.5</v>
      </c>
      <c r="B4" s="83" t="s">
        <v>685</v>
      </c>
      <c r="C4" s="83"/>
      <c r="D4" s="83"/>
      <c r="E4" s="83"/>
      <c r="F4" s="83"/>
      <c r="G4" s="83"/>
      <c r="H4" s="83"/>
      <c r="I4" s="83"/>
      <c r="J4" s="84"/>
      <c r="K4"/>
      <c r="L4" s="296" t="s">
        <v>603</v>
      </c>
      <c r="M4" s="296" t="s">
        <v>50</v>
      </c>
      <c r="N4" s="302" t="s">
        <v>666</v>
      </c>
      <c r="O4" s="297" t="s">
        <v>668</v>
      </c>
      <c r="P4" s="302" t="s">
        <v>666</v>
      </c>
      <c r="Q4" s="298" t="s">
        <v>667</v>
      </c>
      <c r="R4"/>
    </row>
    <row r="5" spans="1:18" x14ac:dyDescent="0.25">
      <c r="A5" s="82"/>
      <c r="B5" s="83"/>
      <c r="C5" s="83"/>
      <c r="D5" s="83"/>
      <c r="E5" s="83"/>
      <c r="F5" s="83"/>
      <c r="G5" s="83"/>
      <c r="H5" s="83"/>
      <c r="I5" s="83"/>
      <c r="J5" s="84"/>
      <c r="K5"/>
      <c r="L5" s="294" t="s">
        <v>21</v>
      </c>
      <c r="M5" s="294" t="s">
        <v>17</v>
      </c>
      <c r="N5" s="305">
        <f>$B$6*D11*$B$7</f>
        <v>43890</v>
      </c>
      <c r="O5" s="1">
        <f>E11</f>
        <v>0.72</v>
      </c>
      <c r="P5" s="305">
        <f>N5*O5</f>
        <v>31600.799999999999</v>
      </c>
      <c r="Q5" s="295"/>
      <c r="R5"/>
    </row>
    <row r="6" spans="1:18" x14ac:dyDescent="0.25">
      <c r="A6" s="82"/>
      <c r="B6" s="112">
        <v>0.95</v>
      </c>
      <c r="C6" s="151" t="s">
        <v>318</v>
      </c>
      <c r="D6" s="164"/>
      <c r="E6" s="165"/>
      <c r="F6" s="83"/>
      <c r="G6" s="182"/>
      <c r="H6" s="107" t="s">
        <v>672</v>
      </c>
      <c r="I6" s="317"/>
      <c r="J6" s="84"/>
      <c r="K6"/>
      <c r="L6" s="294" t="s">
        <v>22</v>
      </c>
      <c r="M6" s="294" t="s">
        <v>18</v>
      </c>
      <c r="N6" s="305">
        <f>$B$6*D12*$B$7</f>
        <v>75240</v>
      </c>
      <c r="O6" s="1">
        <f>E12</f>
        <v>0.05</v>
      </c>
      <c r="P6" s="305">
        <f t="shared" ref="P6:P7" si="0">N6*O6</f>
        <v>3762</v>
      </c>
      <c r="Q6" s="295"/>
      <c r="R6"/>
    </row>
    <row r="7" spans="1:18" x14ac:dyDescent="0.25">
      <c r="A7" s="82"/>
      <c r="B7" s="163">
        <v>0.66</v>
      </c>
      <c r="C7" s="307" t="s">
        <v>660</v>
      </c>
      <c r="D7" s="104"/>
      <c r="E7" s="167"/>
      <c r="F7" s="83"/>
      <c r="G7" s="182"/>
      <c r="H7" s="137" t="s">
        <v>673</v>
      </c>
      <c r="I7" s="287" t="s">
        <v>674</v>
      </c>
      <c r="J7" s="84"/>
      <c r="K7"/>
      <c r="L7" s="294" t="s">
        <v>591</v>
      </c>
      <c r="M7" s="296" t="s">
        <v>19</v>
      </c>
      <c r="N7" s="305">
        <f>$B$6*D13*$B$7</f>
        <v>84645</v>
      </c>
      <c r="O7" s="1">
        <f>E13</f>
        <v>0.59</v>
      </c>
      <c r="P7" s="305">
        <f t="shared" si="0"/>
        <v>49940.549999999996</v>
      </c>
      <c r="Q7" s="295"/>
      <c r="R7"/>
    </row>
    <row r="8" spans="1:18" x14ac:dyDescent="0.25">
      <c r="A8" s="82"/>
      <c r="B8" s="83"/>
      <c r="C8" s="83"/>
      <c r="D8" s="83"/>
      <c r="E8" s="83"/>
      <c r="F8" s="83"/>
      <c r="G8" s="182"/>
      <c r="H8" s="114">
        <v>7</v>
      </c>
      <c r="I8" s="288" t="s">
        <v>675</v>
      </c>
      <c r="J8" s="84"/>
      <c r="K8"/>
      <c r="L8" s="303" t="s">
        <v>10</v>
      </c>
      <c r="M8" s="299"/>
      <c r="N8" s="306">
        <f>SUM(N5:N7)</f>
        <v>203775</v>
      </c>
      <c r="O8" s="299"/>
      <c r="P8" s="306">
        <f>SUM(P5:P7)</f>
        <v>85303.35</v>
      </c>
      <c r="Q8" s="300">
        <f>ROUND(P8/N8,3)</f>
        <v>0.41899999999999998</v>
      </c>
      <c r="R8" t="s">
        <v>684</v>
      </c>
    </row>
    <row r="9" spans="1:18" x14ac:dyDescent="0.25">
      <c r="A9" s="82"/>
      <c r="B9" s="318"/>
      <c r="C9" s="319" t="s">
        <v>663</v>
      </c>
      <c r="D9" s="320" t="s">
        <v>670</v>
      </c>
      <c r="E9" s="112" t="s">
        <v>661</v>
      </c>
      <c r="F9" s="321" t="s">
        <v>687</v>
      </c>
      <c r="G9" s="182"/>
      <c r="H9" s="114">
        <v>8</v>
      </c>
      <c r="I9" s="288" t="s">
        <v>676</v>
      </c>
      <c r="J9" s="84"/>
      <c r="K9"/>
      <c r="L9" s="1"/>
      <c r="M9" s="1"/>
      <c r="N9" s="1"/>
      <c r="O9" s="1"/>
      <c r="P9" s="1"/>
      <c r="Q9" s="1"/>
      <c r="R9"/>
    </row>
    <row r="10" spans="1:18" x14ac:dyDescent="0.25">
      <c r="A10" s="82"/>
      <c r="B10" s="94" t="s">
        <v>603</v>
      </c>
      <c r="C10" s="116" t="s">
        <v>50</v>
      </c>
      <c r="D10" s="95" t="s">
        <v>671</v>
      </c>
      <c r="E10" s="116" t="s">
        <v>662</v>
      </c>
      <c r="F10" s="289" t="s">
        <v>688</v>
      </c>
      <c r="G10" s="182"/>
      <c r="H10" s="114">
        <v>9</v>
      </c>
      <c r="I10" s="288" t="s">
        <v>677</v>
      </c>
      <c r="J10" s="84"/>
      <c r="K10"/>
      <c r="L10" s="290" t="s">
        <v>690</v>
      </c>
      <c r="M10" s="290"/>
      <c r="N10" s="290"/>
      <c r="O10" s="290"/>
      <c r="P10"/>
      <c r="Q10"/>
      <c r="R10"/>
    </row>
    <row r="11" spans="1:18" x14ac:dyDescent="0.25">
      <c r="A11" s="82"/>
      <c r="B11" s="111" t="s">
        <v>21</v>
      </c>
      <c r="C11" s="112" t="s">
        <v>17</v>
      </c>
      <c r="D11" s="322">
        <v>70000</v>
      </c>
      <c r="E11" s="112">
        <v>0.72</v>
      </c>
      <c r="F11" s="323">
        <v>25000</v>
      </c>
      <c r="G11" s="182"/>
      <c r="H11" s="114">
        <v>10</v>
      </c>
      <c r="I11" s="288" t="s">
        <v>678</v>
      </c>
      <c r="J11" s="84"/>
      <c r="K11"/>
      <c r="L11"/>
      <c r="M11"/>
      <c r="N11"/>
      <c r="O11"/>
      <c r="P11"/>
      <c r="Q11"/>
      <c r="R11"/>
    </row>
    <row r="12" spans="1:18" x14ac:dyDescent="0.25">
      <c r="A12" s="82"/>
      <c r="B12" s="90" t="s">
        <v>22</v>
      </c>
      <c r="C12" s="114" t="s">
        <v>18</v>
      </c>
      <c r="D12" s="92">
        <v>120000</v>
      </c>
      <c r="E12" s="114">
        <v>0.05</v>
      </c>
      <c r="F12" s="93">
        <v>17000</v>
      </c>
      <c r="G12" s="182"/>
      <c r="H12" s="114">
        <v>11</v>
      </c>
      <c r="I12" s="288" t="s">
        <v>679</v>
      </c>
      <c r="J12" s="84"/>
      <c r="K12" t="s">
        <v>84</v>
      </c>
      <c r="L12" s="44"/>
      <c r="M12" s="44"/>
      <c r="N12" s="304" t="s">
        <v>664</v>
      </c>
      <c r="O12" s="304"/>
      <c r="P12" s="304" t="s">
        <v>665</v>
      </c>
      <c r="Q12"/>
      <c r="R12"/>
    </row>
    <row r="13" spans="1:18" x14ac:dyDescent="0.25">
      <c r="A13" s="82"/>
      <c r="B13" s="94" t="s">
        <v>591</v>
      </c>
      <c r="C13" s="116" t="s">
        <v>19</v>
      </c>
      <c r="D13" s="96">
        <v>135000</v>
      </c>
      <c r="E13" s="116">
        <v>0.59</v>
      </c>
      <c r="F13" s="97">
        <v>20000</v>
      </c>
      <c r="G13" s="182"/>
      <c r="H13" s="114">
        <v>12</v>
      </c>
      <c r="I13" s="288" t="s">
        <v>680</v>
      </c>
      <c r="J13" s="84"/>
      <c r="K13"/>
      <c r="L13" s="294"/>
      <c r="M13" s="294" t="s">
        <v>663</v>
      </c>
      <c r="N13" s="301" t="s">
        <v>665</v>
      </c>
      <c r="O13" s="301" t="s">
        <v>691</v>
      </c>
      <c r="P13" s="301" t="s">
        <v>692</v>
      </c>
      <c r="Q13"/>
      <c r="R13"/>
    </row>
    <row r="14" spans="1:18" x14ac:dyDescent="0.25">
      <c r="A14" s="82"/>
      <c r="B14" s="83"/>
      <c r="C14" s="83"/>
      <c r="D14" s="83"/>
      <c r="E14" s="83"/>
      <c r="F14" s="83"/>
      <c r="G14" s="182"/>
      <c r="H14" s="116">
        <v>13</v>
      </c>
      <c r="I14" s="289" t="s">
        <v>681</v>
      </c>
      <c r="J14" s="84"/>
      <c r="K14"/>
      <c r="L14" s="296" t="s">
        <v>603</v>
      </c>
      <c r="M14" s="296" t="s">
        <v>50</v>
      </c>
      <c r="N14" s="302" t="s">
        <v>666</v>
      </c>
      <c r="O14" s="302" t="s">
        <v>688</v>
      </c>
      <c r="P14" s="302" t="s">
        <v>693</v>
      </c>
      <c r="Q14"/>
      <c r="R14"/>
    </row>
    <row r="15" spans="1:18" x14ac:dyDescent="0.25">
      <c r="A15" s="181"/>
      <c r="B15" s="182"/>
      <c r="C15" s="182"/>
      <c r="D15" s="182"/>
      <c r="E15" s="182"/>
      <c r="F15" s="182"/>
      <c r="G15" s="182"/>
      <c r="H15" s="182"/>
      <c r="I15" s="182"/>
      <c r="J15" s="84"/>
      <c r="K15"/>
      <c r="L15" s="294" t="s">
        <v>21</v>
      </c>
      <c r="M15" s="294" t="s">
        <v>17</v>
      </c>
      <c r="N15" s="305">
        <f>$B$6*D11*$B$7</f>
        <v>43890</v>
      </c>
      <c r="O15" s="305">
        <f>F11</f>
        <v>25000</v>
      </c>
      <c r="P15" s="309">
        <f>N15/O15</f>
        <v>1.7556</v>
      </c>
      <c r="Q15"/>
      <c r="R15"/>
    </row>
    <row r="16" spans="1:18" x14ac:dyDescent="0.25">
      <c r="A16" s="98" t="s">
        <v>2</v>
      </c>
      <c r="B16" s="83" t="s">
        <v>683</v>
      </c>
      <c r="C16" s="83"/>
      <c r="D16" s="83"/>
      <c r="E16" s="83"/>
      <c r="F16" s="83"/>
      <c r="G16" s="83"/>
      <c r="H16" s="83"/>
      <c r="I16" s="83"/>
      <c r="J16" s="84"/>
      <c r="K16"/>
      <c r="L16" s="294" t="s">
        <v>22</v>
      </c>
      <c r="M16" s="294" t="s">
        <v>18</v>
      </c>
      <c r="N16" s="305">
        <f t="shared" ref="N16:N17" si="1">$B$6*D12*$B$7</f>
        <v>75240</v>
      </c>
      <c r="O16" s="305">
        <f t="shared" ref="O16:O17" si="2">F12</f>
        <v>17000</v>
      </c>
      <c r="P16" s="309">
        <f t="shared" ref="P16:P17" si="3">N16/O16</f>
        <v>4.4258823529411764</v>
      </c>
      <c r="Q16"/>
      <c r="R16"/>
    </row>
    <row r="17" spans="1:18" ht="15.75" thickBot="1" x14ac:dyDescent="0.3">
      <c r="A17" s="86">
        <f>INDEX('Point Grid'!$C$8:$I$28,MATCH($A$1,'Point Grid'!$A$8:$A$28,0),MATCH(A16,'Point Grid'!$C$7:$I$7,0))</f>
        <v>0.5</v>
      </c>
      <c r="B17" s="83" t="s">
        <v>682</v>
      </c>
      <c r="C17" s="83"/>
      <c r="D17" s="83"/>
      <c r="E17" s="83"/>
      <c r="F17" s="83"/>
      <c r="G17" s="83"/>
      <c r="H17" s="83"/>
      <c r="I17" s="83"/>
      <c r="J17" s="84"/>
      <c r="K17"/>
      <c r="L17" s="294" t="s">
        <v>591</v>
      </c>
      <c r="M17" s="294" t="s">
        <v>19</v>
      </c>
      <c r="N17" s="305">
        <f t="shared" si="1"/>
        <v>84645</v>
      </c>
      <c r="O17" s="305">
        <f t="shared" si="2"/>
        <v>20000</v>
      </c>
      <c r="P17" s="309">
        <f t="shared" si="3"/>
        <v>4.2322499999999996</v>
      </c>
      <c r="Q17"/>
      <c r="R17"/>
    </row>
    <row r="18" spans="1:18" ht="15.75" thickBot="1" x14ac:dyDescent="0.3">
      <c r="A18" s="4">
        <v>0.5</v>
      </c>
      <c r="B18" s="83"/>
      <c r="C18" s="83"/>
      <c r="D18" s="83"/>
      <c r="E18" s="83"/>
      <c r="F18" s="83"/>
      <c r="G18" s="83"/>
      <c r="H18" s="83"/>
      <c r="I18" s="83"/>
      <c r="J18" s="84"/>
      <c r="K18"/>
      <c r="L18" s="303" t="s">
        <v>10</v>
      </c>
      <c r="M18" s="299"/>
      <c r="N18" s="306">
        <f>SUM(N15:N17)</f>
        <v>203775</v>
      </c>
      <c r="O18" s="50"/>
      <c r="P18" s="308">
        <f>ROUND(SUM(P15:P17),1)</f>
        <v>10.4</v>
      </c>
      <c r="Q18" s="3" t="s">
        <v>694</v>
      </c>
    </row>
    <row r="19" spans="1:18" x14ac:dyDescent="0.25">
      <c r="A19" s="82"/>
      <c r="B19" s="83"/>
      <c r="C19" s="83"/>
      <c r="D19" s="83"/>
      <c r="E19" s="83"/>
      <c r="F19" s="83"/>
      <c r="G19" s="83"/>
      <c r="H19" s="83"/>
      <c r="I19" s="83"/>
      <c r="J19" s="84"/>
      <c r="K19"/>
      <c r="L19"/>
    </row>
    <row r="20" spans="1:18" x14ac:dyDescent="0.25">
      <c r="A20" s="98" t="s">
        <v>3</v>
      </c>
      <c r="B20" s="83" t="s">
        <v>689</v>
      </c>
      <c r="C20" s="83"/>
      <c r="D20" s="83"/>
      <c r="E20" s="83"/>
      <c r="F20" s="83"/>
      <c r="G20" s="83"/>
      <c r="H20" s="83"/>
      <c r="I20" s="83"/>
      <c r="J20" s="84"/>
      <c r="K20"/>
      <c r="L20"/>
    </row>
    <row r="21" spans="1:18" ht="15.75" thickBot="1" x14ac:dyDescent="0.3">
      <c r="A21" s="86">
        <f>INDEX('Point Grid'!$C$8:$I$28,MATCH($A$1,'Point Grid'!$A$8:$A$28,0),MATCH(A20,'Point Grid'!$C$7:$I$7,0))</f>
        <v>0.5</v>
      </c>
      <c r="B21" s="83"/>
      <c r="C21" s="83"/>
      <c r="D21" s="83"/>
      <c r="E21" s="83"/>
      <c r="F21" s="83"/>
      <c r="G21" s="83"/>
      <c r="H21" s="83"/>
      <c r="I21" s="83"/>
      <c r="J21" s="84"/>
      <c r="K21" t="s">
        <v>328</v>
      </c>
      <c r="L21" s="325" t="s">
        <v>698</v>
      </c>
    </row>
    <row r="22" spans="1:18" ht="15.75" thickBot="1" x14ac:dyDescent="0.3">
      <c r="A22" s="4">
        <v>0.5</v>
      </c>
      <c r="B22" s="83"/>
      <c r="C22" s="83"/>
      <c r="D22" s="83"/>
      <c r="E22" s="83"/>
      <c r="F22" s="83"/>
      <c r="G22" s="83"/>
      <c r="H22" s="83"/>
      <c r="I22" s="83"/>
      <c r="J22" s="84"/>
      <c r="K22"/>
      <c r="L22"/>
    </row>
    <row r="23" spans="1:18" x14ac:dyDescent="0.25">
      <c r="A23" s="181"/>
      <c r="B23" s="182"/>
      <c r="C23" s="182"/>
      <c r="D23" s="182"/>
      <c r="E23" s="182"/>
      <c r="F23" s="182"/>
      <c r="G23" s="182"/>
      <c r="H23" s="182"/>
      <c r="I23" s="182"/>
      <c r="J23" s="84"/>
      <c r="K23" t="s">
        <v>331</v>
      </c>
      <c r="L23" t="s">
        <v>701</v>
      </c>
    </row>
    <row r="24" spans="1:18" x14ac:dyDescent="0.25">
      <c r="A24" s="98" t="s">
        <v>4</v>
      </c>
      <c r="B24" s="182" t="s">
        <v>695</v>
      </c>
      <c r="C24" s="182"/>
      <c r="D24" s="182"/>
      <c r="E24" s="182"/>
      <c r="F24" s="182"/>
      <c r="G24" s="182"/>
      <c r="H24" s="182"/>
      <c r="I24" s="182"/>
      <c r="J24" s="84"/>
      <c r="K24"/>
      <c r="L24" t="s">
        <v>702</v>
      </c>
    </row>
    <row r="25" spans="1:18" ht="15.75" thickBot="1" x14ac:dyDescent="0.3">
      <c r="A25" s="86">
        <f>INDEX('Point Grid'!$C$8:$I$28,MATCH($A$1,'Point Grid'!$A$8:$A$28,0),MATCH(A24,'Point Grid'!$C$7:$I$7,0))</f>
        <v>0.75</v>
      </c>
      <c r="B25" s="182"/>
      <c r="C25" s="182"/>
      <c r="D25" s="182"/>
      <c r="E25" s="182"/>
      <c r="F25" s="182"/>
      <c r="G25" s="182"/>
      <c r="H25" s="182"/>
      <c r="I25" s="182"/>
      <c r="J25" s="200"/>
      <c r="L25" s="3" t="s">
        <v>703</v>
      </c>
    </row>
    <row r="26" spans="1:18" ht="15.75" thickBot="1" x14ac:dyDescent="0.3">
      <c r="A26" s="4">
        <v>0.75</v>
      </c>
      <c r="B26" s="182"/>
      <c r="C26" s="182"/>
      <c r="D26" s="182"/>
      <c r="E26" s="182"/>
      <c r="F26" s="182"/>
      <c r="G26" s="182"/>
      <c r="H26" s="182"/>
      <c r="I26" s="182"/>
      <c r="J26" s="200"/>
      <c r="L26" s="3" t="s">
        <v>704</v>
      </c>
    </row>
    <row r="27" spans="1:18" x14ac:dyDescent="0.25">
      <c r="A27" s="181"/>
      <c r="B27" s="182"/>
      <c r="C27" s="182"/>
      <c r="D27" s="182"/>
      <c r="E27" s="182"/>
      <c r="F27" s="182"/>
      <c r="G27" s="182"/>
      <c r="H27" s="182"/>
      <c r="I27" s="182"/>
      <c r="J27" s="200"/>
      <c r="L27" s="3" t="s">
        <v>705</v>
      </c>
    </row>
    <row r="28" spans="1:18" x14ac:dyDescent="0.25">
      <c r="A28" s="181"/>
      <c r="B28" s="324" t="s">
        <v>696</v>
      </c>
      <c r="C28" s="324"/>
      <c r="D28" s="324"/>
      <c r="E28" s="324" t="s">
        <v>697</v>
      </c>
      <c r="F28" s="324"/>
      <c r="G28" s="324"/>
      <c r="H28" s="324"/>
      <c r="I28" s="182"/>
      <c r="J28" s="200"/>
    </row>
    <row r="29" spans="1:18" x14ac:dyDescent="0.25">
      <c r="A29" s="181"/>
      <c r="B29" s="310"/>
      <c r="C29" s="311"/>
      <c r="D29" s="312"/>
      <c r="E29" s="310"/>
      <c r="F29" s="311"/>
      <c r="G29" s="311"/>
      <c r="H29" s="312"/>
      <c r="I29" s="182"/>
      <c r="J29" s="200"/>
      <c r="L29" s="316" t="s">
        <v>706</v>
      </c>
    </row>
    <row r="30" spans="1:18" x14ac:dyDescent="0.25">
      <c r="A30" s="181"/>
      <c r="B30" s="313"/>
      <c r="C30" s="314"/>
      <c r="D30" s="315"/>
      <c r="E30" s="313"/>
      <c r="F30" s="314"/>
      <c r="G30" s="314"/>
      <c r="H30" s="315"/>
      <c r="I30" s="182"/>
      <c r="J30" s="200"/>
      <c r="L30" s="3" t="s">
        <v>707</v>
      </c>
    </row>
    <row r="31" spans="1:18" x14ac:dyDescent="0.25">
      <c r="A31" s="181"/>
      <c r="B31" s="310"/>
      <c r="C31" s="311"/>
      <c r="D31" s="312"/>
      <c r="E31" s="310"/>
      <c r="F31" s="311"/>
      <c r="G31" s="311"/>
      <c r="H31" s="312"/>
      <c r="I31" s="182"/>
      <c r="J31" s="200"/>
    </row>
    <row r="32" spans="1:18" x14ac:dyDescent="0.25">
      <c r="A32" s="181"/>
      <c r="B32" s="313"/>
      <c r="C32" s="314"/>
      <c r="D32" s="315"/>
      <c r="E32" s="313"/>
      <c r="F32" s="314"/>
      <c r="G32" s="314"/>
      <c r="H32" s="315"/>
      <c r="I32" s="182"/>
      <c r="J32" s="200"/>
    </row>
    <row r="33" spans="1:10" x14ac:dyDescent="0.25">
      <c r="A33" s="181"/>
      <c r="B33" s="310"/>
      <c r="C33" s="311"/>
      <c r="D33" s="312"/>
      <c r="E33" s="310"/>
      <c r="F33" s="311"/>
      <c r="G33" s="311"/>
      <c r="H33" s="312"/>
      <c r="I33" s="182"/>
      <c r="J33" s="200"/>
    </row>
    <row r="34" spans="1:10" x14ac:dyDescent="0.25">
      <c r="A34" s="181"/>
      <c r="B34" s="313"/>
      <c r="C34" s="314"/>
      <c r="D34" s="315"/>
      <c r="E34" s="313"/>
      <c r="F34" s="314"/>
      <c r="G34" s="314"/>
      <c r="H34" s="315"/>
      <c r="I34" s="182"/>
      <c r="J34" s="200"/>
    </row>
    <row r="35" spans="1:10" x14ac:dyDescent="0.25">
      <c r="A35" s="181"/>
      <c r="B35" s="182"/>
      <c r="C35" s="182"/>
      <c r="D35" s="182"/>
      <c r="E35" s="182"/>
      <c r="F35" s="182"/>
      <c r="G35" s="182"/>
      <c r="H35" s="182"/>
      <c r="I35" s="182"/>
      <c r="J35" s="200"/>
    </row>
    <row r="36" spans="1:10" x14ac:dyDescent="0.25">
      <c r="A36" s="98" t="s">
        <v>5</v>
      </c>
      <c r="B36" s="182" t="s">
        <v>699</v>
      </c>
      <c r="C36" s="182"/>
      <c r="D36" s="182"/>
      <c r="E36" s="182"/>
      <c r="F36" s="182"/>
      <c r="G36" s="182"/>
      <c r="H36" s="182"/>
      <c r="I36" s="182"/>
      <c r="J36" s="200"/>
    </row>
    <row r="37" spans="1:10" ht="15.75" thickBot="1" x14ac:dyDescent="0.3">
      <c r="A37" s="86">
        <f>INDEX('Point Grid'!$C$8:$I$28,MATCH($A$1,'Point Grid'!$A$8:$A$28,0),MATCH(A36,'Point Grid'!$C$7:$I$7,0))</f>
        <v>0.75</v>
      </c>
      <c r="B37" s="182" t="s">
        <v>700</v>
      </c>
      <c r="C37" s="182"/>
      <c r="D37" s="182"/>
      <c r="E37" s="182"/>
      <c r="F37" s="182"/>
      <c r="G37" s="182"/>
      <c r="H37" s="182"/>
      <c r="I37" s="182"/>
      <c r="J37" s="200"/>
    </row>
    <row r="38" spans="1:10" ht="15.75" thickBot="1" x14ac:dyDescent="0.3">
      <c r="A38" s="4">
        <v>0.75</v>
      </c>
      <c r="B38" s="182"/>
      <c r="C38" s="182"/>
      <c r="D38" s="182"/>
      <c r="E38" s="182"/>
      <c r="F38" s="182"/>
      <c r="G38" s="182"/>
      <c r="H38" s="182"/>
      <c r="I38" s="182"/>
      <c r="J38" s="200"/>
    </row>
    <row r="39" spans="1:10" ht="15.75" thickBot="1" x14ac:dyDescent="0.3">
      <c r="A39" s="184"/>
      <c r="B39" s="276"/>
      <c r="C39" s="276"/>
      <c r="D39" s="276"/>
      <c r="E39" s="276"/>
      <c r="F39" s="276"/>
      <c r="G39" s="276"/>
      <c r="H39" s="276"/>
      <c r="I39" s="276"/>
      <c r="J39" s="277"/>
    </row>
  </sheetData>
  <sheetProtection formatCells="0" formatColumns="0" formatRows="0"/>
  <mergeCells count="1">
    <mergeCell ref="I1:J1"/>
  </mergeCells>
  <conditionalFormatting sqref="B1">
    <cfRule type="cellIs" dxfId="11" priority="1" operator="equal">
      <formula>"Incomplete"</formula>
    </cfRule>
    <cfRule type="cellIs" dxfId="10" priority="2" operator="equal">
      <formula>"Flag for Review"</formula>
    </cfRule>
    <cfRule type="cellIs" dxfId="9" priority="3" operator="equal">
      <formula>"Finished"</formula>
    </cfRule>
  </conditionalFormatting>
  <dataValidations count="2">
    <dataValidation type="decimal" allowBlank="1" showInputMessage="1" showErrorMessage="1" sqref="A18 A22 A26 A38" xr:uid="{04D76B2A-E8C9-40BF-B822-AA9F93B2D2EF}">
      <formula1>0</formula1>
      <formula2>A17</formula2>
    </dataValidation>
    <dataValidation type="list" allowBlank="1" showInputMessage="1" showErrorMessage="1" sqref="B1" xr:uid="{000DC619-5CA7-4DF8-8BB1-4784944090BC}">
      <formula1>"Finished, Flag for Review, Incomplete"</formula1>
    </dataValidation>
  </dataValidations>
  <hyperlinks>
    <hyperlink ref="I1" location="Navigator!A1" display="Navigator" xr:uid="{97BB0D97-E54C-4BEA-986F-F3FA213FC661}"/>
  </hyperlinks>
  <pageMargins left="0.7" right="0.7" top="0.75" bottom="0.75" header="0.3" footer="0.3"/>
  <pageSetup paperSize="9" orientation="portrait" r:id="rId1"/>
  <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1ABE0F-62E9-4AD0-9DF6-E6EFB1FF122F}">
  <sheetPr codeName="Sheet25"/>
  <dimension ref="A1:AC46"/>
  <sheetViews>
    <sheetView workbookViewId="0"/>
  </sheetViews>
  <sheetFormatPr defaultColWidth="9.140625" defaultRowHeight="15" x14ac:dyDescent="0.25"/>
  <cols>
    <col min="1" max="1" width="6.5703125" style="3" bestFit="1" customWidth="1"/>
    <col min="2" max="2" width="19.85546875" style="3" customWidth="1"/>
    <col min="3" max="3" width="13.140625" style="3" bestFit="1" customWidth="1"/>
    <col min="4" max="4" width="9.140625" style="3" customWidth="1"/>
    <col min="5" max="5" width="9.5703125" style="3" bestFit="1" customWidth="1"/>
    <col min="6" max="6" width="9.140625" style="3" customWidth="1"/>
    <col min="7" max="7" width="5.28515625" style="3" customWidth="1"/>
    <col min="8" max="8" width="12.5703125" style="3" customWidth="1"/>
    <col min="9" max="9" width="3.7109375" style="28" customWidth="1"/>
    <col min="10" max="10" width="10.5703125" style="3" customWidth="1"/>
    <col min="11" max="11" width="10.42578125" style="3" customWidth="1"/>
    <col min="12" max="12" width="9.140625" style="3" customWidth="1"/>
    <col min="13" max="13" width="9.140625" style="3"/>
    <col min="14" max="15" width="9.140625" style="3" customWidth="1"/>
    <col min="16" max="17" width="9.140625" style="3"/>
    <col min="18" max="18" width="12.85546875" style="3" customWidth="1"/>
    <col min="19" max="19" width="9.5703125" style="3" bestFit="1" customWidth="1"/>
    <col min="20" max="22" width="9.140625" style="3"/>
    <col min="23" max="23" width="11.7109375" style="3" bestFit="1" customWidth="1"/>
    <col min="24" max="16384" width="9.140625" style="3"/>
  </cols>
  <sheetData>
    <row r="1" spans="1:29" ht="15.75" x14ac:dyDescent="0.25">
      <c r="A1" s="80">
        <v>21</v>
      </c>
      <c r="B1" s="78" t="s">
        <v>530</v>
      </c>
      <c r="C1" s="81"/>
      <c r="D1" s="81"/>
      <c r="E1" s="81"/>
      <c r="F1" s="81"/>
      <c r="G1" s="81"/>
      <c r="H1" s="77" t="s">
        <v>529</v>
      </c>
      <c r="J1" s="79" t="s">
        <v>38</v>
      </c>
    </row>
    <row r="2" spans="1:29" x14ac:dyDescent="0.25">
      <c r="A2" s="82"/>
      <c r="B2" s="83"/>
      <c r="C2" s="83"/>
      <c r="D2" s="83"/>
      <c r="E2" s="83"/>
      <c r="F2" s="83"/>
      <c r="G2" s="83"/>
      <c r="H2" s="84"/>
      <c r="I2" s="28" t="s">
        <v>63</v>
      </c>
      <c r="J2" s="333" t="s">
        <v>780</v>
      </c>
      <c r="K2" s="50" t="s">
        <v>758</v>
      </c>
      <c r="L2" s="191" t="s">
        <v>781</v>
      </c>
      <c r="M2" s="303" t="s">
        <v>782</v>
      </c>
      <c r="N2" s="362" t="s">
        <v>787</v>
      </c>
      <c r="O2"/>
      <c r="P2"/>
      <c r="Q2"/>
      <c r="R2"/>
      <c r="S2"/>
      <c r="T2"/>
      <c r="U2"/>
      <c r="V2"/>
      <c r="W2"/>
      <c r="X2"/>
      <c r="Y2"/>
      <c r="Z2"/>
      <c r="AA2"/>
      <c r="AB2"/>
      <c r="AC2"/>
    </row>
    <row r="3" spans="1:29" x14ac:dyDescent="0.25">
      <c r="A3" s="85" t="s">
        <v>14</v>
      </c>
      <c r="B3" s="83" t="s">
        <v>769</v>
      </c>
      <c r="C3" s="83"/>
      <c r="D3" s="83"/>
      <c r="E3" s="83"/>
      <c r="F3" s="83"/>
      <c r="G3" s="83"/>
      <c r="H3" s="84"/>
      <c r="I3"/>
      <c r="J3" s="366">
        <v>100</v>
      </c>
      <c r="K3" s="52">
        <f>SUM(D6:$D$6)/$D$13</f>
        <v>9.9000000000000005E-2</v>
      </c>
      <c r="L3" s="57">
        <f>(SUM(E6:$E$6)+SUM(D7:$D$12)*J3)/$D$13</f>
        <v>95.1</v>
      </c>
      <c r="M3" s="365">
        <f>($K$11-L3)/(1-K3)</f>
        <v>1219.6448390677026</v>
      </c>
      <c r="N3" s="368">
        <f>_xlfn.FORECAST.LINEAR(J3,$M$3:$M$8,$J$3:$J$8)</f>
        <v>1253.0416589072365</v>
      </c>
      <c r="O3"/>
      <c r="P3"/>
      <c r="Q3"/>
      <c r="R3"/>
      <c r="S3"/>
      <c r="T3"/>
      <c r="U3"/>
      <c r="V3"/>
      <c r="W3"/>
      <c r="X3"/>
      <c r="Y3"/>
      <c r="Z3"/>
      <c r="AA3"/>
      <c r="AB3"/>
      <c r="AC3"/>
    </row>
    <row r="4" spans="1:29" x14ac:dyDescent="0.25">
      <c r="A4" s="86">
        <f>INDEX('Point Grid'!B:B,MATCH('21'!A1,'Point Grid'!A:A,0))</f>
        <v>2.25</v>
      </c>
      <c r="B4" s="83"/>
      <c r="C4" s="83"/>
      <c r="D4" s="83"/>
      <c r="E4" s="83"/>
      <c r="F4" s="83"/>
      <c r="G4" s="83"/>
      <c r="H4" s="84"/>
      <c r="I4"/>
      <c r="J4" s="366">
        <v>500</v>
      </c>
      <c r="K4" s="52">
        <f>SUM(D$6:$D7)/$D$13</f>
        <v>0.39200000000000002</v>
      </c>
      <c r="L4" s="57">
        <f>(SUM(E$6:$E7)+SUM(D8:$D$12)*J4)/$D$13</f>
        <v>393</v>
      </c>
      <c r="M4" s="365">
        <f>($K$11-L4)/(1-K4)</f>
        <v>1317.4342105263158</v>
      </c>
      <c r="N4" s="368">
        <f t="shared" ref="N4:N8" si="0">_xlfn.FORECAST.LINEAR(J4,$M$3:$M$8,$J$3:$J$8)</f>
        <v>1330.137979204394</v>
      </c>
      <c r="O4"/>
      <c r="P4"/>
      <c r="Q4"/>
      <c r="R4"/>
      <c r="S4"/>
      <c r="T4"/>
      <c r="U4"/>
      <c r="V4"/>
      <c r="W4"/>
      <c r="X4"/>
      <c r="Y4"/>
      <c r="Z4"/>
      <c r="AA4"/>
      <c r="AB4"/>
      <c r="AC4"/>
    </row>
    <row r="5" spans="1:29" x14ac:dyDescent="0.25">
      <c r="A5" s="82"/>
      <c r="B5" s="182"/>
      <c r="C5" s="159" t="s">
        <v>770</v>
      </c>
      <c r="D5" s="137" t="s">
        <v>771</v>
      </c>
      <c r="E5" s="137" t="s">
        <v>772</v>
      </c>
      <c r="F5" s="287" t="s">
        <v>744</v>
      </c>
      <c r="G5" s="83"/>
      <c r="H5" s="84"/>
      <c r="I5"/>
      <c r="J5" s="366">
        <v>1000</v>
      </c>
      <c r="K5" s="52">
        <f>SUM(D$6:$D8)/$D$13</f>
        <v>0.61299999999999999</v>
      </c>
      <c r="L5" s="57">
        <f>(SUM(E$6:$E8)+SUM(D9:$D$12)*J5)/$D$13</f>
        <v>638</v>
      </c>
      <c r="M5" s="365">
        <f t="shared" ref="M5:M8" si="1">($K$11-L5)/(1-K5)</f>
        <v>1436.6925064599484</v>
      </c>
      <c r="N5" s="368">
        <f t="shared" si="0"/>
        <v>1426.5083795758405</v>
      </c>
      <c r="O5"/>
      <c r="P5"/>
      <c r="Q5"/>
      <c r="R5"/>
      <c r="S5"/>
      <c r="T5"/>
      <c r="U5"/>
      <c r="V5"/>
      <c r="W5"/>
      <c r="X5"/>
      <c r="Y5"/>
      <c r="Z5"/>
      <c r="AA5"/>
      <c r="AB5"/>
      <c r="AC5"/>
    </row>
    <row r="6" spans="1:29" x14ac:dyDescent="0.25">
      <c r="A6" s="82"/>
      <c r="B6" s="182"/>
      <c r="C6" s="90" t="s">
        <v>773</v>
      </c>
      <c r="D6" s="114">
        <v>99</v>
      </c>
      <c r="E6" s="131">
        <v>5000</v>
      </c>
      <c r="F6" s="93">
        <f>E6/D6</f>
        <v>50.505050505050505</v>
      </c>
      <c r="G6" s="83"/>
      <c r="H6" s="84"/>
      <c r="I6"/>
      <c r="J6" s="366">
        <v>2000</v>
      </c>
      <c r="K6" s="52">
        <f>SUM(D$6:$D9)/$D$13</f>
        <v>0.82599999999999996</v>
      </c>
      <c r="L6" s="57">
        <f>(SUM(E$6:$E9)+SUM(D10:$D$12)*J6)/$D$13</f>
        <v>904</v>
      </c>
      <c r="M6" s="365">
        <f t="shared" si="1"/>
        <v>1666.6666666666663</v>
      </c>
      <c r="N6" s="368">
        <f t="shared" si="0"/>
        <v>1619.249180318734</v>
      </c>
      <c r="O6"/>
      <c r="P6"/>
      <c r="Q6"/>
      <c r="R6"/>
      <c r="S6"/>
      <c r="T6"/>
      <c r="U6"/>
      <c r="V6"/>
      <c r="W6"/>
      <c r="X6"/>
      <c r="Y6"/>
      <c r="Z6"/>
      <c r="AA6"/>
      <c r="AB6"/>
      <c r="AC6"/>
    </row>
    <row r="7" spans="1:29" x14ac:dyDescent="0.25">
      <c r="A7" s="82"/>
      <c r="B7" s="182"/>
      <c r="C7" s="90" t="s">
        <v>774</v>
      </c>
      <c r="D7" s="114">
        <v>293</v>
      </c>
      <c r="E7" s="131">
        <v>84000</v>
      </c>
      <c r="F7" s="93">
        <f t="shared" ref="F7:F12" si="2">E7/D7</f>
        <v>286.68941979522185</v>
      </c>
      <c r="G7" s="83"/>
      <c r="H7" s="84"/>
      <c r="I7"/>
      <c r="J7" s="366">
        <v>4000</v>
      </c>
      <c r="K7" s="52">
        <f>SUM(D$6:$D10)/$D$13</f>
        <v>0.95299999999999996</v>
      </c>
      <c r="L7" s="57">
        <f>(SUM(E$6:$E10)+SUM(D11:$D$12)*J7)/$D$13</f>
        <v>1098</v>
      </c>
      <c r="M7" s="365">
        <f t="shared" si="1"/>
        <v>2042.55319148936</v>
      </c>
      <c r="N7" s="368">
        <f t="shared" si="0"/>
        <v>2004.7307818045206</v>
      </c>
      <c r="O7"/>
      <c r="P7"/>
      <c r="Q7"/>
      <c r="R7"/>
      <c r="S7"/>
      <c r="T7"/>
      <c r="U7"/>
      <c r="V7"/>
      <c r="W7"/>
      <c r="X7"/>
      <c r="Y7"/>
      <c r="Z7"/>
      <c r="AA7"/>
      <c r="AB7"/>
      <c r="AC7"/>
    </row>
    <row r="8" spans="1:29" x14ac:dyDescent="0.25">
      <c r="A8" s="82"/>
      <c r="B8" s="182"/>
      <c r="C8" s="90" t="s">
        <v>775</v>
      </c>
      <c r="D8" s="114">
        <v>221</v>
      </c>
      <c r="E8" s="131">
        <v>162000</v>
      </c>
      <c r="F8" s="93">
        <f t="shared" si="2"/>
        <v>733.03167420814475</v>
      </c>
      <c r="G8" s="83"/>
      <c r="H8" s="84"/>
      <c r="I8"/>
      <c r="J8" s="366">
        <v>5000</v>
      </c>
      <c r="K8" s="52">
        <f>SUM(D$6:$D11)/$D$13</f>
        <v>0.97299999999999998</v>
      </c>
      <c r="L8" s="57">
        <f>(SUM(E$6:$E11)+SUM(D12:$D$12)*J8)/$D$13</f>
        <v>1136</v>
      </c>
      <c r="M8" s="365">
        <f t="shared" si="1"/>
        <v>2148.1481481481464</v>
      </c>
      <c r="N8" s="368">
        <f t="shared" si="0"/>
        <v>2197.4715825474141</v>
      </c>
      <c r="O8"/>
      <c r="P8"/>
      <c r="Q8"/>
      <c r="R8"/>
      <c r="S8"/>
      <c r="T8"/>
      <c r="U8"/>
      <c r="V8"/>
      <c r="W8"/>
      <c r="X8"/>
      <c r="Y8"/>
      <c r="Z8"/>
      <c r="AA8"/>
      <c r="AB8"/>
      <c r="AC8"/>
    </row>
    <row r="9" spans="1:29" x14ac:dyDescent="0.25">
      <c r="A9" s="181"/>
      <c r="B9" s="182"/>
      <c r="C9" s="90" t="s">
        <v>776</v>
      </c>
      <c r="D9" s="114">
        <v>213</v>
      </c>
      <c r="E9" s="131">
        <v>305000</v>
      </c>
      <c r="F9" s="93">
        <f t="shared" si="2"/>
        <v>1431.924882629108</v>
      </c>
      <c r="G9" s="83"/>
      <c r="H9" s="84"/>
      <c r="I9"/>
      <c r="J9" s="367">
        <v>10000</v>
      </c>
      <c r="K9" s="50">
        <f>SUM(D$6:$D12)/$D$13</f>
        <v>1</v>
      </c>
      <c r="L9" s="191">
        <f>(SUM(E$6:$E12))/$D$13</f>
        <v>1194</v>
      </c>
      <c r="M9" s="303" t="s">
        <v>269</v>
      </c>
      <c r="N9" s="362" t="s">
        <v>269</v>
      </c>
      <c r="O9"/>
      <c r="P9"/>
      <c r="Q9"/>
      <c r="R9"/>
      <c r="S9"/>
      <c r="T9"/>
      <c r="U9"/>
      <c r="V9"/>
      <c r="W9"/>
      <c r="X9"/>
      <c r="Y9"/>
      <c r="Z9"/>
      <c r="AA9"/>
      <c r="AB9"/>
      <c r="AC9"/>
    </row>
    <row r="10" spans="1:29" x14ac:dyDescent="0.25">
      <c r="A10" s="181"/>
      <c r="B10" s="182"/>
      <c r="C10" s="90" t="s">
        <v>777</v>
      </c>
      <c r="D10" s="114">
        <v>127</v>
      </c>
      <c r="E10" s="131">
        <v>354000</v>
      </c>
      <c r="F10" s="93">
        <f t="shared" si="2"/>
        <v>2787.4015748031497</v>
      </c>
      <c r="G10" s="83"/>
      <c r="H10" s="84"/>
      <c r="I10"/>
      <c r="J10"/>
      <c r="K10"/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</row>
    <row r="11" spans="1:29" x14ac:dyDescent="0.25">
      <c r="A11" s="181"/>
      <c r="B11" s="182"/>
      <c r="C11" s="90" t="s">
        <v>778</v>
      </c>
      <c r="D11" s="114">
        <v>20</v>
      </c>
      <c r="E11" s="131">
        <v>91000</v>
      </c>
      <c r="F11" s="93">
        <f t="shared" si="2"/>
        <v>4550</v>
      </c>
      <c r="G11" s="83"/>
      <c r="H11" s="84"/>
      <c r="I11"/>
      <c r="J11" t="s">
        <v>783</v>
      </c>
      <c r="K11" s="364">
        <f>F13</f>
        <v>1194</v>
      </c>
      <c r="L11"/>
      <c r="M11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</row>
    <row r="12" spans="1:29" x14ac:dyDescent="0.25">
      <c r="A12" s="181"/>
      <c r="B12" s="182"/>
      <c r="C12" s="90" t="s">
        <v>779</v>
      </c>
      <c r="D12" s="114">
        <v>27</v>
      </c>
      <c r="E12" s="131">
        <v>193000</v>
      </c>
      <c r="F12" s="93">
        <f t="shared" si="2"/>
        <v>7148.1481481481478</v>
      </c>
      <c r="G12" s="83"/>
      <c r="H12" s="84"/>
      <c r="I12"/>
      <c r="J12"/>
      <c r="K12"/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</row>
    <row r="13" spans="1:29" x14ac:dyDescent="0.25">
      <c r="A13" s="181"/>
      <c r="B13" s="83"/>
      <c r="C13" s="159" t="s">
        <v>10</v>
      </c>
      <c r="D13" s="186">
        <f>SUM(D6:D12)</f>
        <v>1000</v>
      </c>
      <c r="E13" s="186">
        <f>SUM(E6:E12)</f>
        <v>1194000</v>
      </c>
      <c r="F13" s="363">
        <f>E13/D13</f>
        <v>1194</v>
      </c>
      <c r="G13" s="83"/>
      <c r="H13" s="84"/>
      <c r="I13"/>
      <c r="J13" t="s">
        <v>792</v>
      </c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</row>
    <row r="14" spans="1:29" ht="17.25" x14ac:dyDescent="0.25">
      <c r="A14" s="181"/>
      <c r="B14" s="83"/>
      <c r="C14" s="83"/>
      <c r="D14" s="83"/>
      <c r="E14" s="83"/>
      <c r="F14" s="83"/>
      <c r="G14" s="83"/>
      <c r="H14" s="84"/>
      <c r="I14"/>
      <c r="J14" t="s">
        <v>793</v>
      </c>
      <c r="K14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</row>
    <row r="15" spans="1:29" ht="17.25" x14ac:dyDescent="0.25">
      <c r="A15" s="98" t="s">
        <v>2</v>
      </c>
      <c r="B15" s="83" t="s">
        <v>784</v>
      </c>
      <c r="C15" s="83"/>
      <c r="D15" s="83"/>
      <c r="E15" s="83"/>
      <c r="F15" s="83"/>
      <c r="G15" s="83"/>
      <c r="H15" s="84"/>
      <c r="I15"/>
      <c r="J15" s="3" t="s">
        <v>788</v>
      </c>
      <c r="K15" s="359">
        <f>CORREL(N3:N8,M3:M8)^2</f>
        <v>0.98991686028103376</v>
      </c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</row>
    <row r="16" spans="1:29" ht="15.75" thickBot="1" x14ac:dyDescent="0.3">
      <c r="A16" s="86">
        <f>INDEX('Point Grid'!$C$8:$I$28,MATCH($A$1,'Point Grid'!$A$8:$A$28,0),MATCH(A15,'Point Grid'!$C$7:$I$7,0))</f>
        <v>1</v>
      </c>
      <c r="B16" s="83"/>
      <c r="C16" s="83"/>
      <c r="D16" s="83"/>
      <c r="E16" s="83"/>
      <c r="F16" s="83"/>
      <c r="G16" s="83"/>
      <c r="H16" s="84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</row>
    <row r="17" spans="1:29" ht="15.75" thickBot="1" x14ac:dyDescent="0.3">
      <c r="A17" s="4">
        <v>1</v>
      </c>
      <c r="B17" s="83"/>
      <c r="C17" s="83"/>
      <c r="D17" s="83"/>
      <c r="E17" s="83"/>
      <c r="F17" s="83"/>
      <c r="G17" s="83"/>
      <c r="H17" s="84"/>
      <c r="I17"/>
      <c r="J17" t="s">
        <v>789</v>
      </c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</row>
    <row r="18" spans="1:29" x14ac:dyDescent="0.25">
      <c r="A18" s="82"/>
      <c r="B18" s="83"/>
      <c r="C18" s="83"/>
      <c r="D18" s="83"/>
      <c r="E18" s="83"/>
      <c r="F18" s="83"/>
      <c r="G18" s="83"/>
      <c r="H18" s="84"/>
      <c r="I18"/>
      <c r="J18" t="s">
        <v>790</v>
      </c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</row>
    <row r="19" spans="1:29" x14ac:dyDescent="0.25">
      <c r="A19" s="98" t="s">
        <v>3</v>
      </c>
      <c r="B19" s="83" t="s">
        <v>785</v>
      </c>
      <c r="C19" s="83"/>
      <c r="D19" s="83"/>
      <c r="E19" s="83"/>
      <c r="F19" s="83"/>
      <c r="G19" s="83"/>
      <c r="H19" s="84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</row>
    <row r="20" spans="1:29" ht="15.75" thickBot="1" x14ac:dyDescent="0.3">
      <c r="A20" s="86">
        <f>INDEX('Point Grid'!$C$8:$I$28,MATCH($A$1,'Point Grid'!$A$8:$A$28,0),MATCH(A19,'Point Grid'!$C$7:$I$7,0))</f>
        <v>1</v>
      </c>
      <c r="B20" s="83" t="s">
        <v>786</v>
      </c>
      <c r="C20" s="83"/>
      <c r="D20" s="83"/>
      <c r="E20" s="83"/>
      <c r="F20" s="83"/>
      <c r="G20" s="83"/>
      <c r="H20" s="84"/>
      <c r="I20" t="s">
        <v>84</v>
      </c>
      <c r="J20" t="s">
        <v>791</v>
      </c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</row>
    <row r="21" spans="1:29" ht="15.75" thickBot="1" x14ac:dyDescent="0.3">
      <c r="A21" s="4">
        <v>1</v>
      </c>
      <c r="B21" s="83"/>
      <c r="C21" s="83"/>
      <c r="D21" s="83"/>
      <c r="E21" s="83"/>
      <c r="F21" s="83"/>
      <c r="G21" s="83"/>
      <c r="H21" s="84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</row>
    <row r="22" spans="1:29" x14ac:dyDescent="0.25">
      <c r="A22" s="82"/>
      <c r="B22" s="83"/>
      <c r="C22" s="83"/>
      <c r="D22" s="83"/>
      <c r="E22" s="83"/>
      <c r="F22" s="83"/>
      <c r="G22" s="83"/>
      <c r="H22" s="84"/>
      <c r="I22"/>
      <c r="J22" t="s">
        <v>794</v>
      </c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</row>
    <row r="23" spans="1:29" x14ac:dyDescent="0.25">
      <c r="A23" s="98" t="s">
        <v>4</v>
      </c>
      <c r="B23" s="83" t="s">
        <v>800</v>
      </c>
      <c r="C23" s="83"/>
      <c r="D23" s="83"/>
      <c r="E23" s="83"/>
      <c r="F23" s="83"/>
      <c r="G23" s="83"/>
      <c r="H23" s="84"/>
      <c r="I23"/>
      <c r="J23" s="333" t="s">
        <v>796</v>
      </c>
      <c r="K23" s="362" t="s">
        <v>795</v>
      </c>
      <c r="L23"/>
      <c r="M23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</row>
    <row r="24" spans="1:29" ht="15.75" thickBot="1" x14ac:dyDescent="0.3">
      <c r="A24" s="86">
        <f>INDEX('Point Grid'!$C$8:$I$28,MATCH($A$1,'Point Grid'!$A$8:$A$28,0),MATCH(A23,'Point Grid'!$C$7:$I$7,0))</f>
        <v>0.25</v>
      </c>
      <c r="B24" s="83" t="s">
        <v>801</v>
      </c>
      <c r="C24" s="83"/>
      <c r="D24" s="83"/>
      <c r="E24" s="83"/>
      <c r="F24" s="83"/>
      <c r="G24" s="83"/>
      <c r="H24" s="84"/>
      <c r="I24"/>
      <c r="J24" s="296">
        <f t="array" ref="J24:K24">LINEST(N3:N8,J3:J8)</f>
        <v>0.19274080074289338</v>
      </c>
      <c r="K24" s="298">
        <v>1233.7675788329473</v>
      </c>
      <c r="L24"/>
      <c r="M2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</row>
    <row r="25" spans="1:29" ht="15.75" thickBot="1" x14ac:dyDescent="0.3">
      <c r="A25" s="4">
        <v>0.25</v>
      </c>
      <c r="B25" s="83"/>
      <c r="C25" s="83"/>
      <c r="D25" s="83"/>
      <c r="E25" s="83"/>
      <c r="F25" s="83"/>
      <c r="G25" s="83"/>
      <c r="H25" s="84"/>
      <c r="I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</row>
    <row r="26" spans="1:29" ht="15.75" thickBot="1" x14ac:dyDescent="0.3">
      <c r="A26" s="106"/>
      <c r="B26" s="100"/>
      <c r="C26" s="100"/>
      <c r="D26" s="100"/>
      <c r="E26" s="100"/>
      <c r="F26" s="100"/>
      <c r="G26" s="100"/>
      <c r="H26" s="101"/>
      <c r="I26"/>
      <c r="J26" t="s">
        <v>797</v>
      </c>
      <c r="K26"/>
      <c r="L26" s="360">
        <f>1/J24+1</f>
        <v>6.1883150643020839</v>
      </c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</row>
    <row r="27" spans="1:29" x14ac:dyDescent="0.25">
      <c r="A27"/>
      <c r="B27"/>
      <c r="C27"/>
      <c r="D27"/>
      <c r="E27"/>
      <c r="F27"/>
      <c r="G27"/>
      <c r="H27"/>
      <c r="I27"/>
      <c r="J27" t="s">
        <v>798</v>
      </c>
      <c r="K27"/>
      <c r="L27"/>
      <c r="M27" s="361">
        <f>K24*(L26-1)</f>
        <v>6401.1749151064887</v>
      </c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</row>
    <row r="28" spans="1:29" x14ac:dyDescent="0.25">
      <c r="A28"/>
      <c r="B28"/>
      <c r="C28"/>
      <c r="D28"/>
      <c r="E28"/>
      <c r="F28"/>
      <c r="G28"/>
      <c r="H28"/>
      <c r="I28"/>
      <c r="J28" t="s">
        <v>799</v>
      </c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</row>
    <row r="29" spans="1:29" x14ac:dyDescent="0.25">
      <c r="A29"/>
      <c r="B29"/>
      <c r="C29"/>
      <c r="D29"/>
      <c r="E29"/>
      <c r="F29"/>
      <c r="G29"/>
      <c r="H29"/>
      <c r="I29"/>
      <c r="J29"/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</row>
    <row r="30" spans="1:29" x14ac:dyDescent="0.25">
      <c r="A30"/>
      <c r="B30"/>
      <c r="C30"/>
      <c r="D30"/>
      <c r="E30"/>
      <c r="F30"/>
      <c r="G30"/>
      <c r="H30"/>
      <c r="I30" t="s">
        <v>328</v>
      </c>
      <c r="J30" t="s">
        <v>802</v>
      </c>
      <c r="K30"/>
      <c r="L30"/>
      <c r="M30"/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</row>
    <row r="31" spans="1:29" x14ac:dyDescent="0.25">
      <c r="A31"/>
      <c r="B31"/>
      <c r="C31"/>
      <c r="D31"/>
      <c r="E31"/>
      <c r="F31"/>
      <c r="G31"/>
      <c r="H31"/>
      <c r="I31"/>
      <c r="J31"/>
      <c r="K31"/>
      <c r="L31"/>
      <c r="M31"/>
      <c r="N31"/>
      <c r="O31"/>
      <c r="P31"/>
      <c r="Q31"/>
      <c r="R31"/>
      <c r="S31"/>
      <c r="T31"/>
    </row>
    <row r="32" spans="1:29" x14ac:dyDescent="0.25">
      <c r="B32"/>
      <c r="C32"/>
      <c r="D32"/>
      <c r="E32"/>
      <c r="F32"/>
      <c r="G32"/>
      <c r="H32"/>
      <c r="I32"/>
      <c r="J32"/>
      <c r="K32"/>
      <c r="L32"/>
      <c r="M32"/>
      <c r="N32"/>
      <c r="O32"/>
      <c r="P32"/>
      <c r="Q32"/>
      <c r="R32"/>
      <c r="S32"/>
      <c r="T32"/>
    </row>
    <row r="33" spans="2:20" x14ac:dyDescent="0.25">
      <c r="B33"/>
      <c r="C33"/>
      <c r="D33"/>
      <c r="E33"/>
      <c r="F33"/>
      <c r="G33"/>
      <c r="H33"/>
      <c r="I33"/>
      <c r="J33"/>
      <c r="K33"/>
      <c r="L33"/>
      <c r="M33"/>
      <c r="N33"/>
      <c r="O33"/>
      <c r="P33"/>
      <c r="Q33"/>
      <c r="R33"/>
      <c r="S33"/>
      <c r="T33"/>
    </row>
    <row r="34" spans="2:20" x14ac:dyDescent="0.25">
      <c r="B34"/>
      <c r="C34"/>
      <c r="D34"/>
      <c r="E34"/>
      <c r="F34"/>
      <c r="G34"/>
      <c r="H34"/>
      <c r="I34"/>
      <c r="J34"/>
      <c r="K34"/>
      <c r="L34"/>
      <c r="M34"/>
      <c r="N34"/>
      <c r="O34"/>
      <c r="P34"/>
      <c r="Q34"/>
      <c r="R34"/>
      <c r="S34"/>
      <c r="T34"/>
    </row>
    <row r="35" spans="2:20" x14ac:dyDescent="0.25">
      <c r="B35"/>
      <c r="C35"/>
      <c r="D35"/>
      <c r="E35"/>
      <c r="F35"/>
      <c r="G35"/>
      <c r="H35"/>
      <c r="I35"/>
      <c r="J35"/>
      <c r="K35"/>
      <c r="L35"/>
      <c r="M35"/>
      <c r="N35"/>
      <c r="O35"/>
      <c r="P35"/>
      <c r="Q35"/>
      <c r="R35"/>
      <c r="S35"/>
      <c r="T35"/>
    </row>
    <row r="36" spans="2:20" x14ac:dyDescent="0.25">
      <c r="B36"/>
      <c r="C36"/>
      <c r="D36"/>
      <c r="E36"/>
      <c r="F36"/>
      <c r="G36"/>
      <c r="H36"/>
      <c r="I36"/>
      <c r="J36"/>
      <c r="K36"/>
      <c r="L36"/>
      <c r="M36"/>
      <c r="N36"/>
      <c r="O36"/>
      <c r="P36"/>
      <c r="Q36"/>
      <c r="R36"/>
      <c r="S36"/>
      <c r="T36"/>
    </row>
    <row r="37" spans="2:20" x14ac:dyDescent="0.25">
      <c r="J37"/>
      <c r="K37"/>
      <c r="L37"/>
      <c r="M37"/>
      <c r="N37"/>
      <c r="O37"/>
      <c r="P37"/>
      <c r="Q37"/>
      <c r="R37"/>
      <c r="S37"/>
      <c r="T37"/>
    </row>
    <row r="38" spans="2:20" x14ac:dyDescent="0.25">
      <c r="J38"/>
      <c r="K38"/>
      <c r="L38"/>
      <c r="M38"/>
      <c r="N38"/>
      <c r="O38"/>
      <c r="P38"/>
      <c r="Q38"/>
      <c r="R38"/>
      <c r="S38"/>
      <c r="T38"/>
    </row>
    <row r="39" spans="2:20" x14ac:dyDescent="0.25">
      <c r="J39"/>
      <c r="K39"/>
      <c r="L39"/>
      <c r="M39"/>
      <c r="N39"/>
      <c r="O39"/>
      <c r="P39"/>
      <c r="Q39"/>
      <c r="R39"/>
      <c r="S39"/>
      <c r="T39"/>
    </row>
    <row r="40" spans="2:20" x14ac:dyDescent="0.25">
      <c r="H40"/>
      <c r="I40"/>
      <c r="J40"/>
      <c r="K40"/>
      <c r="L40"/>
      <c r="M40"/>
      <c r="N40"/>
      <c r="O40"/>
      <c r="P40"/>
      <c r="Q40"/>
      <c r="R40"/>
      <c r="S40"/>
      <c r="T40"/>
    </row>
    <row r="41" spans="2:20" x14ac:dyDescent="0.25">
      <c r="H41"/>
      <c r="I41"/>
      <c r="J41"/>
      <c r="K41"/>
      <c r="L41"/>
      <c r="M41"/>
      <c r="N41"/>
      <c r="O41"/>
      <c r="P41"/>
      <c r="Q41"/>
      <c r="R41"/>
      <c r="S41"/>
      <c r="T41"/>
    </row>
    <row r="42" spans="2:20" x14ac:dyDescent="0.25">
      <c r="H42"/>
      <c r="I42"/>
      <c r="J42"/>
      <c r="K42"/>
      <c r="L42"/>
      <c r="M42"/>
      <c r="N42"/>
      <c r="O42"/>
      <c r="P42"/>
      <c r="Q42"/>
      <c r="R42"/>
      <c r="S42"/>
      <c r="T42"/>
    </row>
    <row r="43" spans="2:20" x14ac:dyDescent="0.25">
      <c r="H43"/>
      <c r="I43"/>
      <c r="J43"/>
      <c r="K43"/>
      <c r="L43"/>
      <c r="M43"/>
      <c r="N43"/>
      <c r="O43"/>
      <c r="P43"/>
      <c r="Q43"/>
      <c r="R43"/>
      <c r="S43"/>
      <c r="T43"/>
    </row>
    <row r="44" spans="2:20" x14ac:dyDescent="0.25">
      <c r="H44"/>
      <c r="I44"/>
      <c r="J44"/>
      <c r="K44"/>
      <c r="L44"/>
      <c r="M44"/>
      <c r="N44"/>
      <c r="O44"/>
      <c r="P44"/>
      <c r="Q44"/>
      <c r="R44"/>
      <c r="S44"/>
      <c r="T44"/>
    </row>
    <row r="45" spans="2:20" x14ac:dyDescent="0.25">
      <c r="H45"/>
      <c r="I45"/>
    </row>
    <row r="46" spans="2:20" x14ac:dyDescent="0.25">
      <c r="H46"/>
      <c r="I46"/>
    </row>
  </sheetData>
  <sheetProtection formatCells="0" formatColumns="0" formatRows="0"/>
  <sortState xmlns:xlrd2="http://schemas.microsoft.com/office/spreadsheetml/2017/richdata2" ref="D18:D21">
    <sortCondition descending="1" ref="D18:D21"/>
  </sortState>
  <conditionalFormatting sqref="B1">
    <cfRule type="cellIs" dxfId="8" priority="1" operator="equal">
      <formula>"Incomplete"</formula>
    </cfRule>
    <cfRule type="cellIs" dxfId="7" priority="2" operator="equal">
      <formula>"Flag for Review"</formula>
    </cfRule>
    <cfRule type="cellIs" dxfId="6" priority="3" operator="equal">
      <formula>"Finished"</formula>
    </cfRule>
  </conditionalFormatting>
  <dataValidations count="2">
    <dataValidation type="list" allowBlank="1" showInputMessage="1" showErrorMessage="1" sqref="B1" xr:uid="{6F698E0A-9BDF-41AB-A128-612EF5A84E31}">
      <formula1>"Finished, Flag for Review, Incomplete"</formula1>
    </dataValidation>
    <dataValidation type="decimal" allowBlank="1" showInputMessage="1" showErrorMessage="1" sqref="A17 A21 A25" xr:uid="{8F875BD9-7C91-415B-9F9D-E5F71A578B60}">
      <formula1>0</formula1>
      <formula2>A16</formula2>
    </dataValidation>
  </dataValidations>
  <hyperlinks>
    <hyperlink ref="H1" location="Navigator!A1" display="Navigator" xr:uid="{2FCF3930-CD85-428E-B0CC-5A6CCEB2EAFB}"/>
  </hyperlinks>
  <pageMargins left="0.7" right="0.7" top="0.75" bottom="0.75" header="0.3" footer="0.3"/>
  <pageSetup paperSize="9" orientation="portrait" r:id="rId1"/>
  <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11A2F3-D5F5-4199-8B53-408B6FD9BD90}">
  <sheetPr codeName="Sheet22"/>
  <dimension ref="A1:M49"/>
  <sheetViews>
    <sheetView workbookViewId="0"/>
  </sheetViews>
  <sheetFormatPr defaultColWidth="9.140625" defaultRowHeight="15" x14ac:dyDescent="0.25"/>
  <cols>
    <col min="1" max="1" width="6.5703125" style="3" bestFit="1" customWidth="1"/>
    <col min="2" max="2" width="19.85546875" style="3" customWidth="1"/>
    <col min="3" max="3" width="19.42578125" style="3" customWidth="1"/>
    <col min="4" max="4" width="16.28515625" style="3" customWidth="1"/>
    <col min="5" max="5" width="18.5703125" style="3" customWidth="1"/>
    <col min="6" max="6" width="12.140625" style="3" customWidth="1"/>
    <col min="7" max="7" width="2.85546875" style="3" customWidth="1"/>
    <col min="8" max="8" width="3.7109375" style="28" customWidth="1"/>
    <col min="9" max="16384" width="9.140625" style="3"/>
  </cols>
  <sheetData>
    <row r="1" spans="1:13" ht="15.75" x14ac:dyDescent="0.25">
      <c r="A1" s="80">
        <v>22</v>
      </c>
      <c r="B1" s="78" t="s">
        <v>530</v>
      </c>
      <c r="C1" s="214"/>
      <c r="D1" s="81"/>
      <c r="E1" s="81"/>
      <c r="F1" s="372" t="s">
        <v>529</v>
      </c>
      <c r="G1" s="373"/>
      <c r="H1" s="170"/>
      <c r="I1" s="171" t="s">
        <v>38</v>
      </c>
    </row>
    <row r="2" spans="1:13" x14ac:dyDescent="0.25">
      <c r="A2" s="82"/>
      <c r="B2" s="83"/>
      <c r="C2" s="83"/>
      <c r="D2" s="83"/>
      <c r="E2" s="83"/>
      <c r="F2" s="83"/>
      <c r="G2" s="84"/>
      <c r="H2" s="28" t="s">
        <v>84</v>
      </c>
      <c r="I2" t="s">
        <v>531</v>
      </c>
      <c r="J2"/>
      <c r="K2"/>
      <c r="L2"/>
      <c r="M2"/>
    </row>
    <row r="3" spans="1:13" x14ac:dyDescent="0.25">
      <c r="A3" s="85" t="s">
        <v>14</v>
      </c>
      <c r="B3" s="83" t="s">
        <v>532</v>
      </c>
      <c r="C3" s="83"/>
      <c r="D3" s="83"/>
      <c r="E3" s="83"/>
      <c r="F3" s="83"/>
      <c r="G3" s="84"/>
      <c r="I3" t="s">
        <v>533</v>
      </c>
      <c r="J3"/>
      <c r="K3"/>
      <c r="L3"/>
      <c r="M3"/>
    </row>
    <row r="4" spans="1:13" x14ac:dyDescent="0.25">
      <c r="A4" s="86">
        <f>INDEX('Point Grid'!B:B,MATCH('22'!A1,'Point Grid'!A:A,0))</f>
        <v>1.75</v>
      </c>
      <c r="B4" s="83" t="s">
        <v>534</v>
      </c>
      <c r="C4" s="83"/>
      <c r="D4" s="83"/>
      <c r="E4" s="83"/>
      <c r="F4" s="83"/>
      <c r="G4" s="84"/>
      <c r="I4"/>
      <c r="J4"/>
      <c r="K4"/>
      <c r="L4"/>
      <c r="M4"/>
    </row>
    <row r="5" spans="1:13" x14ac:dyDescent="0.25">
      <c r="A5" s="82"/>
      <c r="B5" s="83"/>
      <c r="C5" s="83"/>
      <c r="D5" s="83"/>
      <c r="E5" s="83"/>
      <c r="F5" s="83"/>
      <c r="G5" s="84"/>
      <c r="H5" s="28" t="s">
        <v>328</v>
      </c>
      <c r="I5" t="s">
        <v>535</v>
      </c>
      <c r="J5"/>
      <c r="K5"/>
      <c r="L5"/>
      <c r="M5"/>
    </row>
    <row r="6" spans="1:13" x14ac:dyDescent="0.25">
      <c r="A6" s="82"/>
      <c r="B6" s="83"/>
      <c r="C6" s="83"/>
      <c r="D6" s="83"/>
      <c r="E6" s="83"/>
      <c r="F6" s="83"/>
      <c r="G6" s="84"/>
      <c r="H6"/>
      <c r="I6" t="s">
        <v>536</v>
      </c>
      <c r="J6"/>
      <c r="K6"/>
      <c r="L6"/>
      <c r="M6"/>
    </row>
    <row r="7" spans="1:13" x14ac:dyDescent="0.25">
      <c r="A7" s="98" t="s">
        <v>2</v>
      </c>
      <c r="B7" s="83" t="s">
        <v>537</v>
      </c>
      <c r="C7" s="83"/>
      <c r="D7" s="83"/>
      <c r="E7" s="83"/>
      <c r="F7" s="83"/>
      <c r="G7" s="84"/>
      <c r="H7"/>
      <c r="I7" t="s">
        <v>538</v>
      </c>
      <c r="J7"/>
      <c r="K7"/>
      <c r="L7"/>
      <c r="M7"/>
    </row>
    <row r="8" spans="1:13" ht="15.75" thickBot="1" x14ac:dyDescent="0.3">
      <c r="A8" s="86">
        <f>INDEX('Point Grid'!$C$8:$I$29,MATCH($A$1,'Point Grid'!$A$8:$A$29,0),MATCH(A7,'Point Grid'!$C$7:$I$7,0))</f>
        <v>0.75</v>
      </c>
      <c r="B8" s="83"/>
      <c r="C8" s="172"/>
      <c r="D8" s="173"/>
      <c r="E8" s="174"/>
      <c r="F8" s="83"/>
      <c r="G8" s="84"/>
      <c r="H8"/>
      <c r="I8" t="s">
        <v>539</v>
      </c>
      <c r="J8"/>
      <c r="K8"/>
      <c r="L8"/>
      <c r="M8"/>
    </row>
    <row r="9" spans="1:13" ht="15.75" thickBot="1" x14ac:dyDescent="0.3">
      <c r="A9" s="4">
        <v>0.75</v>
      </c>
      <c r="B9" s="91" t="s">
        <v>540</v>
      </c>
      <c r="C9" s="175"/>
      <c r="D9" s="176"/>
      <c r="E9" s="177"/>
      <c r="F9" s="83"/>
      <c r="G9" s="84"/>
      <c r="H9"/>
      <c r="I9" t="s">
        <v>541</v>
      </c>
      <c r="J9"/>
      <c r="K9"/>
      <c r="L9"/>
      <c r="M9"/>
    </row>
    <row r="10" spans="1:13" x14ac:dyDescent="0.25">
      <c r="A10" s="82"/>
      <c r="B10" s="91"/>
      <c r="C10" s="178"/>
      <c r="D10" s="179"/>
      <c r="E10" s="180"/>
      <c r="F10" s="83"/>
      <c r="G10" s="84"/>
      <c r="H10"/>
      <c r="I10"/>
      <c r="J10"/>
      <c r="K10"/>
      <c r="L10"/>
      <c r="M10"/>
    </row>
    <row r="11" spans="1:13" x14ac:dyDescent="0.25">
      <c r="A11" s="181"/>
      <c r="B11" s="182"/>
      <c r="C11" s="172"/>
      <c r="D11" s="173"/>
      <c r="E11" s="174"/>
      <c r="F11" s="83"/>
      <c r="G11" s="84"/>
      <c r="H11"/>
      <c r="I11"/>
      <c r="J11"/>
      <c r="K11"/>
      <c r="L11"/>
      <c r="M11"/>
    </row>
    <row r="12" spans="1:13" x14ac:dyDescent="0.25">
      <c r="A12" s="181"/>
      <c r="B12" s="91" t="s">
        <v>542</v>
      </c>
      <c r="C12" s="175"/>
      <c r="D12" s="176"/>
      <c r="E12" s="177"/>
      <c r="F12" s="83"/>
      <c r="G12" s="84"/>
      <c r="H12"/>
      <c r="I12"/>
      <c r="J12"/>
      <c r="K12"/>
      <c r="L12"/>
      <c r="M12"/>
    </row>
    <row r="13" spans="1:13" x14ac:dyDescent="0.25">
      <c r="A13" s="181"/>
      <c r="B13" s="182"/>
      <c r="C13" s="178"/>
      <c r="D13" s="179"/>
      <c r="E13" s="180"/>
      <c r="F13" s="83"/>
      <c r="G13" s="84"/>
      <c r="H13"/>
      <c r="I13"/>
      <c r="J13"/>
      <c r="K13"/>
      <c r="L13"/>
      <c r="M13"/>
    </row>
    <row r="14" spans="1:13" x14ac:dyDescent="0.25">
      <c r="A14" s="181"/>
      <c r="B14" s="91"/>
      <c r="C14" s="172"/>
      <c r="D14" s="173"/>
      <c r="E14" s="174"/>
      <c r="F14" s="83"/>
      <c r="G14" s="84"/>
      <c r="H14"/>
      <c r="I14"/>
      <c r="J14"/>
      <c r="K14"/>
      <c r="L14"/>
      <c r="M14"/>
    </row>
    <row r="15" spans="1:13" x14ac:dyDescent="0.25">
      <c r="A15" s="181"/>
      <c r="B15" s="91" t="s">
        <v>543</v>
      </c>
      <c r="C15" s="175"/>
      <c r="D15" s="176"/>
      <c r="E15" s="177"/>
      <c r="F15" s="83"/>
      <c r="G15" s="84"/>
      <c r="H15"/>
      <c r="I15"/>
      <c r="J15"/>
      <c r="K15"/>
      <c r="L15"/>
      <c r="M15"/>
    </row>
    <row r="16" spans="1:13" x14ac:dyDescent="0.25">
      <c r="A16" s="181"/>
      <c r="B16" s="83"/>
      <c r="C16" s="178"/>
      <c r="D16" s="179"/>
      <c r="E16" s="180"/>
      <c r="F16" s="83"/>
      <c r="G16" s="84"/>
      <c r="H16"/>
      <c r="I16"/>
      <c r="J16"/>
      <c r="K16"/>
      <c r="L16"/>
      <c r="M16"/>
    </row>
    <row r="17" spans="1:13" x14ac:dyDescent="0.25">
      <c r="A17" s="181"/>
      <c r="B17" s="83"/>
      <c r="C17" s="83"/>
      <c r="D17" s="83"/>
      <c r="E17" s="83"/>
      <c r="F17" s="83"/>
      <c r="G17" s="84"/>
      <c r="H17"/>
      <c r="I17"/>
      <c r="J17"/>
      <c r="K17"/>
      <c r="L17"/>
      <c r="M17"/>
    </row>
    <row r="18" spans="1:13" x14ac:dyDescent="0.25">
      <c r="A18" s="181"/>
      <c r="B18" s="182"/>
      <c r="C18" s="83"/>
      <c r="D18" s="83"/>
      <c r="E18" s="83"/>
      <c r="F18" s="83"/>
      <c r="G18" s="84"/>
      <c r="H18"/>
      <c r="I18"/>
      <c r="J18"/>
      <c r="K18"/>
      <c r="L18"/>
      <c r="M18"/>
    </row>
    <row r="19" spans="1:13" x14ac:dyDescent="0.25">
      <c r="A19" s="181"/>
      <c r="B19" s="182"/>
      <c r="C19" s="83"/>
      <c r="D19" s="83"/>
      <c r="E19" s="83"/>
      <c r="F19" s="83"/>
      <c r="G19" s="84"/>
      <c r="H19"/>
      <c r="I19"/>
      <c r="J19"/>
      <c r="K19"/>
      <c r="L19"/>
      <c r="M19"/>
    </row>
    <row r="20" spans="1:13" x14ac:dyDescent="0.25">
      <c r="A20" s="181"/>
      <c r="B20" s="182"/>
      <c r="C20" s="83"/>
      <c r="D20" s="83"/>
      <c r="E20" s="83"/>
      <c r="F20" s="83"/>
      <c r="G20" s="84"/>
      <c r="H20"/>
      <c r="I20"/>
      <c r="J20"/>
      <c r="K20"/>
      <c r="L20"/>
      <c r="M20"/>
    </row>
    <row r="21" spans="1:13" x14ac:dyDescent="0.25">
      <c r="A21" s="181"/>
      <c r="B21" s="182"/>
      <c r="C21" s="83"/>
      <c r="D21" s="83"/>
      <c r="E21" s="83"/>
      <c r="F21" s="83"/>
      <c r="G21" s="84"/>
      <c r="H21"/>
      <c r="I21"/>
      <c r="J21"/>
      <c r="K21"/>
    </row>
    <row r="22" spans="1:13" x14ac:dyDescent="0.25">
      <c r="A22" s="181"/>
      <c r="B22" s="182"/>
      <c r="C22" s="83"/>
      <c r="D22" s="83"/>
      <c r="E22" s="83"/>
      <c r="F22" s="83"/>
      <c r="G22" s="84"/>
      <c r="H22"/>
      <c r="I22"/>
      <c r="J22"/>
      <c r="K22"/>
    </row>
    <row r="23" spans="1:13" x14ac:dyDescent="0.25">
      <c r="A23" s="181"/>
      <c r="B23" s="182"/>
      <c r="C23" s="83"/>
      <c r="D23" s="83"/>
      <c r="E23" s="83"/>
      <c r="F23" s="83"/>
      <c r="G23" s="84"/>
      <c r="H23"/>
      <c r="I23"/>
      <c r="J23"/>
      <c r="K23"/>
    </row>
    <row r="24" spans="1:13" x14ac:dyDescent="0.25">
      <c r="A24" s="181"/>
      <c r="B24" s="182"/>
      <c r="C24" s="83"/>
      <c r="D24" s="83"/>
      <c r="E24" s="83"/>
      <c r="F24" s="83"/>
      <c r="G24" s="84"/>
      <c r="H24"/>
      <c r="I24"/>
      <c r="J24"/>
      <c r="K24"/>
    </row>
    <row r="25" spans="1:13" x14ac:dyDescent="0.25">
      <c r="A25" s="181"/>
      <c r="B25" s="182"/>
      <c r="C25" s="83"/>
      <c r="D25" s="83"/>
      <c r="E25" s="83"/>
      <c r="F25" s="83"/>
      <c r="G25" s="84"/>
      <c r="H25"/>
      <c r="I25"/>
      <c r="J25"/>
      <c r="K25"/>
    </row>
    <row r="26" spans="1:13" x14ac:dyDescent="0.25">
      <c r="A26" s="181"/>
      <c r="B26" s="83"/>
      <c r="C26" s="83"/>
      <c r="D26" s="83"/>
      <c r="E26" s="83"/>
      <c r="F26" s="83"/>
      <c r="G26" s="84"/>
      <c r="H26"/>
      <c r="I26"/>
      <c r="J26"/>
      <c r="K26"/>
    </row>
    <row r="27" spans="1:13" x14ac:dyDescent="0.25">
      <c r="A27" s="181"/>
      <c r="B27" s="83"/>
      <c r="C27" s="83"/>
      <c r="D27" s="83"/>
      <c r="E27" s="83"/>
      <c r="F27" s="83"/>
      <c r="G27" s="84"/>
      <c r="H27"/>
      <c r="I27"/>
      <c r="J27"/>
      <c r="K27"/>
    </row>
    <row r="28" spans="1:13" x14ac:dyDescent="0.25">
      <c r="A28" s="98" t="s">
        <v>3</v>
      </c>
      <c r="B28" s="83" t="s">
        <v>544</v>
      </c>
      <c r="C28" s="83"/>
      <c r="D28" s="83"/>
      <c r="E28" s="83"/>
      <c r="F28" s="83"/>
      <c r="G28" s="84"/>
      <c r="H28"/>
      <c r="I28"/>
      <c r="J28"/>
      <c r="K28"/>
    </row>
    <row r="29" spans="1:13" ht="15.75" thickBot="1" x14ac:dyDescent="0.3">
      <c r="A29" s="86">
        <f>INDEX('Point Grid'!$C$8:$I$29,MATCH($A$1,'Point Grid'!$A$8:$A$29,0),MATCH(A28,'Point Grid'!$C$7:$I$7,0))</f>
        <v>0.5</v>
      </c>
      <c r="B29" s="83" t="s">
        <v>545</v>
      </c>
      <c r="C29" s="83"/>
      <c r="D29" s="83"/>
      <c r="E29" s="83"/>
      <c r="F29" s="83"/>
      <c r="G29" s="84"/>
      <c r="H29"/>
      <c r="I29"/>
      <c r="J29"/>
      <c r="K29"/>
    </row>
    <row r="30" spans="1:13" ht="15.75" thickBot="1" x14ac:dyDescent="0.3">
      <c r="A30" s="4">
        <v>0.5</v>
      </c>
      <c r="B30" s="83"/>
      <c r="C30" s="83"/>
      <c r="D30" s="83"/>
      <c r="E30" s="83"/>
      <c r="F30" s="83"/>
      <c r="G30" s="84"/>
      <c r="H30"/>
      <c r="I30"/>
      <c r="J30"/>
      <c r="K30"/>
    </row>
    <row r="31" spans="1:13" x14ac:dyDescent="0.25">
      <c r="A31" s="82"/>
      <c r="B31" s="83"/>
      <c r="C31" s="83"/>
      <c r="D31" s="83"/>
      <c r="E31" s="83"/>
      <c r="F31" s="83"/>
      <c r="G31" s="84"/>
      <c r="H31"/>
      <c r="I31"/>
      <c r="J31"/>
      <c r="K31"/>
    </row>
    <row r="32" spans="1:13" x14ac:dyDescent="0.25">
      <c r="A32" s="98" t="s">
        <v>4</v>
      </c>
      <c r="B32" s="83" t="s">
        <v>546</v>
      </c>
      <c r="C32" s="83"/>
      <c r="D32" s="83"/>
      <c r="E32" s="83"/>
      <c r="F32" s="83"/>
      <c r="G32" s="84"/>
      <c r="H32"/>
      <c r="I32"/>
      <c r="J32"/>
      <c r="K32"/>
    </row>
    <row r="33" spans="1:11" ht="15.75" thickBot="1" x14ac:dyDescent="0.3">
      <c r="A33" s="86">
        <f>INDEX('Point Grid'!$C$8:$I$29,MATCH($A$1,'Point Grid'!$A$8:$A$29,0),MATCH(A32,'Point Grid'!$C$7:$I$7,0))</f>
        <v>0.5</v>
      </c>
      <c r="B33" s="83"/>
      <c r="C33" s="83"/>
      <c r="D33" s="83"/>
      <c r="E33" s="83"/>
      <c r="F33" s="83"/>
      <c r="G33" s="84"/>
      <c r="H33"/>
      <c r="I33"/>
      <c r="J33"/>
      <c r="K33"/>
    </row>
    <row r="34" spans="1:11" ht="15.75" thickBot="1" x14ac:dyDescent="0.3">
      <c r="A34" s="4">
        <v>0.5</v>
      </c>
      <c r="B34" s="183" t="s">
        <v>547</v>
      </c>
      <c r="C34" s="83"/>
      <c r="D34" s="83"/>
      <c r="E34" s="83"/>
      <c r="F34" s="83"/>
      <c r="G34" s="84"/>
      <c r="H34"/>
      <c r="I34"/>
      <c r="J34"/>
      <c r="K34"/>
    </row>
    <row r="35" spans="1:11" x14ac:dyDescent="0.25">
      <c r="A35" s="82"/>
      <c r="B35" s="183" t="s">
        <v>548</v>
      </c>
      <c r="C35" s="83"/>
      <c r="D35" s="83"/>
      <c r="E35" s="83"/>
      <c r="F35" s="83"/>
      <c r="G35" s="84"/>
      <c r="H35"/>
      <c r="I35"/>
      <c r="J35"/>
      <c r="K35"/>
    </row>
    <row r="36" spans="1:11" x14ac:dyDescent="0.25">
      <c r="A36" s="82"/>
      <c r="B36" s="183" t="s">
        <v>549</v>
      </c>
      <c r="C36" s="83"/>
      <c r="D36" s="83"/>
      <c r="E36" s="83"/>
      <c r="F36" s="83"/>
      <c r="G36" s="84"/>
      <c r="H36"/>
      <c r="I36"/>
      <c r="J36"/>
      <c r="K36"/>
    </row>
    <row r="37" spans="1:11" x14ac:dyDescent="0.25">
      <c r="A37" s="82"/>
      <c r="B37" s="183" t="s">
        <v>550</v>
      </c>
      <c r="C37" s="83"/>
      <c r="D37" s="83"/>
      <c r="E37" s="83"/>
      <c r="F37" s="83"/>
      <c r="G37" s="84"/>
      <c r="H37"/>
      <c r="I37"/>
      <c r="J37"/>
      <c r="K37"/>
    </row>
    <row r="38" spans="1:11" x14ac:dyDescent="0.25">
      <c r="A38" s="181"/>
      <c r="B38" s="284" t="s">
        <v>551</v>
      </c>
      <c r="C38" s="83"/>
      <c r="D38" s="83"/>
      <c r="E38" s="83"/>
      <c r="F38" s="83"/>
      <c r="G38" s="84"/>
      <c r="H38"/>
    </row>
    <row r="39" spans="1:11" x14ac:dyDescent="0.25">
      <c r="A39" s="181"/>
      <c r="B39" s="183" t="s">
        <v>552</v>
      </c>
      <c r="C39" s="83"/>
      <c r="D39" s="83"/>
      <c r="E39" s="83"/>
      <c r="F39" s="83"/>
      <c r="G39" s="84"/>
      <c r="H39"/>
    </row>
    <row r="40" spans="1:11" x14ac:dyDescent="0.25">
      <c r="A40" s="181"/>
      <c r="B40" s="285" t="s">
        <v>553</v>
      </c>
      <c r="C40" s="83"/>
      <c r="D40" s="83"/>
      <c r="E40" s="83"/>
      <c r="F40" s="83"/>
      <c r="G40" s="84"/>
      <c r="H40"/>
    </row>
    <row r="41" spans="1:11" ht="15.75" thickBot="1" x14ac:dyDescent="0.3">
      <c r="A41" s="184"/>
      <c r="B41" s="100"/>
      <c r="C41" s="100"/>
      <c r="D41" s="100"/>
      <c r="E41" s="100"/>
      <c r="F41" s="100"/>
      <c r="G41" s="101"/>
      <c r="H41"/>
    </row>
    <row r="42" spans="1:11" x14ac:dyDescent="0.25">
      <c r="B42"/>
      <c r="C42"/>
      <c r="D42"/>
      <c r="E42"/>
      <c r="F42"/>
      <c r="G42"/>
      <c r="H42"/>
    </row>
    <row r="43" spans="1:11" x14ac:dyDescent="0.25">
      <c r="B43"/>
      <c r="C43"/>
      <c r="D43"/>
      <c r="E43"/>
      <c r="F43"/>
      <c r="G43"/>
      <c r="H43"/>
    </row>
    <row r="44" spans="1:11" x14ac:dyDescent="0.25">
      <c r="B44"/>
      <c r="C44"/>
      <c r="D44"/>
      <c r="E44"/>
      <c r="F44"/>
      <c r="G44"/>
      <c r="H44"/>
    </row>
    <row r="45" spans="1:11" x14ac:dyDescent="0.25">
      <c r="B45"/>
      <c r="C45"/>
      <c r="D45"/>
      <c r="E45"/>
      <c r="F45"/>
      <c r="G45"/>
      <c r="H45"/>
    </row>
    <row r="46" spans="1:11" x14ac:dyDescent="0.25">
      <c r="B46"/>
      <c r="C46"/>
      <c r="D46"/>
      <c r="E46"/>
      <c r="F46"/>
      <c r="G46"/>
      <c r="H46"/>
    </row>
    <row r="47" spans="1:11" x14ac:dyDescent="0.25">
      <c r="B47"/>
      <c r="C47"/>
      <c r="D47"/>
      <c r="E47"/>
      <c r="F47"/>
      <c r="G47"/>
      <c r="H47"/>
    </row>
    <row r="48" spans="1:11" x14ac:dyDescent="0.25">
      <c r="B48"/>
      <c r="C48"/>
      <c r="D48"/>
      <c r="E48"/>
      <c r="F48"/>
      <c r="G48"/>
      <c r="H48"/>
    </row>
    <row r="49" spans="2:8" x14ac:dyDescent="0.25">
      <c r="B49"/>
      <c r="C49"/>
      <c r="D49"/>
      <c r="E49"/>
      <c r="F49"/>
      <c r="G49"/>
      <c r="H49"/>
    </row>
  </sheetData>
  <sheetProtection formatCells="0" formatColumns="0" formatRows="0"/>
  <mergeCells count="1">
    <mergeCell ref="F1:G1"/>
  </mergeCells>
  <conditionalFormatting sqref="B1">
    <cfRule type="cellIs" dxfId="5" priority="1" operator="equal">
      <formula>"Incomplete"</formula>
    </cfRule>
    <cfRule type="cellIs" dxfId="4" priority="2" operator="equal">
      <formula>"Flag for Review"</formula>
    </cfRule>
    <cfRule type="cellIs" dxfId="3" priority="3" operator="equal">
      <formula>"Finished"</formula>
    </cfRule>
  </conditionalFormatting>
  <dataValidations count="2">
    <dataValidation type="decimal" allowBlank="1" showInputMessage="1" showErrorMessage="1" sqref="A9 A30 A34" xr:uid="{8C902DC0-5801-4112-90AC-8F8A85CB708B}">
      <formula1>0</formula1>
      <formula2>A8</formula2>
    </dataValidation>
    <dataValidation type="list" allowBlank="1" showInputMessage="1" showErrorMessage="1" sqref="B1" xr:uid="{6B48E1A5-5024-4D61-B0D6-3B84CCFFAE72}">
      <formula1>"Finished, Flag for Review, Incomplete"</formula1>
    </dataValidation>
  </dataValidations>
  <hyperlinks>
    <hyperlink ref="F1" location="Navigator!A1" display="Navigator" xr:uid="{BA47CBE9-6CCF-4330-AA82-818BB02A7AF3}"/>
  </hyperlinks>
  <pageMargins left="0.7" right="0.7" top="0.75" bottom="0.75" header="0.3" footer="0.3"/>
  <pageSetup paperSize="9" orientation="portrait" r:id="rId1"/>
  <drawing r:id="rId2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B97D31-1C63-45D1-AB65-5769B9283540}">
  <dimension ref="A1:L26"/>
  <sheetViews>
    <sheetView workbookViewId="0"/>
  </sheetViews>
  <sheetFormatPr defaultRowHeight="15" x14ac:dyDescent="0.25"/>
  <cols>
    <col min="6" max="6" width="11.7109375" bestFit="1" customWidth="1"/>
    <col min="7" max="7" width="10" bestFit="1" customWidth="1"/>
    <col min="9" max="9" width="3.7109375" customWidth="1"/>
  </cols>
  <sheetData>
    <row r="1" spans="1:12" ht="15.75" x14ac:dyDescent="0.25">
      <c r="A1" s="80">
        <v>23</v>
      </c>
      <c r="B1" s="78" t="s">
        <v>530</v>
      </c>
      <c r="C1" s="214"/>
      <c r="D1" s="81"/>
      <c r="E1" s="81"/>
      <c r="F1" s="81"/>
      <c r="G1" s="372" t="s">
        <v>529</v>
      </c>
      <c r="H1" s="373"/>
      <c r="J1" s="171" t="s">
        <v>38</v>
      </c>
    </row>
    <row r="2" spans="1:12" ht="18" x14ac:dyDescent="0.35">
      <c r="A2" s="82"/>
      <c r="B2" s="382"/>
      <c r="C2" s="382"/>
      <c r="D2" s="382"/>
      <c r="E2" s="382"/>
      <c r="F2" s="382"/>
      <c r="G2" s="382"/>
      <c r="H2" s="84"/>
      <c r="I2" t="s">
        <v>63</v>
      </c>
      <c r="J2" t="s">
        <v>826</v>
      </c>
    </row>
    <row r="3" spans="1:12" ht="18" x14ac:dyDescent="0.35">
      <c r="A3" s="85" t="s">
        <v>14</v>
      </c>
      <c r="B3" s="382" t="s">
        <v>810</v>
      </c>
      <c r="C3" s="382"/>
      <c r="D3" s="382"/>
      <c r="E3" s="382"/>
      <c r="F3" s="382"/>
      <c r="G3" s="382"/>
      <c r="H3" s="84"/>
      <c r="J3" t="s">
        <v>825</v>
      </c>
    </row>
    <row r="4" spans="1:12" x14ac:dyDescent="0.25">
      <c r="A4" s="86">
        <f>INDEX('Point Grid'!B:B,MATCH('23'!A1,'Point Grid'!A:A,0))</f>
        <v>2</v>
      </c>
      <c r="B4" s="382" t="s">
        <v>823</v>
      </c>
      <c r="C4" s="382"/>
      <c r="D4" s="382"/>
      <c r="E4" s="382"/>
      <c r="F4" s="382"/>
      <c r="G4" s="382"/>
      <c r="H4" s="84"/>
    </row>
    <row r="5" spans="1:12" x14ac:dyDescent="0.25">
      <c r="A5" s="82"/>
      <c r="B5" s="382" t="s">
        <v>824</v>
      </c>
      <c r="C5" s="382"/>
      <c r="D5" s="382"/>
      <c r="E5" s="382"/>
      <c r="F5" s="382"/>
      <c r="G5" s="382"/>
      <c r="H5" s="84"/>
      <c r="L5" s="1" t="s">
        <v>817</v>
      </c>
    </row>
    <row r="6" spans="1:12" x14ac:dyDescent="0.25">
      <c r="A6" s="82"/>
      <c r="B6" s="382" t="s">
        <v>820</v>
      </c>
      <c r="C6" s="382"/>
      <c r="D6" s="382"/>
      <c r="E6" s="382"/>
      <c r="F6" s="382"/>
      <c r="G6" s="382"/>
      <c r="H6" s="84"/>
      <c r="J6" s="384" t="s">
        <v>811</v>
      </c>
      <c r="K6" s="384"/>
      <c r="L6" s="297" t="s">
        <v>812</v>
      </c>
    </row>
    <row r="7" spans="1:12" x14ac:dyDescent="0.25">
      <c r="A7" s="82"/>
      <c r="B7" s="382"/>
      <c r="C7" s="382"/>
      <c r="D7" s="382"/>
      <c r="E7" s="382"/>
      <c r="F7" s="382"/>
      <c r="G7" s="382"/>
      <c r="H7" s="84"/>
      <c r="J7" t="str">
        <f>B13</f>
        <v>Sedan</v>
      </c>
      <c r="L7" s="338">
        <f>D13*EXP(F13)</f>
        <v>1</v>
      </c>
    </row>
    <row r="8" spans="1:12" x14ac:dyDescent="0.25">
      <c r="A8" s="98" t="s">
        <v>2</v>
      </c>
      <c r="B8" s="382" t="s">
        <v>822</v>
      </c>
      <c r="C8" s="382"/>
      <c r="D8" s="382"/>
      <c r="E8" s="382"/>
      <c r="F8" s="382"/>
      <c r="G8" s="382"/>
      <c r="H8" s="84"/>
      <c r="J8" t="str">
        <f>B14</f>
        <v>Van</v>
      </c>
      <c r="L8" s="338">
        <f t="shared" ref="L8:L10" si="0">D14*EXP(F14)</f>
        <v>0.85992039737158477</v>
      </c>
    </row>
    <row r="9" spans="1:12" ht="15.75" thickBot="1" x14ac:dyDescent="0.3">
      <c r="A9" s="86">
        <f>INDEX('Point Grid'!$C$8:$I$30,MATCH($A$1,'Point Grid'!$A$8:$A$30,0),MATCH(A8,'Point Grid'!$C$7:$I$7,0))</f>
        <v>0.5</v>
      </c>
      <c r="B9" s="382" t="s">
        <v>821</v>
      </c>
      <c r="C9" s="382"/>
      <c r="D9" s="382"/>
      <c r="E9" s="382"/>
      <c r="F9" s="382"/>
      <c r="G9" s="382"/>
      <c r="H9" s="84"/>
      <c r="J9" t="str">
        <f>B15</f>
        <v>SUV</v>
      </c>
      <c r="L9" s="338">
        <f t="shared" si="0"/>
        <v>1.114414456251118</v>
      </c>
    </row>
    <row r="10" spans="1:12" ht="15.75" thickBot="1" x14ac:dyDescent="0.3">
      <c r="A10" s="4">
        <v>0.5</v>
      </c>
      <c r="B10" s="382"/>
      <c r="C10" s="382"/>
      <c r="D10" s="382"/>
      <c r="E10" s="382"/>
      <c r="F10" s="382"/>
      <c r="G10" s="382"/>
      <c r="H10" s="84"/>
      <c r="J10" t="str">
        <f>B16</f>
        <v>Luxury SUV</v>
      </c>
      <c r="L10" s="338">
        <f t="shared" si="0"/>
        <v>1.3099103743517786</v>
      </c>
    </row>
    <row r="11" spans="1:12" ht="18" x14ac:dyDescent="0.35">
      <c r="A11" s="82"/>
      <c r="B11" s="382"/>
      <c r="C11" s="382"/>
      <c r="D11" s="386" t="s">
        <v>816</v>
      </c>
      <c r="E11" s="386"/>
      <c r="F11" s="387" t="s">
        <v>819</v>
      </c>
      <c r="G11" s="386" t="s">
        <v>827</v>
      </c>
      <c r="H11" s="84"/>
      <c r="J11" t="str">
        <f>B17</f>
        <v>Convertible</v>
      </c>
      <c r="L11" s="338">
        <f t="shared" ref="L11" si="1">D17*EXP(F17)</f>
        <v>1.0649999999999999</v>
      </c>
    </row>
    <row r="12" spans="1:12" x14ac:dyDescent="0.25">
      <c r="A12" s="82"/>
      <c r="B12" s="383" t="s">
        <v>811</v>
      </c>
      <c r="C12" s="104"/>
      <c r="D12" s="95" t="s">
        <v>812</v>
      </c>
      <c r="E12" s="95"/>
      <c r="F12" s="95" t="s">
        <v>818</v>
      </c>
      <c r="G12" s="95" t="s">
        <v>828</v>
      </c>
      <c r="H12" s="84"/>
    </row>
    <row r="13" spans="1:12" ht="18" x14ac:dyDescent="0.35">
      <c r="A13" s="82"/>
      <c r="B13" s="382" t="s">
        <v>98</v>
      </c>
      <c r="C13" s="382"/>
      <c r="D13" s="388">
        <v>1</v>
      </c>
      <c r="E13" s="388"/>
      <c r="F13" s="389">
        <v>0</v>
      </c>
      <c r="G13" s="390">
        <v>250000</v>
      </c>
      <c r="H13" s="84"/>
      <c r="I13" s="385" t="s">
        <v>84</v>
      </c>
      <c r="J13" t="s">
        <v>832</v>
      </c>
    </row>
    <row r="14" spans="1:12" x14ac:dyDescent="0.25">
      <c r="A14" s="82"/>
      <c r="B14" s="382" t="s">
        <v>813</v>
      </c>
      <c r="C14" s="382"/>
      <c r="D14" s="386">
        <v>0.69099999999999995</v>
      </c>
      <c r="E14" s="386"/>
      <c r="F14" s="386">
        <v>0.21870000000000001</v>
      </c>
      <c r="G14" s="390">
        <v>15000</v>
      </c>
      <c r="H14" s="84"/>
      <c r="J14" t="s">
        <v>833</v>
      </c>
    </row>
    <row r="15" spans="1:12" x14ac:dyDescent="0.25">
      <c r="A15" s="82"/>
      <c r="B15" s="382" t="s">
        <v>814</v>
      </c>
      <c r="C15" s="382"/>
      <c r="D15" s="386">
        <v>1.1870000000000001</v>
      </c>
      <c r="E15" s="386"/>
      <c r="F15" s="389">
        <v>-6.3100000000000003E-2</v>
      </c>
      <c r="G15" s="390">
        <v>140000</v>
      </c>
      <c r="H15" s="84"/>
      <c r="J15" t="s">
        <v>834</v>
      </c>
    </row>
    <row r="16" spans="1:12" x14ac:dyDescent="0.25">
      <c r="A16" s="82"/>
      <c r="B16" s="382" t="s">
        <v>815</v>
      </c>
      <c r="C16" s="382"/>
      <c r="D16" s="386">
        <v>1.2849999999999999</v>
      </c>
      <c r="E16" s="386"/>
      <c r="F16" s="389">
        <v>1.9199999999999998E-2</v>
      </c>
      <c r="G16" s="390">
        <v>53000</v>
      </c>
      <c r="H16" s="84"/>
      <c r="J16" t="s">
        <v>835</v>
      </c>
    </row>
    <row r="17" spans="1:10" x14ac:dyDescent="0.25">
      <c r="A17" s="82"/>
      <c r="B17" s="382" t="s">
        <v>829</v>
      </c>
      <c r="C17" s="382"/>
      <c r="D17" s="386">
        <v>1.0649999999999999</v>
      </c>
      <c r="E17" s="382"/>
      <c r="F17" s="389">
        <v>0</v>
      </c>
      <c r="G17" s="390">
        <v>500</v>
      </c>
      <c r="H17" s="84"/>
    </row>
    <row r="18" spans="1:10" x14ac:dyDescent="0.25">
      <c r="A18" s="82"/>
      <c r="B18" s="382"/>
      <c r="C18" s="382"/>
      <c r="D18" s="382"/>
      <c r="E18" s="382"/>
      <c r="F18" s="382"/>
      <c r="G18" s="382"/>
      <c r="H18" s="84"/>
      <c r="I18" t="s">
        <v>328</v>
      </c>
      <c r="J18" t="s">
        <v>838</v>
      </c>
    </row>
    <row r="19" spans="1:10" x14ac:dyDescent="0.25">
      <c r="A19" s="98" t="s">
        <v>3</v>
      </c>
      <c r="B19" s="382" t="s">
        <v>830</v>
      </c>
      <c r="C19" s="382"/>
      <c r="D19" s="382"/>
      <c r="E19" s="382"/>
      <c r="F19" s="382"/>
      <c r="G19" s="382"/>
      <c r="H19" s="84"/>
      <c r="J19" t="s">
        <v>839</v>
      </c>
    </row>
    <row r="20" spans="1:10" ht="15.75" thickBot="1" x14ac:dyDescent="0.3">
      <c r="A20" s="86">
        <f>INDEX('Point Grid'!$C$8:$I$30,MATCH($A$1,'Point Grid'!$A$8:$A$30,0),MATCH(A19,'Point Grid'!$C$7:$I$7,0))</f>
        <v>1</v>
      </c>
      <c r="B20" s="382" t="s">
        <v>831</v>
      </c>
      <c r="C20" s="382"/>
      <c r="D20" s="382"/>
      <c r="E20" s="382"/>
      <c r="F20" s="382"/>
      <c r="G20" s="382"/>
      <c r="H20" s="84"/>
      <c r="J20" t="s">
        <v>840</v>
      </c>
    </row>
    <row r="21" spans="1:10" ht="15.75" thickBot="1" x14ac:dyDescent="0.3">
      <c r="A21" s="4">
        <v>1</v>
      </c>
      <c r="B21" s="382"/>
      <c r="C21" s="382"/>
      <c r="D21" s="382"/>
      <c r="E21" s="382"/>
      <c r="F21" s="382"/>
      <c r="G21" s="382"/>
      <c r="H21" s="84"/>
    </row>
    <row r="22" spans="1:10" x14ac:dyDescent="0.25">
      <c r="A22" s="82"/>
      <c r="B22" s="382"/>
      <c r="C22" s="382"/>
      <c r="D22" s="382"/>
      <c r="E22" s="382"/>
      <c r="F22" s="382"/>
      <c r="G22" s="382"/>
      <c r="H22" s="84"/>
    </row>
    <row r="23" spans="1:10" x14ac:dyDescent="0.25">
      <c r="A23" s="98" t="s">
        <v>4</v>
      </c>
      <c r="B23" s="382" t="s">
        <v>836</v>
      </c>
      <c r="C23" s="382"/>
      <c r="D23" s="382"/>
      <c r="E23" s="382"/>
      <c r="F23" s="382"/>
      <c r="G23" s="382"/>
      <c r="H23" s="84"/>
    </row>
    <row r="24" spans="1:10" ht="15.75" thickBot="1" x14ac:dyDescent="0.3">
      <c r="A24" s="86">
        <f>INDEX('Point Grid'!$C$8:$I$30,MATCH($A$1,'Point Grid'!$A$8:$A$30,0),MATCH(A23,'Point Grid'!$C$7:$I$7,0))</f>
        <v>0.5</v>
      </c>
      <c r="B24" s="382" t="s">
        <v>837</v>
      </c>
      <c r="C24" s="382"/>
      <c r="D24" s="382"/>
      <c r="E24" s="382"/>
      <c r="F24" s="382"/>
      <c r="G24" s="382"/>
      <c r="H24" s="84"/>
    </row>
    <row r="25" spans="1:10" ht="15.75" thickBot="1" x14ac:dyDescent="0.3">
      <c r="A25" s="4">
        <v>0.5</v>
      </c>
      <c r="B25" s="382"/>
      <c r="C25" s="382"/>
      <c r="D25" s="382"/>
      <c r="E25" s="382"/>
      <c r="F25" s="382"/>
      <c r="G25" s="382"/>
      <c r="H25" s="84"/>
    </row>
    <row r="26" spans="1:10" ht="15.75" thickBot="1" x14ac:dyDescent="0.3">
      <c r="A26" s="106"/>
      <c r="B26" s="100"/>
      <c r="C26" s="100"/>
      <c r="D26" s="100"/>
      <c r="E26" s="100"/>
      <c r="F26" s="100"/>
      <c r="G26" s="100"/>
      <c r="H26" s="101"/>
    </row>
  </sheetData>
  <mergeCells count="1">
    <mergeCell ref="G1:H1"/>
  </mergeCells>
  <conditionalFormatting sqref="B1">
    <cfRule type="cellIs" dxfId="2" priority="1" operator="equal">
      <formula>"Incomplete"</formula>
    </cfRule>
    <cfRule type="cellIs" dxfId="1" priority="2" operator="equal">
      <formula>"Flag for Review"</formula>
    </cfRule>
    <cfRule type="cellIs" dxfId="0" priority="3" operator="equal">
      <formula>"Finished"</formula>
    </cfRule>
  </conditionalFormatting>
  <dataValidations count="2">
    <dataValidation type="list" allowBlank="1" showInputMessage="1" showErrorMessage="1" sqref="B1" xr:uid="{F4CCF42D-E761-4035-8DC7-35EC212026A6}">
      <formula1>"Finished, Flag for Review, Incomplete"</formula1>
    </dataValidation>
    <dataValidation type="decimal" allowBlank="1" showInputMessage="1" showErrorMessage="1" sqref="A10 A21 A25" xr:uid="{F2FA2E66-A3E5-4CA5-94CE-C6DF0033F45B}">
      <formula1>0</formula1>
      <formula2>A9</formula2>
    </dataValidation>
  </dataValidations>
  <hyperlinks>
    <hyperlink ref="G1" location="Navigator!A1" display="Navigator" xr:uid="{110E88E3-D0B1-4D17-95E9-22A74C248905}"/>
  </hyperlink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D658CA-14A7-43F9-939E-2832B4953049}">
  <sheetPr codeName="Sheet23"/>
  <dimension ref="A6:H31"/>
  <sheetViews>
    <sheetView workbookViewId="0">
      <selection activeCell="A32" sqref="A32"/>
    </sheetView>
  </sheetViews>
  <sheetFormatPr defaultRowHeight="15" x14ac:dyDescent="0.25"/>
  <cols>
    <col min="2" max="7" width="10.7109375" customWidth="1"/>
    <col min="8" max="8" width="14.7109375" bestFit="1" customWidth="1"/>
  </cols>
  <sheetData>
    <row r="6" spans="1:8" ht="23.25" x14ac:dyDescent="0.35">
      <c r="A6" s="14" t="s">
        <v>39</v>
      </c>
      <c r="B6" s="11"/>
      <c r="C6" s="11"/>
      <c r="D6" s="11"/>
      <c r="E6" s="11"/>
      <c r="F6" s="11"/>
      <c r="G6" s="11"/>
      <c r="H6" s="11"/>
    </row>
    <row r="8" spans="1:8" ht="18.75" x14ac:dyDescent="0.3">
      <c r="A8" s="29" t="s">
        <v>40</v>
      </c>
      <c r="B8" s="30"/>
      <c r="C8" s="30"/>
      <c r="D8" s="30"/>
      <c r="E8" s="30"/>
      <c r="F8" s="30"/>
      <c r="G8" s="30"/>
      <c r="H8" s="31" t="s">
        <v>11</v>
      </c>
    </row>
    <row r="9" spans="1:8" x14ac:dyDescent="0.25">
      <c r="A9" s="371" t="s">
        <v>517</v>
      </c>
      <c r="B9" s="371"/>
      <c r="C9" s="371"/>
      <c r="D9" s="371"/>
      <c r="E9" s="371"/>
      <c r="F9" s="371"/>
      <c r="G9" s="371"/>
      <c r="H9" s="21" t="str">
        <f ca="1">'Point Grid'!J8</f>
        <v>Finished</v>
      </c>
    </row>
    <row r="10" spans="1:8" x14ac:dyDescent="0.25">
      <c r="A10" s="371" t="s">
        <v>597</v>
      </c>
      <c r="B10" s="371"/>
      <c r="C10" s="371"/>
      <c r="D10" s="371"/>
      <c r="E10" s="371"/>
      <c r="F10" s="371"/>
      <c r="G10" s="371"/>
      <c r="H10" s="21" t="str">
        <f ca="1">'Point Grid'!J9</f>
        <v>Finished</v>
      </c>
    </row>
    <row r="11" spans="1:8" x14ac:dyDescent="0.25">
      <c r="A11" s="371" t="s">
        <v>598</v>
      </c>
      <c r="B11" s="371"/>
      <c r="C11" s="371"/>
      <c r="D11" s="371"/>
      <c r="E11" s="371"/>
      <c r="F11" s="371"/>
      <c r="G11" s="371"/>
      <c r="H11" s="21" t="str">
        <f ca="1">'Point Grid'!J10</f>
        <v>Finished</v>
      </c>
    </row>
    <row r="12" spans="1:8" x14ac:dyDescent="0.25">
      <c r="A12" s="371" t="s">
        <v>518</v>
      </c>
      <c r="B12" s="371"/>
      <c r="C12" s="371"/>
      <c r="D12" s="371"/>
      <c r="E12" s="371"/>
      <c r="F12" s="371"/>
      <c r="G12" s="371"/>
      <c r="H12" s="21" t="str">
        <f ca="1">'Point Grid'!J11</f>
        <v>Finished</v>
      </c>
    </row>
    <row r="13" spans="1:8" x14ac:dyDescent="0.25">
      <c r="A13" s="371" t="s">
        <v>519</v>
      </c>
      <c r="B13" s="371"/>
      <c r="C13" s="371"/>
      <c r="D13" s="371"/>
      <c r="E13" s="371"/>
      <c r="F13" s="371"/>
      <c r="G13" s="371"/>
      <c r="H13" s="21" t="str">
        <f ca="1">'Point Grid'!J12</f>
        <v>Finished</v>
      </c>
    </row>
    <row r="14" spans="1:8" x14ac:dyDescent="0.25">
      <c r="A14" s="371" t="s">
        <v>803</v>
      </c>
      <c r="B14" s="371"/>
      <c r="C14" s="371"/>
      <c r="D14" s="371"/>
      <c r="E14" s="371"/>
      <c r="F14" s="371"/>
      <c r="G14" s="371"/>
      <c r="H14" s="21" t="str">
        <f ca="1">'Point Grid'!J13</f>
        <v>Finished</v>
      </c>
    </row>
    <row r="15" spans="1:8" x14ac:dyDescent="0.25">
      <c r="A15" s="371" t="s">
        <v>520</v>
      </c>
      <c r="B15" s="371"/>
      <c r="C15" s="371"/>
      <c r="D15" s="371"/>
      <c r="E15" s="371"/>
      <c r="F15" s="371"/>
      <c r="G15" s="371"/>
      <c r="H15" s="21" t="str">
        <f ca="1">'Point Grid'!J14</f>
        <v>Finished</v>
      </c>
    </row>
    <row r="16" spans="1:8" x14ac:dyDescent="0.25">
      <c r="A16" s="371" t="s">
        <v>521</v>
      </c>
      <c r="B16" s="371"/>
      <c r="C16" s="371"/>
      <c r="D16" s="371"/>
      <c r="E16" s="371"/>
      <c r="F16" s="371"/>
      <c r="G16" s="371"/>
      <c r="H16" s="21" t="str">
        <f ca="1">'Point Grid'!J15</f>
        <v>Finished</v>
      </c>
    </row>
    <row r="17" spans="1:8" x14ac:dyDescent="0.25">
      <c r="A17" s="371" t="s">
        <v>522</v>
      </c>
      <c r="B17" s="371"/>
      <c r="C17" s="371"/>
      <c r="D17" s="371"/>
      <c r="E17" s="371"/>
      <c r="F17" s="371"/>
      <c r="G17" s="371"/>
      <c r="H17" s="21" t="str">
        <f ca="1">'Point Grid'!J16</f>
        <v>Finished</v>
      </c>
    </row>
    <row r="18" spans="1:8" x14ac:dyDescent="0.25">
      <c r="A18" s="371" t="s">
        <v>523</v>
      </c>
      <c r="B18" s="371"/>
      <c r="C18" s="371"/>
      <c r="D18" s="371"/>
      <c r="E18" s="371"/>
      <c r="F18" s="371"/>
      <c r="G18" s="371"/>
      <c r="H18" s="21" t="str">
        <f ca="1">'Point Grid'!J17</f>
        <v>Finished</v>
      </c>
    </row>
    <row r="19" spans="1:8" x14ac:dyDescent="0.25">
      <c r="A19" s="371" t="s">
        <v>524</v>
      </c>
      <c r="B19" s="371"/>
      <c r="C19" s="371"/>
      <c r="D19" s="371"/>
      <c r="E19" s="371"/>
      <c r="F19" s="371"/>
      <c r="G19" s="371"/>
      <c r="H19" s="21" t="str">
        <f ca="1">'Point Grid'!J18</f>
        <v>Finished</v>
      </c>
    </row>
    <row r="20" spans="1:8" x14ac:dyDescent="0.25">
      <c r="A20" s="371" t="s">
        <v>525</v>
      </c>
      <c r="B20" s="371"/>
      <c r="C20" s="371"/>
      <c r="D20" s="371"/>
      <c r="E20" s="371"/>
      <c r="F20" s="371"/>
      <c r="G20" s="371"/>
      <c r="H20" s="21" t="str">
        <f ca="1">'Point Grid'!J19</f>
        <v>Finished</v>
      </c>
    </row>
    <row r="21" spans="1:8" x14ac:dyDescent="0.25">
      <c r="A21" s="371" t="s">
        <v>515</v>
      </c>
      <c r="B21" s="371"/>
      <c r="C21" s="371"/>
      <c r="D21" s="371"/>
      <c r="E21" s="371"/>
      <c r="F21" s="371"/>
      <c r="G21" s="371"/>
      <c r="H21" s="21" t="str">
        <f ca="1">'Point Grid'!J20</f>
        <v>Finished</v>
      </c>
    </row>
    <row r="22" spans="1:8" x14ac:dyDescent="0.25">
      <c r="A22" s="371" t="s">
        <v>516</v>
      </c>
      <c r="B22" s="371"/>
      <c r="C22" s="371"/>
      <c r="D22" s="371"/>
      <c r="E22" s="371"/>
      <c r="F22" s="371"/>
      <c r="G22" s="371"/>
      <c r="H22" s="21" t="str">
        <f ca="1">'Point Grid'!J21</f>
        <v>Finished</v>
      </c>
    </row>
    <row r="23" spans="1:8" x14ac:dyDescent="0.25">
      <c r="A23" s="371" t="s">
        <v>762</v>
      </c>
      <c r="B23" s="371"/>
      <c r="C23" s="371"/>
      <c r="D23" s="371"/>
      <c r="E23" s="371"/>
      <c r="F23" s="371"/>
      <c r="G23" s="371"/>
      <c r="H23" s="21" t="str">
        <f ca="1">'Point Grid'!J22</f>
        <v>Finished</v>
      </c>
    </row>
    <row r="24" spans="1:8" x14ac:dyDescent="0.25">
      <c r="A24" s="371" t="s">
        <v>526</v>
      </c>
      <c r="B24" s="371"/>
      <c r="C24" s="371"/>
      <c r="D24" s="371"/>
      <c r="E24" s="371"/>
      <c r="F24" s="371"/>
      <c r="G24" s="371"/>
      <c r="H24" s="21" t="str">
        <f ca="1">'Point Grid'!J23</f>
        <v>Finished</v>
      </c>
    </row>
    <row r="25" spans="1:8" x14ac:dyDescent="0.25">
      <c r="A25" s="371" t="s">
        <v>763</v>
      </c>
      <c r="B25" s="371"/>
      <c r="C25" s="371"/>
      <c r="D25" s="371"/>
      <c r="E25" s="371"/>
      <c r="F25" s="371"/>
      <c r="G25" s="371"/>
      <c r="H25" s="21" t="str">
        <f ca="1">'Point Grid'!J24</f>
        <v>Finished</v>
      </c>
    </row>
    <row r="26" spans="1:8" x14ac:dyDescent="0.25">
      <c r="A26" s="371" t="s">
        <v>764</v>
      </c>
      <c r="B26" s="371"/>
      <c r="C26" s="371"/>
      <c r="D26" s="371"/>
      <c r="E26" s="371"/>
      <c r="F26" s="371"/>
      <c r="G26" s="371"/>
      <c r="H26" s="21" t="str">
        <f ca="1">'Point Grid'!J25</f>
        <v>Finished</v>
      </c>
    </row>
    <row r="27" spans="1:8" x14ac:dyDescent="0.25">
      <c r="A27" s="371" t="s">
        <v>767</v>
      </c>
      <c r="B27" s="371"/>
      <c r="C27" s="371"/>
      <c r="D27" s="371"/>
      <c r="E27" s="371"/>
      <c r="F27" s="371"/>
      <c r="G27" s="371"/>
      <c r="H27" s="21" t="str">
        <f ca="1">'Point Grid'!J26</f>
        <v>Finished</v>
      </c>
    </row>
    <row r="28" spans="1:8" x14ac:dyDescent="0.25">
      <c r="A28" s="371" t="s">
        <v>768</v>
      </c>
      <c r="B28" s="371"/>
      <c r="C28" s="371"/>
      <c r="D28" s="371"/>
      <c r="E28" s="371"/>
      <c r="F28" s="371"/>
      <c r="G28" s="371"/>
      <c r="H28" s="21" t="str">
        <f ca="1">'Point Grid'!J27</f>
        <v>Finished</v>
      </c>
    </row>
    <row r="29" spans="1:8" x14ac:dyDescent="0.25">
      <c r="A29" s="371" t="s">
        <v>804</v>
      </c>
      <c r="B29" s="371"/>
      <c r="C29" s="371"/>
      <c r="D29" s="371"/>
      <c r="E29" s="371"/>
      <c r="F29" s="371"/>
      <c r="G29" s="371"/>
      <c r="H29" s="21" t="str">
        <f ca="1">'Point Grid'!J28</f>
        <v>Finished</v>
      </c>
    </row>
    <row r="30" spans="1:8" x14ac:dyDescent="0.25">
      <c r="A30" s="371" t="s">
        <v>805</v>
      </c>
      <c r="B30" s="371"/>
      <c r="C30" s="371"/>
      <c r="D30" s="371"/>
      <c r="E30" s="371"/>
      <c r="F30" s="371"/>
      <c r="G30" s="371"/>
      <c r="H30" s="21" t="str">
        <f ca="1">'Point Grid'!J29</f>
        <v>Finished</v>
      </c>
    </row>
    <row r="31" spans="1:8" x14ac:dyDescent="0.25">
      <c r="A31" s="371" t="s">
        <v>841</v>
      </c>
      <c r="B31" s="371"/>
      <c r="C31" s="371"/>
      <c r="D31" s="371"/>
      <c r="E31" s="371"/>
      <c r="F31" s="371"/>
      <c r="G31" s="371"/>
      <c r="H31" s="21" t="str">
        <f ca="1">'Point Grid'!J30</f>
        <v>Finished</v>
      </c>
    </row>
  </sheetData>
  <sheetProtection formatCells="0" formatColumns="0" formatRows="0"/>
  <mergeCells count="23">
    <mergeCell ref="A31:G31"/>
    <mergeCell ref="A30:G30"/>
    <mergeCell ref="A28:G28"/>
    <mergeCell ref="A29:G29"/>
    <mergeCell ref="A27:G27"/>
    <mergeCell ref="A21:G21"/>
    <mergeCell ref="A22:G22"/>
    <mergeCell ref="A23:G23"/>
    <mergeCell ref="A24:G24"/>
    <mergeCell ref="A25:G25"/>
    <mergeCell ref="A26:G26"/>
    <mergeCell ref="A20:G20"/>
    <mergeCell ref="A9:G9"/>
    <mergeCell ref="A10:G10"/>
    <mergeCell ref="A11:G11"/>
    <mergeCell ref="A12:G12"/>
    <mergeCell ref="A13:G13"/>
    <mergeCell ref="A14:G14"/>
    <mergeCell ref="A15:G15"/>
    <mergeCell ref="A16:G16"/>
    <mergeCell ref="A17:G17"/>
    <mergeCell ref="A18:G18"/>
    <mergeCell ref="A19:G19"/>
  </mergeCells>
  <conditionalFormatting sqref="H9:H31">
    <cfRule type="cellIs" dxfId="71" priority="4" operator="equal">
      <formula>"Finished"</formula>
    </cfRule>
    <cfRule type="cellIs" dxfId="70" priority="5" operator="equal">
      <formula>"Flag for Review"</formula>
    </cfRule>
    <cfRule type="cellIs" dxfId="69" priority="6" operator="equal">
      <formula>"Incomplete"</formula>
    </cfRule>
  </conditionalFormatting>
  <hyperlinks>
    <hyperlink ref="A9:G9" location="'1'!A1" display="Q1 -- Couret &amp; Venter -- Multi-Dimensional Credibility -- 2.25 points" xr:uid="{C5414146-BE99-4D46-BC9B-6A29F26D4AA1}"/>
    <hyperlink ref="A10:G10" location="'2'!A1" display="Q2 -- Goldburd (GLM) -- Model Validation -- 2.75 points" xr:uid="{1BEBB419-B162-4427-9CBF-4CD8A4A3A0DF}"/>
    <hyperlink ref="A11:G11" location="'3'!A1" display="Q3 -- Bailey &amp; Simon -- Experience Modification -- 1.75 points" xr:uid="{3C4C9C48-9C91-411A-B3B4-9FA11875328A}"/>
    <hyperlink ref="A12:G12" location="'4'!A1" display="Q4 -- Robertson -- Weighted k-means -- 3.00 points" xr:uid="{2020018E-CDEB-482E-9F9B-38DCA80C9BB3}"/>
    <hyperlink ref="A13:G13" location="'5'!A1" display="Q5 -- Goldburd (GLM) -- Logistic Models -- 2.75 points" xr:uid="{CD2F0A17-C1B7-4D0E-8FFC-D0C1975DE1E6}"/>
    <hyperlink ref="A14:G14" location="'6'!A1" display="Q6 -- Goldburd (GLM) -- Interaction Terms --2.00 points" xr:uid="{F57D45B9-7F63-4DF1-8169-BF16DF94E483}"/>
    <hyperlink ref="A15:G15" location="'7'!A1" display="Q7 -- Bahnemann -- Expected Ground Up Loss  (IQ) -- 7.50 points" xr:uid="{0AFB9A01-6BA4-4AF8-9927-C64159D48A66}"/>
    <hyperlink ref="A16:G16" location="'8'!A1" display="Q8 -- Bahnemann -- Excess Layer Premium -- 1.50 points" xr:uid="{8EB4A34E-02EF-46A8-8865-4A14D6A5912E}"/>
    <hyperlink ref="A17:G17" location="'9'!A1" display="Q9 -- Mahler -- When to Use Experience Rating -- 1.00 point" xr:uid="{BBB2636E-F690-43B9-B4AD-508FD3E96749}"/>
    <hyperlink ref="A18:G18" location="'10'!A1" display="Q10 -- Fisher -- Quintiles &amp; Efficiency Tests -- 1.50 points" xr:uid="{F6EBE597-1E6A-492D-9EDC-9C1F677BBFE1}"/>
    <hyperlink ref="A19:G19" location="'11'!A1" display="Q11 -- Fisher -- Experience Modification &amp; Efficiency Test -- 3.75 points" xr:uid="{14FB2A35-43D6-4B34-87D9-C536B82851EC}"/>
    <hyperlink ref="A20:G20" location="'12'!A1" display="Q12 -- Fisher -- Table M -- 2.00 points" xr:uid="{D4FF6410-F08A-4984-876F-114AE4D49358}"/>
    <hyperlink ref="A21:G21" location="'13'!A1" display="Q13 -- Bahnemann -- Aggregate Loss in Layer -- 2.00 points" xr:uid="{A07FFD84-C017-460A-A247-F5324A6A22D9}"/>
    <hyperlink ref="A22:G22" location="'14'!A1" display="Q14 -- Fisher -- Retrospective Rating -- 2.00 points" xr:uid="{050A52BD-CB5B-4F22-9073-795B9A598AEF}"/>
    <hyperlink ref="A23:G23" location="'15'!A1" display="Q15 -- Bahnemann -- Excess Severity -- 3.50 points" xr:uid="{D2F83696-8705-4766-B5F0-F0F39605C0C9}"/>
    <hyperlink ref="A24:G24" location="'16'!A1" display="Q16 -- Fisher -- Limited Table M -- 3.00 points" xr:uid="{0516550F-C58A-4802-9BCF-6CF0515DAB70}"/>
    <hyperlink ref="A25:G25" location="'17'!A1" display="Q17 -- Clark -- Technical Ratio -- 3.00 points" xr:uid="{03540340-5134-4D60-A56A-6DEEDF3C26CD}"/>
    <hyperlink ref="A26:G26" location="'18'!A1" display="Q18 -- Clark -- Property Per Risk Treaty (IQ) -- 5.50 points" xr:uid="{FE1BE592-C632-497D-86EF-F1206F8E0219}"/>
    <hyperlink ref="A27:G27" location="'19'!A1" display="Q19 -- Grossi -- Quota Share Reinsurance -- 1.75 points" xr:uid="{4EBDB433-7769-417B-A6F3-0C72A1C5E934}"/>
    <hyperlink ref="A28:G28" location="'20'!A1" display="Q20 -- Clark -- Expected Layer Loss -- 1.75 points" xr:uid="{5D20C395-68F0-446F-87AD-C354C11731C5}"/>
    <hyperlink ref="A29:G29" location="'21'!A1" display="Q21 -- Clark -- Expected Layer Loss -- 1.75 points" xr:uid="{0A6AFAA7-D7D8-4DF8-B1F9-B2EDB82B4B5B}"/>
    <hyperlink ref="A30:G30" location="'22'!A1" display="Q21 -- Grossi -- OEP Curves and AAL -- 2.50 points" xr:uid="{6512A673-3F57-4803-B2B0-DDFA8F1BE0FA}"/>
    <hyperlink ref="A31:G31" location="'23'!A1" display="Q22 -- GLM -- Model Refinement -- 1.75 points" xr:uid="{6C4612C1-CA0E-489D-957F-A361ADE36FB9}"/>
  </hyperlink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C9E6ED-6B70-4BF3-A21E-4C3B1BBDBDAE}">
  <sheetPr codeName="Sheet3"/>
  <dimension ref="A1:N34"/>
  <sheetViews>
    <sheetView workbookViewId="0"/>
  </sheetViews>
  <sheetFormatPr defaultColWidth="9.140625" defaultRowHeight="15" x14ac:dyDescent="0.25"/>
  <cols>
    <col min="1" max="1" width="6.5703125" style="3" bestFit="1" customWidth="1"/>
    <col min="2" max="2" width="16" style="3" bestFit="1" customWidth="1"/>
    <col min="3" max="3" width="12.42578125" style="3" bestFit="1" customWidth="1"/>
    <col min="4" max="4" width="12.140625" style="3" customWidth="1"/>
    <col min="5" max="5" width="14.85546875" style="3" bestFit="1" customWidth="1"/>
    <col min="6" max="7" width="9.140625" style="3"/>
    <col min="8" max="8" width="12.42578125" style="3" customWidth="1"/>
    <col min="9" max="9" width="3.7109375" style="28" customWidth="1"/>
    <col min="10" max="10" width="9.140625" style="3"/>
    <col min="11" max="11" width="11.85546875" style="3" bestFit="1" customWidth="1"/>
    <col min="12" max="12" width="9.140625" style="3"/>
    <col min="13" max="13" width="11.5703125" style="3" customWidth="1"/>
    <col min="14" max="16384" width="9.140625" style="3"/>
  </cols>
  <sheetData>
    <row r="1" spans="1:14" ht="15.75" x14ac:dyDescent="0.25">
      <c r="A1" s="80">
        <v>1</v>
      </c>
      <c r="B1" s="78" t="s">
        <v>530</v>
      </c>
      <c r="C1" s="81"/>
      <c r="D1" s="81"/>
      <c r="E1" s="81"/>
      <c r="F1" s="81"/>
      <c r="G1" s="81"/>
      <c r="H1" s="77" t="s">
        <v>529</v>
      </c>
      <c r="J1" s="79" t="s">
        <v>38</v>
      </c>
    </row>
    <row r="2" spans="1:14" x14ac:dyDescent="0.25">
      <c r="A2" s="82"/>
      <c r="B2" s="83"/>
      <c r="C2" s="83"/>
      <c r="D2" s="83"/>
      <c r="E2" s="83"/>
      <c r="F2" s="83"/>
      <c r="G2" s="83"/>
      <c r="H2" s="84"/>
      <c r="I2" s="28" t="s">
        <v>63</v>
      </c>
      <c r="J2" s="3" t="s">
        <v>65</v>
      </c>
    </row>
    <row r="3" spans="1:14" x14ac:dyDescent="0.25">
      <c r="A3" s="85" t="s">
        <v>14</v>
      </c>
      <c r="B3" s="83" t="s">
        <v>48</v>
      </c>
      <c r="C3" s="83"/>
      <c r="D3" s="83"/>
      <c r="E3" s="83"/>
      <c r="F3" s="83"/>
      <c r="G3" s="83"/>
      <c r="H3" s="84"/>
      <c r="J3" s="3" t="s">
        <v>66</v>
      </c>
    </row>
    <row r="4" spans="1:14" x14ac:dyDescent="0.25">
      <c r="A4" s="86">
        <f>INDEX('Point Grid'!B:B,MATCH('1'!A1,'Point Grid'!A:A,0))</f>
        <v>3.5</v>
      </c>
      <c r="B4" s="83" t="s">
        <v>49</v>
      </c>
      <c r="C4" s="83"/>
      <c r="D4" s="83"/>
      <c r="E4" s="83"/>
      <c r="F4" s="83"/>
      <c r="G4" s="83"/>
      <c r="H4" s="84"/>
    </row>
    <row r="5" spans="1:14" x14ac:dyDescent="0.25">
      <c r="A5" s="82"/>
      <c r="B5" s="83"/>
      <c r="C5" s="83"/>
      <c r="D5" s="83"/>
      <c r="E5" s="83"/>
      <c r="F5" s="83"/>
      <c r="G5" s="83"/>
      <c r="H5" s="84"/>
      <c r="J5" s="3" t="s">
        <v>64</v>
      </c>
      <c r="L5" s="3">
        <f>F10/E10</f>
        <v>3.6000000000000002E-4</v>
      </c>
    </row>
    <row r="6" spans="1:14" ht="30" x14ac:dyDescent="0.25">
      <c r="A6" s="82"/>
      <c r="B6" s="87" t="s">
        <v>50</v>
      </c>
      <c r="C6" s="88" t="s">
        <v>51</v>
      </c>
      <c r="D6" s="88" t="s">
        <v>52</v>
      </c>
      <c r="E6" s="88" t="s">
        <v>53</v>
      </c>
      <c r="F6" s="89" t="s">
        <v>24</v>
      </c>
      <c r="G6" s="83"/>
      <c r="H6" s="84"/>
      <c r="J6" s="3" t="s">
        <v>67</v>
      </c>
      <c r="L6" s="3">
        <f>F11/E11</f>
        <v>1.2809917355371901E-4</v>
      </c>
    </row>
    <row r="7" spans="1:14" x14ac:dyDescent="0.25">
      <c r="A7" s="82"/>
      <c r="B7" s="90" t="s">
        <v>17</v>
      </c>
      <c r="C7" s="91" t="s">
        <v>54</v>
      </c>
      <c r="D7" s="92">
        <v>671000</v>
      </c>
      <c r="E7" s="92">
        <v>600000000</v>
      </c>
      <c r="F7" s="93">
        <v>60000</v>
      </c>
      <c r="G7" s="83"/>
      <c r="H7" s="84"/>
      <c r="J7" s="3" t="s">
        <v>68</v>
      </c>
      <c r="M7" s="3">
        <f>L5/L6</f>
        <v>2.8103225806451615</v>
      </c>
    </row>
    <row r="8" spans="1:14" x14ac:dyDescent="0.25">
      <c r="A8" s="82"/>
      <c r="B8" s="90" t="s">
        <v>21</v>
      </c>
      <c r="C8" s="91">
        <v>2</v>
      </c>
      <c r="D8" s="92">
        <v>553000</v>
      </c>
      <c r="E8" s="92">
        <v>225000000</v>
      </c>
      <c r="F8" s="93">
        <v>25000</v>
      </c>
      <c r="G8" s="83"/>
      <c r="H8" s="84"/>
    </row>
    <row r="9" spans="1:14" x14ac:dyDescent="0.25">
      <c r="A9" s="82"/>
      <c r="B9" s="90" t="s">
        <v>22</v>
      </c>
      <c r="C9" s="91">
        <v>1</v>
      </c>
      <c r="D9" s="92">
        <v>120000</v>
      </c>
      <c r="E9" s="92">
        <v>93000000</v>
      </c>
      <c r="F9" s="93">
        <v>21000</v>
      </c>
      <c r="G9" s="83"/>
      <c r="H9" s="84"/>
      <c r="J9" s="3" t="s">
        <v>69</v>
      </c>
    </row>
    <row r="10" spans="1:14" x14ac:dyDescent="0.25">
      <c r="A10" s="82"/>
      <c r="B10" s="94" t="s">
        <v>18</v>
      </c>
      <c r="C10" s="95">
        <v>0</v>
      </c>
      <c r="D10" s="95" t="s">
        <v>55</v>
      </c>
      <c r="E10" s="96">
        <v>50000000</v>
      </c>
      <c r="F10" s="97">
        <v>18000</v>
      </c>
      <c r="G10" s="83"/>
      <c r="H10" s="84"/>
    </row>
    <row r="11" spans="1:14" x14ac:dyDescent="0.25">
      <c r="A11" s="82"/>
      <c r="B11" s="94" t="s">
        <v>10</v>
      </c>
      <c r="C11" s="95"/>
      <c r="D11" s="95" t="str">
        <f>TEXT(SUM(D7:D9),"0,000")&amp;" + M"</f>
        <v>1,344,000 + M</v>
      </c>
      <c r="E11" s="96">
        <f>SUM(E7:E10)</f>
        <v>968000000</v>
      </c>
      <c r="F11" s="97">
        <f>SUM(F7:F10)</f>
        <v>124000</v>
      </c>
      <c r="G11" s="83"/>
      <c r="H11" s="84"/>
      <c r="J11" s="3" t="s">
        <v>70</v>
      </c>
      <c r="M11" s="3" t="s">
        <v>72</v>
      </c>
    </row>
    <row r="12" spans="1:14" x14ac:dyDescent="0.25">
      <c r="A12" s="82"/>
      <c r="B12" s="83"/>
      <c r="C12" s="83"/>
      <c r="D12" s="83"/>
      <c r="E12" s="83"/>
      <c r="F12" s="83"/>
      <c r="G12" s="83"/>
      <c r="H12" s="84"/>
      <c r="J12" s="3" t="s">
        <v>71</v>
      </c>
      <c r="K12" s="3">
        <f>(M7-(1-0.167))/0.167</f>
        <v>11.840254973923122</v>
      </c>
    </row>
    <row r="13" spans="1:14" x14ac:dyDescent="0.25">
      <c r="A13" s="82"/>
      <c r="B13" s="83" t="s">
        <v>56</v>
      </c>
      <c r="C13" s="83"/>
      <c r="D13" s="83"/>
      <c r="E13" s="83"/>
      <c r="F13" s="83"/>
      <c r="G13" s="83"/>
      <c r="H13" s="84"/>
    </row>
    <row r="14" spans="1:14" x14ac:dyDescent="0.25">
      <c r="A14" s="82"/>
      <c r="B14" s="83" t="s">
        <v>59</v>
      </c>
      <c r="C14" s="83"/>
      <c r="D14" s="83"/>
      <c r="E14" s="83"/>
      <c r="F14" s="83"/>
      <c r="G14" s="83"/>
      <c r="H14" s="84"/>
      <c r="J14" s="3" t="s">
        <v>73</v>
      </c>
    </row>
    <row r="15" spans="1:14" x14ac:dyDescent="0.25">
      <c r="A15" s="82"/>
      <c r="B15" s="83" t="s">
        <v>57</v>
      </c>
      <c r="C15" s="83"/>
      <c r="D15" s="83"/>
      <c r="E15" s="83"/>
      <c r="F15" s="83"/>
      <c r="G15" s="83"/>
      <c r="H15" s="84"/>
      <c r="J15" s="3" t="s">
        <v>74</v>
      </c>
    </row>
    <row r="16" spans="1:14" x14ac:dyDescent="0.25">
      <c r="A16" s="82"/>
      <c r="B16" s="83" t="s">
        <v>58</v>
      </c>
      <c r="C16" s="83"/>
      <c r="D16" s="83"/>
      <c r="E16" s="83"/>
      <c r="F16" s="83"/>
      <c r="G16" s="83"/>
      <c r="H16" s="84"/>
      <c r="J16" s="3" t="s">
        <v>75</v>
      </c>
      <c r="N16" s="3">
        <f>1-1/K12</f>
        <v>0.91554235933243067</v>
      </c>
    </row>
    <row r="17" spans="1:14" x14ac:dyDescent="0.25">
      <c r="A17" s="82"/>
      <c r="B17" s="83"/>
      <c r="C17" s="83"/>
      <c r="D17" s="83"/>
      <c r="E17" s="83"/>
      <c r="F17" s="83"/>
      <c r="G17" s="83"/>
      <c r="H17" s="84"/>
    </row>
    <row r="18" spans="1:14" ht="15" customHeight="1" x14ac:dyDescent="0.25">
      <c r="A18" s="98" t="s">
        <v>2</v>
      </c>
      <c r="B18" s="83" t="s">
        <v>60</v>
      </c>
      <c r="C18" s="83"/>
      <c r="D18" s="83"/>
      <c r="E18" s="83"/>
      <c r="F18" s="83"/>
      <c r="G18" s="83"/>
      <c r="H18" s="84"/>
      <c r="J18" s="3" t="s">
        <v>76</v>
      </c>
    </row>
    <row r="19" spans="1:14" ht="15.75" thickBot="1" x14ac:dyDescent="0.3">
      <c r="A19" s="86">
        <f>INDEX('Point Grid'!$C$8:$I$28,MATCH($A$1,'Point Grid'!$A$8:$A$28,0),MATCH(A18,'Point Grid'!$C$7:$I$7,0))</f>
        <v>2.5</v>
      </c>
      <c r="B19" s="83" t="s">
        <v>61</v>
      </c>
      <c r="C19" s="83"/>
      <c r="D19" s="83"/>
      <c r="E19" s="83"/>
      <c r="F19" s="83"/>
      <c r="G19" s="83"/>
      <c r="H19" s="84"/>
      <c r="J19" s="3" t="s">
        <v>77</v>
      </c>
    </row>
    <row r="20" spans="1:14" ht="15.75" thickBot="1" x14ac:dyDescent="0.3">
      <c r="A20" s="4">
        <v>2.5</v>
      </c>
      <c r="B20" s="83"/>
      <c r="C20" s="83"/>
      <c r="D20" s="83"/>
      <c r="E20" s="83"/>
      <c r="F20" s="83"/>
      <c r="G20" s="83"/>
      <c r="H20" s="84"/>
      <c r="J20" s="3" t="s">
        <v>78</v>
      </c>
      <c r="K20" s="3">
        <f>-LN(N16)</f>
        <v>8.8238646869212872E-2</v>
      </c>
    </row>
    <row r="21" spans="1:14" x14ac:dyDescent="0.25">
      <c r="A21" s="82"/>
      <c r="B21" s="83"/>
      <c r="C21" s="83"/>
      <c r="D21" s="83"/>
      <c r="E21" s="83"/>
      <c r="F21" s="83"/>
      <c r="G21" s="83"/>
      <c r="H21" s="84"/>
    </row>
    <row r="22" spans="1:14" x14ac:dyDescent="0.25">
      <c r="A22" s="98" t="s">
        <v>3</v>
      </c>
      <c r="B22" s="83" t="s">
        <v>62</v>
      </c>
      <c r="C22" s="83"/>
      <c r="D22" s="83"/>
      <c r="E22" s="83"/>
      <c r="F22" s="83"/>
      <c r="G22" s="83"/>
      <c r="H22" s="84"/>
      <c r="J22" s="3" t="s">
        <v>79</v>
      </c>
    </row>
    <row r="23" spans="1:14" ht="15.75" thickBot="1" x14ac:dyDescent="0.3">
      <c r="A23" s="86">
        <f>INDEX('Point Grid'!$C$8:$I$28,MATCH($A$1,'Point Grid'!$A$8:$A$28,0),MATCH(A22,'Point Grid'!$C$7:$I$7,0))</f>
        <v>1</v>
      </c>
      <c r="B23" s="83"/>
      <c r="C23" s="83"/>
      <c r="D23" s="83"/>
      <c r="E23" s="83"/>
      <c r="F23" s="83"/>
      <c r="G23" s="83"/>
      <c r="H23" s="84"/>
      <c r="J23" s="3" t="s">
        <v>80</v>
      </c>
    </row>
    <row r="24" spans="1:14" ht="15.75" thickBot="1" x14ac:dyDescent="0.3">
      <c r="A24" s="4">
        <v>1</v>
      </c>
      <c r="B24" s="99"/>
      <c r="C24" s="100"/>
      <c r="D24" s="100"/>
      <c r="E24" s="100"/>
      <c r="F24" s="100"/>
      <c r="G24" s="100"/>
      <c r="H24" s="101"/>
      <c r="J24" s="3" t="s">
        <v>81</v>
      </c>
    </row>
    <row r="25" spans="1:14" x14ac:dyDescent="0.25">
      <c r="I25" s="3"/>
      <c r="J25" s="3" t="s">
        <v>82</v>
      </c>
    </row>
    <row r="26" spans="1:14" x14ac:dyDescent="0.25">
      <c r="I26" s="3"/>
      <c r="J26" s="3" t="s">
        <v>83</v>
      </c>
      <c r="K26" s="34">
        <f>F11/K20-SUM(D7:D9)</f>
        <v>61279.935715611326</v>
      </c>
    </row>
    <row r="27" spans="1:14" x14ac:dyDescent="0.25">
      <c r="I27" s="3"/>
    </row>
    <row r="28" spans="1:14" x14ac:dyDescent="0.25">
      <c r="I28" s="3" t="s">
        <v>84</v>
      </c>
      <c r="J28" s="3" t="s">
        <v>85</v>
      </c>
      <c r="M28" s="37">
        <f>SUM(F7:F8)/SUM(E7:E8)</f>
        <v>1.0303030303030303E-4</v>
      </c>
      <c r="N28" s="35" t="s">
        <v>86</v>
      </c>
    </row>
    <row r="29" spans="1:14" x14ac:dyDescent="0.25">
      <c r="I29" s="3"/>
      <c r="J29" s="3" t="s">
        <v>87</v>
      </c>
      <c r="M29" s="3">
        <f>M28/L6</f>
        <v>0.80430107526881722</v>
      </c>
    </row>
    <row r="31" spans="1:14" x14ac:dyDescent="0.25">
      <c r="J31" s="3" t="s">
        <v>88</v>
      </c>
    </row>
    <row r="32" spans="1:14" x14ac:dyDescent="0.25">
      <c r="J32" s="3" t="s">
        <v>89</v>
      </c>
    </row>
    <row r="33" spans="10:11" x14ac:dyDescent="0.25">
      <c r="J33" s="3" t="s">
        <v>90</v>
      </c>
    </row>
    <row r="34" spans="10:11" x14ac:dyDescent="0.25">
      <c r="J34" s="3" t="s">
        <v>91</v>
      </c>
      <c r="K34" s="36">
        <f>1-M29</f>
        <v>0.19569892473118278</v>
      </c>
    </row>
  </sheetData>
  <sheetProtection formatCells="0" formatColumns="0" formatRows="0"/>
  <conditionalFormatting sqref="B1">
    <cfRule type="cellIs" dxfId="68" priority="1" operator="equal">
      <formula>"Incomplete"</formula>
    </cfRule>
    <cfRule type="cellIs" dxfId="67" priority="2" operator="equal">
      <formula>"Flag for Review"</formula>
    </cfRule>
    <cfRule type="cellIs" dxfId="66" priority="3" operator="equal">
      <formula>"Finished"</formula>
    </cfRule>
  </conditionalFormatting>
  <dataValidations count="2">
    <dataValidation type="list" allowBlank="1" showInputMessage="1" showErrorMessage="1" sqref="B1" xr:uid="{AF040C7E-0FF5-4F3F-ACA5-0DE097DBE995}">
      <formula1>"Finished, Flag for Review, Incomplete"</formula1>
    </dataValidation>
    <dataValidation type="decimal" allowBlank="1" showInputMessage="1" showErrorMessage="1" sqref="A20 A24" xr:uid="{83CEE10D-8878-43F3-A40E-F39AA0732B37}">
      <formula1>0</formula1>
      <formula2>A19</formula2>
    </dataValidation>
  </dataValidations>
  <hyperlinks>
    <hyperlink ref="H1" location="Navigator!A1" display="Navigator" xr:uid="{7B640896-04C2-4179-9619-13AC58E7B6E1}"/>
  </hyperlink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045ACB-22BC-4FE9-8246-2C7C2ABC1511}">
  <sheetPr codeName="Sheet4"/>
  <dimension ref="A1:L33"/>
  <sheetViews>
    <sheetView workbookViewId="0"/>
  </sheetViews>
  <sheetFormatPr defaultColWidth="9.140625" defaultRowHeight="15" x14ac:dyDescent="0.25"/>
  <cols>
    <col min="1" max="1" width="6.5703125" style="3" bestFit="1" customWidth="1"/>
    <col min="2" max="2" width="16" style="3" bestFit="1" customWidth="1"/>
    <col min="3" max="3" width="12.42578125" style="3" bestFit="1" customWidth="1"/>
    <col min="4" max="4" width="11.85546875" style="3" customWidth="1"/>
    <col min="5" max="5" width="9.140625" style="3"/>
    <col min="6" max="6" width="10.140625" style="3" customWidth="1"/>
    <col min="7" max="7" width="9.140625" style="3"/>
    <col min="8" max="8" width="7.28515625" style="3" customWidth="1"/>
    <col min="9" max="9" width="3.7109375" style="28" customWidth="1"/>
    <col min="10" max="10" width="12.42578125" style="3" customWidth="1"/>
    <col min="11" max="16384" width="9.140625" style="3"/>
  </cols>
  <sheetData>
    <row r="1" spans="1:12" ht="15.75" x14ac:dyDescent="0.25">
      <c r="A1" s="80">
        <v>2</v>
      </c>
      <c r="B1" s="78" t="s">
        <v>530</v>
      </c>
      <c r="C1" s="81"/>
      <c r="D1" s="81"/>
      <c r="E1" s="81"/>
      <c r="F1" s="81"/>
      <c r="G1" s="81"/>
      <c r="H1" s="77" t="s">
        <v>529</v>
      </c>
      <c r="J1" s="79" t="s">
        <v>38</v>
      </c>
    </row>
    <row r="2" spans="1:12" x14ac:dyDescent="0.25">
      <c r="A2" s="82"/>
      <c r="B2" s="83"/>
      <c r="C2" s="83"/>
      <c r="D2" s="83"/>
      <c r="E2" s="83"/>
      <c r="F2" s="83"/>
      <c r="G2" s="83"/>
      <c r="H2" s="84"/>
      <c r="I2" s="28" t="s">
        <v>63</v>
      </c>
      <c r="J2" s="3" t="s">
        <v>110</v>
      </c>
    </row>
    <row r="3" spans="1:12" x14ac:dyDescent="0.25">
      <c r="A3" s="85" t="s">
        <v>14</v>
      </c>
      <c r="B3" s="83" t="s">
        <v>92</v>
      </c>
      <c r="C3" s="83"/>
      <c r="D3" s="83"/>
      <c r="E3" s="83"/>
      <c r="F3" s="83"/>
      <c r="G3" s="83"/>
      <c r="H3" s="84"/>
    </row>
    <row r="4" spans="1:12" x14ac:dyDescent="0.25">
      <c r="A4" s="86">
        <f>INDEX('Point Grid'!B:B,MATCH('2'!A1,'Point Grid'!A:A,0))</f>
        <v>2</v>
      </c>
      <c r="B4" s="83" t="s">
        <v>93</v>
      </c>
      <c r="C4" s="83"/>
      <c r="D4" s="83"/>
      <c r="E4" s="83"/>
      <c r="F4" s="83"/>
      <c r="G4" s="83"/>
      <c r="H4" s="84"/>
      <c r="J4" s="3" t="s">
        <v>111</v>
      </c>
    </row>
    <row r="5" spans="1:12" x14ac:dyDescent="0.25">
      <c r="A5" s="82"/>
      <c r="B5" s="83" t="s">
        <v>94</v>
      </c>
      <c r="C5" s="83"/>
      <c r="D5" s="83"/>
      <c r="E5" s="83"/>
      <c r="F5" s="83"/>
      <c r="G5" s="83"/>
      <c r="H5" s="84"/>
      <c r="J5" s="3" t="s">
        <v>15</v>
      </c>
      <c r="K5" s="3">
        <f>C8</f>
        <v>-1.4850000000000001</v>
      </c>
    </row>
    <row r="6" spans="1:12" x14ac:dyDescent="0.25">
      <c r="A6" s="82"/>
      <c r="B6" s="83"/>
      <c r="C6" s="83"/>
      <c r="D6" s="83"/>
      <c r="E6" s="83"/>
      <c r="F6" s="83"/>
      <c r="G6" s="83"/>
      <c r="H6" s="84"/>
      <c r="J6" s="3" t="s">
        <v>113</v>
      </c>
      <c r="K6" s="3">
        <v>0</v>
      </c>
      <c r="L6" s="35" t="s">
        <v>115</v>
      </c>
    </row>
    <row r="7" spans="1:12" x14ac:dyDescent="0.25">
      <c r="A7" s="82"/>
      <c r="B7" s="102" t="s">
        <v>20</v>
      </c>
      <c r="C7" s="103" t="s">
        <v>106</v>
      </c>
      <c r="D7" s="83"/>
      <c r="E7" s="83"/>
      <c r="F7" s="83"/>
      <c r="G7" s="83"/>
      <c r="H7" s="84"/>
      <c r="J7" s="3" t="s">
        <v>121</v>
      </c>
      <c r="K7" s="3">
        <f>C22*LN(25)</f>
        <v>-0.16094379124341004</v>
      </c>
      <c r="L7" s="35" t="s">
        <v>122</v>
      </c>
    </row>
    <row r="8" spans="1:12" x14ac:dyDescent="0.25">
      <c r="A8" s="82"/>
      <c r="B8" s="83" t="s">
        <v>15</v>
      </c>
      <c r="C8" s="83">
        <v>-1.4850000000000001</v>
      </c>
      <c r="D8" s="83"/>
      <c r="E8" s="83"/>
      <c r="F8" s="83"/>
      <c r="G8" s="83"/>
      <c r="H8" s="84"/>
      <c r="J8" s="3" t="s">
        <v>95</v>
      </c>
      <c r="K8" s="3">
        <f>C13</f>
        <v>-1.175</v>
      </c>
    </row>
    <row r="9" spans="1:12" x14ac:dyDescent="0.25">
      <c r="A9" s="82"/>
      <c r="B9" s="83"/>
      <c r="C9" s="83"/>
      <c r="D9" s="83"/>
      <c r="E9" s="83"/>
      <c r="F9" s="83"/>
      <c r="G9" s="83"/>
      <c r="H9" s="84"/>
      <c r="J9" s="3" t="s">
        <v>103</v>
      </c>
      <c r="K9" s="3">
        <f>C27</f>
        <v>-0.10100000000000001</v>
      </c>
    </row>
    <row r="10" spans="1:12" x14ac:dyDescent="0.25">
      <c r="A10" s="82"/>
      <c r="B10" s="104" t="s">
        <v>95</v>
      </c>
      <c r="C10" s="104"/>
      <c r="D10" s="83"/>
      <c r="E10" s="83"/>
      <c r="F10" s="83"/>
      <c r="G10" s="83"/>
      <c r="H10" s="84"/>
    </row>
    <row r="11" spans="1:12" x14ac:dyDescent="0.25">
      <c r="A11" s="82"/>
      <c r="B11" s="83" t="s">
        <v>96</v>
      </c>
      <c r="C11" s="83">
        <v>-0.88100000000000001</v>
      </c>
      <c r="D11" s="83"/>
      <c r="E11" s="83"/>
      <c r="F11" s="83"/>
      <c r="G11" s="83"/>
      <c r="H11" s="84"/>
      <c r="J11" s="3" t="s">
        <v>114</v>
      </c>
      <c r="L11" s="38">
        <f>SUM(K5:K9)</f>
        <v>-2.9219437912434101</v>
      </c>
    </row>
    <row r="12" spans="1:12" x14ac:dyDescent="0.25">
      <c r="A12" s="82"/>
      <c r="B12" s="83" t="s">
        <v>97</v>
      </c>
      <c r="C12" s="83">
        <v>-1.0469999999999999</v>
      </c>
      <c r="D12" s="83"/>
      <c r="E12" s="83"/>
      <c r="F12" s="83"/>
      <c r="G12" s="83"/>
      <c r="H12" s="84"/>
    </row>
    <row r="13" spans="1:12" x14ac:dyDescent="0.25">
      <c r="A13" s="82"/>
      <c r="B13" s="83" t="s">
        <v>98</v>
      </c>
      <c r="C13" s="83">
        <v>-1.175</v>
      </c>
      <c r="D13" s="83"/>
      <c r="E13" s="83"/>
      <c r="F13" s="83"/>
      <c r="G13" s="83"/>
      <c r="H13" s="84"/>
      <c r="J13" s="3" t="s">
        <v>116</v>
      </c>
    </row>
    <row r="14" spans="1:12" x14ac:dyDescent="0.25">
      <c r="A14" s="82"/>
      <c r="B14" s="83" t="s">
        <v>99</v>
      </c>
      <c r="C14" s="83">
        <v>-1.083</v>
      </c>
      <c r="D14" s="83"/>
      <c r="E14" s="83"/>
      <c r="F14" s="83"/>
      <c r="G14" s="83"/>
      <c r="H14" s="84"/>
      <c r="J14" s="3" t="s">
        <v>117</v>
      </c>
      <c r="K14" s="39">
        <f>1/(1+EXP(-L11))</f>
        <v>5.1079402522070327E-2</v>
      </c>
    </row>
    <row r="15" spans="1:12" x14ac:dyDescent="0.25">
      <c r="A15" s="82"/>
      <c r="B15" s="83" t="s">
        <v>100</v>
      </c>
      <c r="C15" s="83">
        <v>-1.1180000000000001</v>
      </c>
      <c r="D15" s="83"/>
      <c r="E15" s="83"/>
      <c r="F15" s="83"/>
      <c r="G15" s="83"/>
      <c r="H15" s="84"/>
    </row>
    <row r="16" spans="1:12" x14ac:dyDescent="0.25">
      <c r="A16" s="82"/>
      <c r="B16" s="83" t="s">
        <v>101</v>
      </c>
      <c r="C16" s="105">
        <v>-1.33</v>
      </c>
      <c r="D16" s="83"/>
      <c r="E16" s="83"/>
      <c r="F16" s="83"/>
      <c r="G16" s="83"/>
      <c r="H16" s="84"/>
    </row>
    <row r="17" spans="1:8" x14ac:dyDescent="0.25">
      <c r="A17" s="82"/>
      <c r="B17" s="83"/>
      <c r="C17" s="83"/>
      <c r="D17" s="83"/>
      <c r="E17" s="83"/>
      <c r="F17" s="83"/>
      <c r="G17" s="83"/>
      <c r="H17" s="84"/>
    </row>
    <row r="18" spans="1:8" x14ac:dyDescent="0.25">
      <c r="A18" s="82"/>
      <c r="B18" s="104" t="s">
        <v>102</v>
      </c>
      <c r="C18" s="104"/>
      <c r="D18" s="83"/>
      <c r="E18" s="83"/>
      <c r="F18" s="83"/>
      <c r="G18" s="83"/>
      <c r="H18" s="84"/>
    </row>
    <row r="19" spans="1:8" x14ac:dyDescent="0.25">
      <c r="A19" s="82"/>
      <c r="B19" s="83" t="s">
        <v>104</v>
      </c>
      <c r="C19" s="83">
        <v>-2.5000000000000001E-2</v>
      </c>
      <c r="D19" s="83"/>
      <c r="E19" s="83"/>
      <c r="F19" s="83"/>
      <c r="G19" s="83"/>
      <c r="H19" s="84"/>
    </row>
    <row r="20" spans="1:8" x14ac:dyDescent="0.25">
      <c r="A20" s="82"/>
      <c r="B20" s="83"/>
      <c r="C20" s="83"/>
      <c r="D20" s="83"/>
      <c r="E20" s="83"/>
      <c r="F20" s="83"/>
      <c r="G20" s="83"/>
      <c r="H20" s="84"/>
    </row>
    <row r="21" spans="1:8" x14ac:dyDescent="0.25">
      <c r="A21" s="82"/>
      <c r="B21" s="104" t="s">
        <v>118</v>
      </c>
      <c r="C21" s="104"/>
      <c r="D21" s="83"/>
      <c r="E21" s="83"/>
      <c r="F21" s="83"/>
      <c r="G21" s="83"/>
      <c r="H21" s="84"/>
    </row>
    <row r="22" spans="1:8" x14ac:dyDescent="0.25">
      <c r="A22" s="82"/>
      <c r="B22" s="83" t="s">
        <v>119</v>
      </c>
      <c r="C22" s="83">
        <v>-0.05</v>
      </c>
      <c r="D22" s="83"/>
      <c r="E22" s="83"/>
      <c r="F22" s="83"/>
      <c r="G22" s="83"/>
      <c r="H22" s="84"/>
    </row>
    <row r="23" spans="1:8" x14ac:dyDescent="0.25">
      <c r="A23" s="82"/>
      <c r="B23" s="83"/>
      <c r="C23" s="83"/>
      <c r="D23" s="83"/>
      <c r="E23" s="83"/>
      <c r="F23" s="83"/>
      <c r="G23" s="83"/>
      <c r="H23" s="84"/>
    </row>
    <row r="24" spans="1:8" x14ac:dyDescent="0.25">
      <c r="A24" s="82"/>
      <c r="B24" s="104" t="s">
        <v>103</v>
      </c>
      <c r="C24" s="104"/>
      <c r="D24" s="83"/>
      <c r="E24" s="83"/>
      <c r="F24" s="83"/>
      <c r="G24" s="83"/>
      <c r="H24" s="84"/>
    </row>
    <row r="25" spans="1:8" x14ac:dyDescent="0.25">
      <c r="A25" s="82"/>
      <c r="B25" s="83" t="s">
        <v>18</v>
      </c>
      <c r="C25" s="83">
        <v>9.4E-2</v>
      </c>
      <c r="D25" s="83"/>
      <c r="E25" s="83"/>
      <c r="F25" s="83"/>
      <c r="G25" s="83"/>
      <c r="H25" s="84"/>
    </row>
    <row r="26" spans="1:8" x14ac:dyDescent="0.25">
      <c r="A26" s="82"/>
      <c r="B26" s="83" t="s">
        <v>19</v>
      </c>
      <c r="C26" s="83">
        <v>3.6999999999999998E-2</v>
      </c>
      <c r="D26" s="83"/>
      <c r="E26" s="83"/>
      <c r="F26" s="83"/>
      <c r="G26" s="83"/>
      <c r="H26" s="84"/>
    </row>
    <row r="27" spans="1:8" x14ac:dyDescent="0.25">
      <c r="A27" s="82"/>
      <c r="B27" s="83" t="s">
        <v>105</v>
      </c>
      <c r="C27" s="83">
        <v>-0.10100000000000001</v>
      </c>
      <c r="D27" s="83"/>
      <c r="E27" s="83"/>
      <c r="F27" s="83"/>
      <c r="G27" s="83"/>
      <c r="H27" s="84"/>
    </row>
    <row r="28" spans="1:8" x14ac:dyDescent="0.25">
      <c r="A28" s="82"/>
      <c r="B28" s="83"/>
      <c r="C28" s="83"/>
      <c r="D28" s="83"/>
      <c r="E28" s="83"/>
      <c r="F28" s="83"/>
      <c r="G28" s="83"/>
      <c r="H28" s="84"/>
    </row>
    <row r="29" spans="1:8" x14ac:dyDescent="0.25">
      <c r="A29" s="98" t="s">
        <v>2</v>
      </c>
      <c r="B29" s="83" t="s">
        <v>107</v>
      </c>
      <c r="C29" s="83"/>
      <c r="D29" s="83"/>
      <c r="E29" s="83"/>
      <c r="F29" s="83"/>
      <c r="G29" s="83"/>
      <c r="H29" s="84"/>
    </row>
    <row r="30" spans="1:8" ht="15.75" thickBot="1" x14ac:dyDescent="0.3">
      <c r="A30" s="86">
        <f>INDEX('Point Grid'!$C$8:$I$28,MATCH($A$1,'Point Grid'!$A$8:$A$28,0),MATCH(A29,'Point Grid'!$C$7:$I$7,0))</f>
        <v>2</v>
      </c>
      <c r="B30" s="83" t="s">
        <v>108</v>
      </c>
      <c r="C30" s="83"/>
      <c r="D30" s="83"/>
      <c r="E30" s="83"/>
      <c r="F30" s="83"/>
      <c r="G30" s="83"/>
      <c r="H30" s="84"/>
    </row>
    <row r="31" spans="1:8" ht="15.75" thickBot="1" x14ac:dyDescent="0.3">
      <c r="A31" s="4">
        <v>2</v>
      </c>
      <c r="B31" s="83" t="s">
        <v>120</v>
      </c>
      <c r="C31" s="83"/>
      <c r="D31" s="83"/>
      <c r="E31" s="83"/>
      <c r="F31" s="83"/>
      <c r="G31" s="83"/>
      <c r="H31" s="84"/>
    </row>
    <row r="32" spans="1:8" x14ac:dyDescent="0.25">
      <c r="A32" s="83"/>
      <c r="B32" s="83" t="s">
        <v>109</v>
      </c>
      <c r="C32" s="83"/>
      <c r="D32" s="83"/>
      <c r="E32" s="83"/>
      <c r="F32" s="83"/>
      <c r="G32" s="83"/>
      <c r="H32" s="84"/>
    </row>
    <row r="33" spans="1:8" ht="15.75" thickBot="1" x14ac:dyDescent="0.3">
      <c r="A33" s="106"/>
      <c r="B33" s="100" t="s">
        <v>112</v>
      </c>
      <c r="C33" s="100"/>
      <c r="D33" s="100"/>
      <c r="E33" s="100"/>
      <c r="F33" s="100"/>
      <c r="G33" s="100"/>
      <c r="H33" s="101"/>
    </row>
  </sheetData>
  <sheetProtection formatCells="0" formatColumns="0" formatRows="0"/>
  <conditionalFormatting sqref="B1">
    <cfRule type="cellIs" dxfId="65" priority="1" operator="equal">
      <formula>"Incomplete"</formula>
    </cfRule>
    <cfRule type="cellIs" dxfId="64" priority="2" operator="equal">
      <formula>"Flag for Review"</formula>
    </cfRule>
    <cfRule type="cellIs" dxfId="63" priority="3" operator="equal">
      <formula>"Finished"</formula>
    </cfRule>
  </conditionalFormatting>
  <dataValidations count="2">
    <dataValidation type="decimal" allowBlank="1" showInputMessage="1" showErrorMessage="1" sqref="A31:A32" xr:uid="{515640D4-3053-4E87-B649-9056EB97A381}">
      <formula1>0</formula1>
      <formula2>A30</formula2>
    </dataValidation>
    <dataValidation type="list" allowBlank="1" showInputMessage="1" showErrorMessage="1" sqref="B1" xr:uid="{CAA4D190-DCE5-4ADE-83F8-9599B8EEAD2F}">
      <formula1>"Finished, Flag for Review, Incomplete"</formula1>
    </dataValidation>
  </dataValidations>
  <hyperlinks>
    <hyperlink ref="H1" location="Navigator!A1" display="Navigator" xr:uid="{19070CCA-EBD0-4ECC-9DDB-5A77DAA509DB}"/>
  </hyperlink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696FB5-8651-4523-A05A-3D1F3F9FE09B}">
  <sheetPr codeName="Sheet5"/>
  <dimension ref="A1:K13"/>
  <sheetViews>
    <sheetView workbookViewId="0"/>
  </sheetViews>
  <sheetFormatPr defaultColWidth="9.140625" defaultRowHeight="15" x14ac:dyDescent="0.25"/>
  <cols>
    <col min="1" max="1" width="6.5703125" style="3" bestFit="1" customWidth="1"/>
    <col min="2" max="2" width="16" style="3" bestFit="1" customWidth="1"/>
    <col min="3" max="3" width="12.42578125" style="3" bestFit="1" customWidth="1"/>
    <col min="4" max="4" width="10.28515625" style="3" customWidth="1"/>
    <col min="5" max="5" width="9.140625" style="3"/>
    <col min="6" max="6" width="15.42578125" style="3" customWidth="1"/>
    <col min="7" max="7" width="9.140625" style="3"/>
    <col min="8" max="8" width="13.7109375" style="3" customWidth="1"/>
    <col min="9" max="9" width="3.7109375" style="28" customWidth="1"/>
    <col min="10" max="16384" width="9.140625" style="3"/>
  </cols>
  <sheetData>
    <row r="1" spans="1:11" ht="15.75" x14ac:dyDescent="0.25">
      <c r="A1" s="80">
        <v>3</v>
      </c>
      <c r="B1" s="78" t="s">
        <v>530</v>
      </c>
      <c r="C1" s="81"/>
      <c r="D1" s="81"/>
      <c r="E1" s="81"/>
      <c r="F1" s="81"/>
      <c r="G1" s="81"/>
      <c r="H1" s="77" t="s">
        <v>529</v>
      </c>
      <c r="J1" s="79" t="s">
        <v>38</v>
      </c>
    </row>
    <row r="2" spans="1:11" x14ac:dyDescent="0.25">
      <c r="A2" s="82"/>
      <c r="B2" s="83"/>
      <c r="C2" s="83"/>
      <c r="D2" s="83"/>
      <c r="E2" s="83"/>
      <c r="F2" s="83"/>
      <c r="G2" s="83"/>
      <c r="H2" s="84"/>
      <c r="I2" s="28" t="s">
        <v>63</v>
      </c>
      <c r="J2" s="3">
        <v>4</v>
      </c>
      <c r="K2" s="3" t="s">
        <v>129</v>
      </c>
    </row>
    <row r="3" spans="1:11" x14ac:dyDescent="0.25">
      <c r="A3" s="85" t="s">
        <v>14</v>
      </c>
      <c r="B3" s="83" t="s">
        <v>123</v>
      </c>
      <c r="C3" s="83"/>
      <c r="D3" s="83"/>
      <c r="E3" s="83"/>
      <c r="F3" s="83"/>
      <c r="G3" s="83"/>
      <c r="H3" s="84"/>
      <c r="J3" s="3">
        <v>1</v>
      </c>
      <c r="K3" s="3" t="s">
        <v>130</v>
      </c>
    </row>
    <row r="4" spans="1:11" x14ac:dyDescent="0.25">
      <c r="A4" s="86">
        <f>INDEX('Point Grid'!B:B,MATCH('3'!A1,'Point Grid'!A:A,0))</f>
        <v>2</v>
      </c>
      <c r="B4" s="83"/>
      <c r="C4" s="83"/>
      <c r="D4" s="83"/>
      <c r="E4" s="83"/>
      <c r="F4" s="83"/>
      <c r="G4" s="83"/>
      <c r="H4" s="84"/>
      <c r="K4" s="3" t="s">
        <v>131</v>
      </c>
    </row>
    <row r="5" spans="1:11" x14ac:dyDescent="0.25">
      <c r="A5" s="82"/>
      <c r="B5" s="83" t="s">
        <v>124</v>
      </c>
      <c r="C5" s="83"/>
      <c r="D5" s="83"/>
      <c r="E5" s="83"/>
      <c r="F5" s="83"/>
      <c r="G5" s="83"/>
      <c r="H5" s="84"/>
      <c r="J5" s="3">
        <v>3</v>
      </c>
      <c r="K5" s="3" t="s">
        <v>132</v>
      </c>
    </row>
    <row r="6" spans="1:11" x14ac:dyDescent="0.25">
      <c r="A6" s="82"/>
      <c r="B6" s="83" t="s">
        <v>125</v>
      </c>
      <c r="C6" s="83"/>
      <c r="D6" s="83"/>
      <c r="E6" s="83"/>
      <c r="F6" s="83"/>
      <c r="G6" s="83"/>
      <c r="H6" s="84"/>
      <c r="J6" s="3">
        <v>1</v>
      </c>
      <c r="K6" s="3" t="s">
        <v>133</v>
      </c>
    </row>
    <row r="7" spans="1:11" x14ac:dyDescent="0.25">
      <c r="A7" s="82"/>
      <c r="B7" s="83" t="s">
        <v>126</v>
      </c>
      <c r="C7" s="83"/>
      <c r="D7" s="83"/>
      <c r="E7" s="83"/>
      <c r="F7" s="83"/>
      <c r="G7" s="83"/>
      <c r="H7" s="84"/>
      <c r="J7" s="3">
        <v>1</v>
      </c>
      <c r="K7" s="3" t="s">
        <v>135</v>
      </c>
    </row>
    <row r="8" spans="1:11" x14ac:dyDescent="0.25">
      <c r="A8" s="82"/>
      <c r="B8" s="83" t="s">
        <v>127</v>
      </c>
      <c r="C8" s="83"/>
      <c r="D8" s="83"/>
      <c r="E8" s="83"/>
      <c r="F8" s="83"/>
      <c r="G8" s="83"/>
      <c r="H8" s="84"/>
      <c r="K8" s="3" t="s">
        <v>136</v>
      </c>
    </row>
    <row r="9" spans="1:11" x14ac:dyDescent="0.25">
      <c r="A9" s="82"/>
      <c r="B9" s="83" t="s">
        <v>134</v>
      </c>
      <c r="C9" s="83"/>
      <c r="D9" s="83"/>
      <c r="E9" s="83"/>
      <c r="F9" s="83"/>
      <c r="G9" s="83"/>
      <c r="H9" s="84"/>
    </row>
    <row r="10" spans="1:11" x14ac:dyDescent="0.25">
      <c r="A10" s="82"/>
      <c r="B10" s="83"/>
      <c r="C10" s="83"/>
      <c r="D10" s="83"/>
      <c r="E10" s="83"/>
      <c r="F10" s="83"/>
      <c r="G10" s="83"/>
      <c r="H10" s="84"/>
      <c r="J10" s="40">
        <f>SUM(J2:J7)</f>
        <v>10</v>
      </c>
      <c r="K10" s="3" t="s">
        <v>137</v>
      </c>
    </row>
    <row r="11" spans="1:11" x14ac:dyDescent="0.25">
      <c r="A11" s="98" t="s">
        <v>2</v>
      </c>
      <c r="B11" s="83" t="s">
        <v>128</v>
      </c>
      <c r="C11" s="83"/>
      <c r="D11" s="83"/>
      <c r="E11" s="83"/>
      <c r="F11" s="83"/>
      <c r="G11" s="83"/>
      <c r="H11" s="84"/>
      <c r="K11" s="3" t="s">
        <v>138</v>
      </c>
    </row>
    <row r="12" spans="1:11" ht="15.75" thickBot="1" x14ac:dyDescent="0.3">
      <c r="A12" s="86">
        <f>INDEX('Point Grid'!$C$8:$I$28,MATCH($A$1,'Point Grid'!$A$8:$A$28,0),MATCH(A11,'Point Grid'!$C$7:$I$7,0))</f>
        <v>2</v>
      </c>
      <c r="B12" s="83"/>
      <c r="C12" s="83"/>
      <c r="D12" s="83"/>
      <c r="E12" s="83"/>
      <c r="F12" s="83"/>
      <c r="G12" s="83"/>
      <c r="H12" s="84"/>
    </row>
    <row r="13" spans="1:11" ht="15.75" thickBot="1" x14ac:dyDescent="0.3">
      <c r="A13" s="4">
        <v>2</v>
      </c>
      <c r="B13" s="100"/>
      <c r="C13" s="100"/>
      <c r="D13" s="100"/>
      <c r="E13" s="100"/>
      <c r="F13" s="100"/>
      <c r="G13" s="100"/>
      <c r="H13" s="101"/>
    </row>
  </sheetData>
  <sheetProtection formatCells="0" formatColumns="0" formatRows="0"/>
  <conditionalFormatting sqref="B1">
    <cfRule type="cellIs" dxfId="62" priority="1" operator="equal">
      <formula>"Incomplete"</formula>
    </cfRule>
    <cfRule type="cellIs" dxfId="61" priority="2" operator="equal">
      <formula>"Flag for Review"</formula>
    </cfRule>
    <cfRule type="cellIs" dxfId="60" priority="3" operator="equal">
      <formula>"Finished"</formula>
    </cfRule>
  </conditionalFormatting>
  <dataValidations count="2">
    <dataValidation type="decimal" allowBlank="1" showInputMessage="1" showErrorMessage="1" sqref="A13" xr:uid="{2A44F8C4-A61B-4E56-91D4-FCCE97DDB406}">
      <formula1>0</formula1>
      <formula2>A12</formula2>
    </dataValidation>
    <dataValidation type="list" allowBlank="1" showInputMessage="1" showErrorMessage="1" sqref="B1" xr:uid="{F7E5C8AD-7749-4FAA-9EF5-F783D5CC3292}">
      <formula1>"Finished, Flag for Review, Incomplete"</formula1>
    </dataValidation>
  </dataValidations>
  <hyperlinks>
    <hyperlink ref="H1" location="Navigator!A1" display="Navigator" xr:uid="{F297BB44-797A-47E7-93AF-1A2EDF79C208}"/>
  </hyperlink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84C8D8-6961-4C38-ACAF-F4B55D91A9A8}">
  <sheetPr codeName="Sheet6"/>
  <dimension ref="A1:J32"/>
  <sheetViews>
    <sheetView workbookViewId="0"/>
  </sheetViews>
  <sheetFormatPr defaultColWidth="9.140625" defaultRowHeight="15" x14ac:dyDescent="0.25"/>
  <cols>
    <col min="1" max="1" width="6.5703125" style="3" bestFit="1" customWidth="1"/>
    <col min="2" max="2" width="16" style="3" bestFit="1" customWidth="1"/>
    <col min="3" max="3" width="19.85546875" style="3" customWidth="1"/>
    <col min="4" max="4" width="12.7109375" style="3" customWidth="1"/>
    <col min="5" max="5" width="7.5703125" style="3" customWidth="1"/>
    <col min="6" max="6" width="9.140625" style="3"/>
    <col min="7" max="7" width="12.7109375" style="3" customWidth="1"/>
    <col min="8" max="8" width="3.7109375" style="28" customWidth="1"/>
    <col min="9" max="9" width="9.140625" style="3"/>
    <col min="10" max="10" width="11" style="3" bestFit="1" customWidth="1"/>
    <col min="11" max="16384" width="9.140625" style="3"/>
  </cols>
  <sheetData>
    <row r="1" spans="1:10" ht="15.75" x14ac:dyDescent="0.25">
      <c r="A1" s="80">
        <v>4</v>
      </c>
      <c r="B1" s="78" t="s">
        <v>530</v>
      </c>
      <c r="C1" s="81"/>
      <c r="D1" s="81"/>
      <c r="E1" s="81"/>
      <c r="F1" s="81"/>
      <c r="G1" s="77" t="s">
        <v>529</v>
      </c>
      <c r="I1" s="79" t="s">
        <v>38</v>
      </c>
    </row>
    <row r="2" spans="1:10" x14ac:dyDescent="0.25">
      <c r="A2" s="82"/>
      <c r="B2" s="83"/>
      <c r="C2" s="83"/>
      <c r="D2" s="83"/>
      <c r="E2" s="83"/>
      <c r="F2" s="83"/>
      <c r="G2" s="84"/>
      <c r="H2" s="28" t="s">
        <v>63</v>
      </c>
      <c r="I2" s="3" t="s">
        <v>151</v>
      </c>
    </row>
    <row r="3" spans="1:10" x14ac:dyDescent="0.25">
      <c r="A3" s="85" t="s">
        <v>14</v>
      </c>
      <c r="B3" s="83" t="s">
        <v>139</v>
      </c>
      <c r="C3" s="83"/>
      <c r="D3" s="83"/>
      <c r="E3" s="83"/>
      <c r="F3" s="83"/>
      <c r="G3" s="84"/>
      <c r="I3" s="3" t="s">
        <v>152</v>
      </c>
    </row>
    <row r="4" spans="1:10" x14ac:dyDescent="0.25">
      <c r="A4" s="86">
        <f>INDEX('Point Grid'!B:B,MATCH('4'!A1,'Point Grid'!A:A,0))</f>
        <v>1.5</v>
      </c>
      <c r="B4" s="83" t="s">
        <v>140</v>
      </c>
      <c r="C4" s="83"/>
      <c r="D4" s="83"/>
      <c r="E4" s="83"/>
      <c r="F4" s="83"/>
      <c r="G4" s="84"/>
      <c r="I4" s="3" t="s">
        <v>153</v>
      </c>
    </row>
    <row r="5" spans="1:10" x14ac:dyDescent="0.25">
      <c r="A5" s="82"/>
      <c r="B5" s="83"/>
      <c r="C5" s="83"/>
      <c r="D5" s="83"/>
      <c r="E5" s="83"/>
      <c r="F5" s="83"/>
      <c r="G5" s="84"/>
    </row>
    <row r="6" spans="1:10" x14ac:dyDescent="0.25">
      <c r="A6" s="82"/>
      <c r="B6" s="83" t="s">
        <v>141</v>
      </c>
      <c r="C6" s="83"/>
      <c r="D6" s="83"/>
      <c r="E6" s="83"/>
      <c r="F6" s="83"/>
      <c r="G6" s="84"/>
      <c r="I6" s="3" t="s">
        <v>154</v>
      </c>
    </row>
    <row r="7" spans="1:10" x14ac:dyDescent="0.25">
      <c r="A7" s="82"/>
      <c r="B7" s="83"/>
      <c r="C7" s="83"/>
      <c r="D7" s="83"/>
      <c r="E7" s="83"/>
      <c r="F7" s="83"/>
      <c r="G7" s="84"/>
      <c r="I7" s="50" t="s">
        <v>155</v>
      </c>
      <c r="J7" s="43" t="s">
        <v>156</v>
      </c>
    </row>
    <row r="8" spans="1:10" x14ac:dyDescent="0.25">
      <c r="A8" s="82"/>
      <c r="B8" s="107" t="s">
        <v>142</v>
      </c>
      <c r="C8" s="107"/>
      <c r="D8" s="107"/>
      <c r="E8" s="83"/>
      <c r="F8" s="83"/>
      <c r="G8" s="84"/>
      <c r="I8" s="52">
        <v>1</v>
      </c>
      <c r="J8" s="55">
        <f>CORREL(C10:C13,D10:D13)</f>
        <v>0.94345635304972653</v>
      </c>
    </row>
    <row r="9" spans="1:10" ht="30" x14ac:dyDescent="0.25">
      <c r="A9" s="82"/>
      <c r="B9" s="108" t="s">
        <v>143</v>
      </c>
      <c r="C9" s="109" t="s">
        <v>144</v>
      </c>
      <c r="D9" s="110" t="s">
        <v>145</v>
      </c>
      <c r="E9" s="83"/>
      <c r="F9" s="83"/>
      <c r="G9" s="84"/>
      <c r="I9" s="52">
        <v>2</v>
      </c>
      <c r="J9" s="47">
        <f>CORREL(C17:C20,D17:D20)</f>
        <v>0</v>
      </c>
    </row>
    <row r="10" spans="1:10" x14ac:dyDescent="0.25">
      <c r="A10" s="82"/>
      <c r="B10" s="111">
        <v>1</v>
      </c>
      <c r="C10" s="112">
        <v>1.2</v>
      </c>
      <c r="D10" s="113">
        <v>0.5</v>
      </c>
      <c r="E10" s="83"/>
      <c r="F10" s="83"/>
      <c r="G10" s="84"/>
      <c r="I10" s="53">
        <v>3</v>
      </c>
      <c r="J10" s="49">
        <f>CORREL(C24:C27,D24:D27)</f>
        <v>0.95942208628343584</v>
      </c>
    </row>
    <row r="11" spans="1:10" x14ac:dyDescent="0.25">
      <c r="A11" s="82"/>
      <c r="B11" s="90">
        <v>2</v>
      </c>
      <c r="C11" s="114">
        <v>1.2</v>
      </c>
      <c r="D11" s="115">
        <v>0.45</v>
      </c>
      <c r="E11" s="83"/>
      <c r="F11" s="83"/>
      <c r="G11" s="84"/>
    </row>
    <row r="12" spans="1:10" x14ac:dyDescent="0.25">
      <c r="A12" s="82"/>
      <c r="B12" s="90">
        <v>3</v>
      </c>
      <c r="C12" s="114">
        <v>0.7</v>
      </c>
      <c r="D12" s="115">
        <v>0.2</v>
      </c>
      <c r="E12" s="83"/>
      <c r="F12" s="83"/>
      <c r="G12" s="84"/>
      <c r="I12" s="3" t="s">
        <v>157</v>
      </c>
    </row>
    <row r="13" spans="1:10" x14ac:dyDescent="0.25">
      <c r="A13" s="82"/>
      <c r="B13" s="94">
        <v>4</v>
      </c>
      <c r="C13" s="116">
        <v>0.7</v>
      </c>
      <c r="D13" s="117">
        <v>0.3</v>
      </c>
      <c r="E13" s="83"/>
      <c r="F13" s="83"/>
      <c r="G13" s="84"/>
      <c r="I13" s="3" t="s">
        <v>158</v>
      </c>
    </row>
    <row r="14" spans="1:10" x14ac:dyDescent="0.25">
      <c r="A14" s="82"/>
      <c r="B14" s="83"/>
      <c r="C14" s="83"/>
      <c r="D14" s="83"/>
      <c r="E14" s="83"/>
      <c r="F14" s="83"/>
      <c r="G14" s="84"/>
    </row>
    <row r="15" spans="1:10" x14ac:dyDescent="0.25">
      <c r="A15" s="82"/>
      <c r="B15" s="107" t="s">
        <v>146</v>
      </c>
      <c r="C15" s="107"/>
      <c r="D15" s="107"/>
      <c r="E15" s="83"/>
      <c r="F15" s="83"/>
      <c r="G15" s="84"/>
      <c r="I15" s="42" t="s">
        <v>159</v>
      </c>
      <c r="J15" s="50" t="s">
        <v>160</v>
      </c>
    </row>
    <row r="16" spans="1:10" ht="30" x14ac:dyDescent="0.25">
      <c r="A16" s="82"/>
      <c r="B16" s="108" t="s">
        <v>143</v>
      </c>
      <c r="C16" s="109" t="s">
        <v>144</v>
      </c>
      <c r="D16" s="110" t="s">
        <v>145</v>
      </c>
      <c r="E16" s="83"/>
      <c r="F16" s="83"/>
      <c r="G16" s="84"/>
      <c r="I16" s="46">
        <v>1</v>
      </c>
      <c r="J16" s="196">
        <f>SUMSQ(D10:D13)/COUNT(D10:D13)</f>
        <v>0.145625</v>
      </c>
    </row>
    <row r="17" spans="1:10" x14ac:dyDescent="0.25">
      <c r="A17" s="82"/>
      <c r="B17" s="111">
        <v>5</v>
      </c>
      <c r="C17" s="112">
        <v>1.2</v>
      </c>
      <c r="D17" s="113">
        <v>0.08</v>
      </c>
      <c r="E17" s="83"/>
      <c r="F17" s="83"/>
      <c r="G17" s="84"/>
      <c r="I17" s="46">
        <v>2</v>
      </c>
      <c r="J17" s="196">
        <f>SUMSQ(D17:D20)/COUNT(D17:D20)</f>
        <v>2.7400000000000001E-2</v>
      </c>
    </row>
    <row r="18" spans="1:10" x14ac:dyDescent="0.25">
      <c r="A18" s="82"/>
      <c r="B18" s="90">
        <v>6</v>
      </c>
      <c r="C18" s="114">
        <v>1.2</v>
      </c>
      <c r="D18" s="115">
        <v>-0.08</v>
      </c>
      <c r="E18" s="83"/>
      <c r="F18" s="83"/>
      <c r="G18" s="84"/>
      <c r="I18" s="48">
        <v>3</v>
      </c>
      <c r="J18" s="197">
        <f>SUMSQ(D24:D27)/COUNT(D24:D27)</f>
        <v>9.7500000000000017E-4</v>
      </c>
    </row>
    <row r="19" spans="1:10" x14ac:dyDescent="0.25">
      <c r="A19" s="82"/>
      <c r="B19" s="90">
        <v>7</v>
      </c>
      <c r="C19" s="114">
        <v>0.6</v>
      </c>
      <c r="D19" s="115">
        <v>-0.22</v>
      </c>
      <c r="E19" s="83"/>
      <c r="F19" s="83"/>
      <c r="G19" s="84"/>
    </row>
    <row r="20" spans="1:10" x14ac:dyDescent="0.25">
      <c r="A20" s="82"/>
      <c r="B20" s="94">
        <v>8</v>
      </c>
      <c r="C20" s="116">
        <v>0.6</v>
      </c>
      <c r="D20" s="117">
        <v>0.22</v>
      </c>
      <c r="E20" s="83"/>
      <c r="F20" s="83"/>
      <c r="G20" s="84"/>
      <c r="I20" s="3" t="s">
        <v>161</v>
      </c>
    </row>
    <row r="21" spans="1:10" x14ac:dyDescent="0.25">
      <c r="A21" s="82"/>
      <c r="B21" s="91"/>
      <c r="C21" s="91"/>
      <c r="D21" s="91"/>
      <c r="E21" s="83"/>
      <c r="F21" s="83"/>
      <c r="G21" s="84"/>
    </row>
    <row r="22" spans="1:10" x14ac:dyDescent="0.25">
      <c r="A22" s="82"/>
      <c r="B22" s="107" t="s">
        <v>148</v>
      </c>
      <c r="C22" s="107"/>
      <c r="D22" s="107"/>
      <c r="E22" s="83"/>
      <c r="F22" s="83"/>
      <c r="G22" s="84"/>
    </row>
    <row r="23" spans="1:10" ht="30" x14ac:dyDescent="0.25">
      <c r="A23" s="82"/>
      <c r="B23" s="108" t="s">
        <v>143</v>
      </c>
      <c r="C23" s="109" t="s">
        <v>144</v>
      </c>
      <c r="D23" s="110" t="s">
        <v>145</v>
      </c>
      <c r="E23" s="83"/>
      <c r="F23" s="83"/>
      <c r="G23" s="84"/>
    </row>
    <row r="24" spans="1:10" x14ac:dyDescent="0.25">
      <c r="A24" s="82"/>
      <c r="B24" s="111">
        <v>9</v>
      </c>
      <c r="C24" s="112">
        <v>1.4</v>
      </c>
      <c r="D24" s="113">
        <v>0.03</v>
      </c>
      <c r="E24" s="83"/>
      <c r="F24" s="83"/>
      <c r="G24" s="84"/>
    </row>
    <row r="25" spans="1:10" x14ac:dyDescent="0.25">
      <c r="A25" s="82"/>
      <c r="B25" s="90">
        <v>10</v>
      </c>
      <c r="C25" s="114">
        <v>1.3</v>
      </c>
      <c r="D25" s="115">
        <v>0.01</v>
      </c>
      <c r="E25" s="83"/>
      <c r="F25" s="83"/>
      <c r="G25" s="84"/>
    </row>
    <row r="26" spans="1:10" x14ac:dyDescent="0.25">
      <c r="A26" s="82"/>
      <c r="B26" s="90">
        <v>11</v>
      </c>
      <c r="C26" s="114">
        <v>0.75</v>
      </c>
      <c r="D26" s="115">
        <v>-0.02</v>
      </c>
      <c r="E26" s="83"/>
      <c r="F26" s="83"/>
      <c r="G26" s="84"/>
    </row>
    <row r="27" spans="1:10" x14ac:dyDescent="0.25">
      <c r="A27" s="82"/>
      <c r="B27" s="94">
        <v>12</v>
      </c>
      <c r="C27" s="116">
        <v>0.65</v>
      </c>
      <c r="D27" s="117">
        <v>-0.05</v>
      </c>
      <c r="E27" s="83"/>
      <c r="F27" s="83"/>
      <c r="G27" s="84"/>
    </row>
    <row r="28" spans="1:10" x14ac:dyDescent="0.25">
      <c r="A28" s="82"/>
      <c r="B28" s="91"/>
      <c r="C28" s="91"/>
      <c r="D28" s="118"/>
      <c r="E28" s="83"/>
      <c r="F28" s="83"/>
      <c r="G28" s="84"/>
    </row>
    <row r="29" spans="1:10" x14ac:dyDescent="0.25">
      <c r="A29" s="98" t="s">
        <v>2</v>
      </c>
      <c r="B29" s="83" t="s">
        <v>147</v>
      </c>
      <c r="C29" s="91"/>
      <c r="D29" s="91"/>
      <c r="E29" s="83"/>
      <c r="F29" s="83"/>
      <c r="G29" s="84"/>
    </row>
    <row r="30" spans="1:10" ht="15.75" thickBot="1" x14ac:dyDescent="0.3">
      <c r="A30" s="86">
        <f>INDEX('Point Grid'!$C$8:$I$28,MATCH($A$1,'Point Grid'!$A$8:$A$28,0),MATCH(A29,'Point Grid'!$C$7:$I$7,0))</f>
        <v>1.5</v>
      </c>
      <c r="B30" s="83" t="s">
        <v>149</v>
      </c>
      <c r="C30" s="91"/>
      <c r="D30" s="91"/>
      <c r="E30" s="83"/>
      <c r="F30" s="83"/>
      <c r="G30" s="84"/>
    </row>
    <row r="31" spans="1:10" ht="15.75" thickBot="1" x14ac:dyDescent="0.3">
      <c r="A31" s="4">
        <v>1.5</v>
      </c>
      <c r="B31" s="83" t="s">
        <v>150</v>
      </c>
      <c r="C31" s="83"/>
      <c r="D31" s="83"/>
      <c r="E31" s="83"/>
      <c r="F31" s="83"/>
      <c r="G31" s="84"/>
    </row>
    <row r="32" spans="1:10" ht="15.75" thickBot="1" x14ac:dyDescent="0.3">
      <c r="A32" s="106"/>
      <c r="B32" s="100"/>
      <c r="C32" s="100"/>
      <c r="D32" s="100"/>
      <c r="E32" s="100"/>
      <c r="F32" s="100"/>
      <c r="G32" s="101"/>
    </row>
  </sheetData>
  <sheetProtection formatCells="0" formatColumns="0" formatRows="0"/>
  <conditionalFormatting sqref="B1">
    <cfRule type="cellIs" dxfId="59" priority="1" operator="equal">
      <formula>"Incomplete"</formula>
    </cfRule>
    <cfRule type="cellIs" dxfId="58" priority="2" operator="equal">
      <formula>"Flag for Review"</formula>
    </cfRule>
    <cfRule type="cellIs" dxfId="57" priority="3" operator="equal">
      <formula>"Finished"</formula>
    </cfRule>
  </conditionalFormatting>
  <dataValidations count="2">
    <dataValidation type="list" allowBlank="1" showInputMessage="1" showErrorMessage="1" sqref="B1" xr:uid="{E893C6B9-8ACC-4EF7-8712-75A79E229237}">
      <formula1>"Finished, Flag for Review, Incomplete"</formula1>
    </dataValidation>
    <dataValidation type="decimal" allowBlank="1" showInputMessage="1" showErrorMessage="1" sqref="A31" xr:uid="{F3DAB22E-9B46-4BBE-A3EB-49FC64AC14B9}">
      <formula1>0</formula1>
      <formula2>A30</formula2>
    </dataValidation>
  </dataValidations>
  <hyperlinks>
    <hyperlink ref="G1" location="Navigator!A1" display="Navigator" xr:uid="{7A7A9A65-4B89-4F51-A756-D25DE37B6901}"/>
  </hyperlink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517683-E141-42D9-8855-BD9DDED320AC}">
  <sheetPr codeName="Sheet7"/>
  <dimension ref="A1:L33"/>
  <sheetViews>
    <sheetView workbookViewId="0"/>
  </sheetViews>
  <sheetFormatPr defaultColWidth="9.140625" defaultRowHeight="15" x14ac:dyDescent="0.25"/>
  <cols>
    <col min="1" max="1" width="6.5703125" style="3" bestFit="1" customWidth="1"/>
    <col min="2" max="2" width="16" style="3" bestFit="1" customWidth="1"/>
    <col min="3" max="3" width="12.42578125" style="3" bestFit="1" customWidth="1"/>
    <col min="4" max="4" width="14.28515625" style="3" customWidth="1"/>
    <col min="5" max="5" width="19" style="3" customWidth="1"/>
    <col min="6" max="6" width="9.140625" style="3"/>
    <col min="7" max="7" width="15.7109375" style="3" customWidth="1"/>
    <col min="8" max="8" width="3.7109375" style="28" customWidth="1"/>
    <col min="9" max="9" width="9.140625" style="3"/>
    <col min="10" max="10" width="10.42578125" style="3" bestFit="1" customWidth="1"/>
    <col min="11" max="11" width="9.140625" style="3"/>
    <col min="12" max="12" width="15.85546875" style="3" bestFit="1" customWidth="1"/>
    <col min="13" max="16384" width="9.140625" style="3"/>
  </cols>
  <sheetData>
    <row r="1" spans="1:12" ht="15.75" x14ac:dyDescent="0.25">
      <c r="A1" s="80">
        <v>5</v>
      </c>
      <c r="B1" s="78" t="s">
        <v>530</v>
      </c>
      <c r="C1" s="81"/>
      <c r="D1" s="81"/>
      <c r="E1" s="81"/>
      <c r="F1" s="81"/>
      <c r="G1" s="77" t="s">
        <v>529</v>
      </c>
      <c r="I1" s="79" t="s">
        <v>38</v>
      </c>
    </row>
    <row r="2" spans="1:12" x14ac:dyDescent="0.25">
      <c r="A2" s="82"/>
      <c r="B2" s="83"/>
      <c r="C2" s="83"/>
      <c r="D2" s="83"/>
      <c r="E2" s="83"/>
      <c r="F2" s="83"/>
      <c r="G2" s="84"/>
      <c r="H2" s="28" t="s">
        <v>63</v>
      </c>
      <c r="I2" s="3" t="s">
        <v>175</v>
      </c>
    </row>
    <row r="3" spans="1:12" x14ac:dyDescent="0.25">
      <c r="A3" s="85" t="s">
        <v>14</v>
      </c>
      <c r="B3" s="83" t="s">
        <v>162</v>
      </c>
      <c r="C3" s="83"/>
      <c r="D3" s="83"/>
      <c r="E3" s="83"/>
      <c r="F3" s="83"/>
      <c r="G3" s="84"/>
      <c r="I3" s="3" t="s">
        <v>176</v>
      </c>
    </row>
    <row r="4" spans="1:12" x14ac:dyDescent="0.25">
      <c r="A4" s="86">
        <f>INDEX('Point Grid'!B:B,MATCH('5'!A1,'Point Grid'!A:A,0))</f>
        <v>1.5</v>
      </c>
      <c r="B4" s="83" t="s">
        <v>163</v>
      </c>
      <c r="C4" s="83"/>
      <c r="D4" s="83"/>
      <c r="E4" s="83"/>
      <c r="F4" s="83"/>
      <c r="G4" s="84"/>
    </row>
    <row r="5" spans="1:12" x14ac:dyDescent="0.25">
      <c r="A5" s="82"/>
      <c r="B5" s="83" t="s">
        <v>164</v>
      </c>
      <c r="C5" s="119"/>
      <c r="D5" s="119"/>
      <c r="E5" s="83"/>
      <c r="F5" s="83"/>
      <c r="G5" s="84"/>
      <c r="I5" s="3" t="s">
        <v>181</v>
      </c>
    </row>
    <row r="6" spans="1:12" x14ac:dyDescent="0.25">
      <c r="A6" s="82"/>
      <c r="B6" s="120" t="s">
        <v>165</v>
      </c>
      <c r="C6" s="83"/>
      <c r="D6" s="83"/>
      <c r="E6" s="83"/>
      <c r="F6" s="83"/>
      <c r="G6" s="84"/>
      <c r="I6" s="42" t="s">
        <v>167</v>
      </c>
      <c r="J6" s="50" t="s">
        <v>178</v>
      </c>
      <c r="K6" s="50" t="s">
        <v>179</v>
      </c>
      <c r="L6" s="43" t="s">
        <v>180</v>
      </c>
    </row>
    <row r="7" spans="1:12" x14ac:dyDescent="0.25">
      <c r="A7" s="82"/>
      <c r="B7" s="120" t="s">
        <v>166</v>
      </c>
      <c r="C7" s="83"/>
      <c r="D7" s="83"/>
      <c r="E7" s="83"/>
      <c r="F7" s="83"/>
      <c r="G7" s="84"/>
      <c r="I7" s="44">
        <v>1</v>
      </c>
      <c r="J7" s="51">
        <v>1</v>
      </c>
      <c r="K7" s="51">
        <f>C11</f>
        <v>0.55000000000000004</v>
      </c>
      <c r="L7" s="45">
        <f>(J7-K7)^2</f>
        <v>0.20249999999999996</v>
      </c>
    </row>
    <row r="8" spans="1:12" x14ac:dyDescent="0.25">
      <c r="A8" s="82"/>
      <c r="B8" s="120" t="s">
        <v>171</v>
      </c>
      <c r="C8" s="83"/>
      <c r="D8" s="83"/>
      <c r="E8" s="83"/>
      <c r="F8" s="83"/>
      <c r="G8" s="84"/>
      <c r="I8" s="46">
        <v>2</v>
      </c>
      <c r="J8" s="52">
        <v>1</v>
      </c>
      <c r="K8" s="52">
        <f t="shared" ref="K8:K11" si="0">C12</f>
        <v>0.9</v>
      </c>
      <c r="L8" s="47">
        <f t="shared" ref="L8:L11" si="1">(J8-K8)^2</f>
        <v>9.999999999999995E-3</v>
      </c>
    </row>
    <row r="9" spans="1:12" x14ac:dyDescent="0.25">
      <c r="A9" s="82"/>
      <c r="B9" s="121"/>
      <c r="C9" s="83"/>
      <c r="D9" s="83"/>
      <c r="E9" s="83"/>
      <c r="F9" s="83"/>
      <c r="G9" s="84"/>
      <c r="I9" s="46">
        <v>3</v>
      </c>
      <c r="J9" s="52">
        <v>1</v>
      </c>
      <c r="K9" s="52">
        <f t="shared" si="0"/>
        <v>1.1000000000000001</v>
      </c>
      <c r="L9" s="47">
        <f t="shared" si="1"/>
        <v>1.0000000000000018E-2</v>
      </c>
    </row>
    <row r="10" spans="1:12" ht="45" x14ac:dyDescent="0.25">
      <c r="A10" s="82"/>
      <c r="B10" s="87" t="s">
        <v>167</v>
      </c>
      <c r="C10" s="109" t="s">
        <v>168</v>
      </c>
      <c r="D10" s="109" t="s">
        <v>169</v>
      </c>
      <c r="E10" s="89" t="s">
        <v>170</v>
      </c>
      <c r="F10" s="83"/>
      <c r="G10" s="84"/>
      <c r="I10" s="46">
        <v>4</v>
      </c>
      <c r="J10" s="52">
        <v>1</v>
      </c>
      <c r="K10" s="52">
        <f t="shared" si="0"/>
        <v>1.25</v>
      </c>
      <c r="L10" s="47">
        <f t="shared" si="1"/>
        <v>6.25E-2</v>
      </c>
    </row>
    <row r="11" spans="1:12" x14ac:dyDescent="0.25">
      <c r="A11" s="82"/>
      <c r="B11" s="122">
        <v>1</v>
      </c>
      <c r="C11" s="123">
        <v>0.55000000000000004</v>
      </c>
      <c r="D11" s="123">
        <v>0.4</v>
      </c>
      <c r="E11" s="124">
        <v>0.45</v>
      </c>
      <c r="F11" s="83"/>
      <c r="G11" s="84"/>
      <c r="I11" s="48">
        <v>5</v>
      </c>
      <c r="J11" s="53">
        <v>1</v>
      </c>
      <c r="K11" s="53">
        <f t="shared" si="0"/>
        <v>1.5</v>
      </c>
      <c r="L11" s="49">
        <f t="shared" si="1"/>
        <v>0.25</v>
      </c>
    </row>
    <row r="12" spans="1:12" x14ac:dyDescent="0.25">
      <c r="A12" s="82"/>
      <c r="B12" s="125">
        <v>2</v>
      </c>
      <c r="C12" s="126">
        <v>0.9</v>
      </c>
      <c r="D12" s="126">
        <v>0.6</v>
      </c>
      <c r="E12" s="127">
        <v>0.7</v>
      </c>
      <c r="F12" s="83"/>
      <c r="G12" s="84"/>
      <c r="I12" s="3" t="s">
        <v>177</v>
      </c>
      <c r="L12" s="41">
        <f>SUM(L7:L11)</f>
        <v>0.53499999999999992</v>
      </c>
    </row>
    <row r="13" spans="1:12" x14ac:dyDescent="0.25">
      <c r="A13" s="82"/>
      <c r="B13" s="125">
        <v>3</v>
      </c>
      <c r="C13" s="126">
        <v>1.1000000000000001</v>
      </c>
      <c r="D13" s="126">
        <v>1.05</v>
      </c>
      <c r="E13" s="127">
        <v>1.1499999999999999</v>
      </c>
      <c r="F13" s="83"/>
      <c r="G13" s="84"/>
    </row>
    <row r="14" spans="1:12" x14ac:dyDescent="0.25">
      <c r="A14" s="82"/>
      <c r="B14" s="125">
        <v>4</v>
      </c>
      <c r="C14" s="126">
        <v>1.25</v>
      </c>
      <c r="D14" s="126">
        <v>1.5</v>
      </c>
      <c r="E14" s="127">
        <v>1.3</v>
      </c>
      <c r="F14" s="83"/>
      <c r="G14" s="84"/>
      <c r="I14" s="3" t="s">
        <v>182</v>
      </c>
    </row>
    <row r="15" spans="1:12" x14ac:dyDescent="0.25">
      <c r="A15" s="82"/>
      <c r="B15" s="128">
        <v>5</v>
      </c>
      <c r="C15" s="129">
        <v>1.5</v>
      </c>
      <c r="D15" s="129">
        <v>2.5</v>
      </c>
      <c r="E15" s="130">
        <v>1.9</v>
      </c>
      <c r="F15" s="83"/>
      <c r="G15" s="84"/>
      <c r="I15" s="42" t="s">
        <v>167</v>
      </c>
      <c r="J15" s="50" t="s">
        <v>183</v>
      </c>
      <c r="K15" s="50" t="s">
        <v>179</v>
      </c>
      <c r="L15" s="43" t="s">
        <v>180</v>
      </c>
    </row>
    <row r="16" spans="1:12" x14ac:dyDescent="0.25">
      <c r="A16" s="82"/>
      <c r="B16" s="83"/>
      <c r="C16" s="83"/>
      <c r="D16" s="83"/>
      <c r="E16" s="83"/>
      <c r="F16" s="83"/>
      <c r="G16" s="84"/>
      <c r="I16" s="44">
        <v>1</v>
      </c>
      <c r="J16" s="51">
        <f>D11</f>
        <v>0.4</v>
      </c>
      <c r="K16" s="51">
        <f>C11</f>
        <v>0.55000000000000004</v>
      </c>
      <c r="L16" s="45">
        <f>(J16-K16)^2</f>
        <v>2.2500000000000006E-2</v>
      </c>
    </row>
    <row r="17" spans="1:12" x14ac:dyDescent="0.25">
      <c r="A17" s="98" t="s">
        <v>2</v>
      </c>
      <c r="B17" s="83" t="s">
        <v>172</v>
      </c>
      <c r="C17" s="83"/>
      <c r="D17" s="83"/>
      <c r="E17" s="83"/>
      <c r="F17" s="83"/>
      <c r="G17" s="84"/>
      <c r="I17" s="46">
        <v>2</v>
      </c>
      <c r="J17" s="52">
        <f t="shared" ref="J17:J20" si="2">D12</f>
        <v>0.6</v>
      </c>
      <c r="K17" s="52">
        <f t="shared" ref="K17:K20" si="3">C12</f>
        <v>0.9</v>
      </c>
      <c r="L17" s="47">
        <f t="shared" ref="L17:L20" si="4">(J17-K17)^2</f>
        <v>9.0000000000000024E-2</v>
      </c>
    </row>
    <row r="18" spans="1:12" ht="15.75" thickBot="1" x14ac:dyDescent="0.3">
      <c r="A18" s="86">
        <f>INDEX('Point Grid'!$C$8:$I$28,MATCH($A$1,'Point Grid'!$A$8:$A$28,0),MATCH(A17,'Point Grid'!$C$7:$I$7,0))</f>
        <v>1.5</v>
      </c>
      <c r="B18" s="83" t="s">
        <v>174</v>
      </c>
      <c r="C18" s="83"/>
      <c r="D18" s="83"/>
      <c r="E18" s="83"/>
      <c r="F18" s="83"/>
      <c r="G18" s="84"/>
      <c r="I18" s="46">
        <v>3</v>
      </c>
      <c r="J18" s="52">
        <f t="shared" si="2"/>
        <v>1.05</v>
      </c>
      <c r="K18" s="52">
        <f t="shared" si="3"/>
        <v>1.1000000000000001</v>
      </c>
      <c r="L18" s="47">
        <f t="shared" si="4"/>
        <v>2.5000000000000044E-3</v>
      </c>
    </row>
    <row r="19" spans="1:12" ht="15.75" thickBot="1" x14ac:dyDescent="0.3">
      <c r="A19" s="4">
        <v>1.5</v>
      </c>
      <c r="B19" s="100" t="s">
        <v>173</v>
      </c>
      <c r="C19" s="100"/>
      <c r="D19" s="100"/>
      <c r="E19" s="100"/>
      <c r="F19" s="100"/>
      <c r="G19" s="101"/>
      <c r="I19" s="46">
        <v>4</v>
      </c>
      <c r="J19" s="52">
        <f t="shared" si="2"/>
        <v>1.5</v>
      </c>
      <c r="K19" s="52">
        <f t="shared" si="3"/>
        <v>1.25</v>
      </c>
      <c r="L19" s="47">
        <f t="shared" si="4"/>
        <v>6.25E-2</v>
      </c>
    </row>
    <row r="20" spans="1:12" x14ac:dyDescent="0.25">
      <c r="I20" s="48">
        <v>5</v>
      </c>
      <c r="J20" s="53">
        <f t="shared" si="2"/>
        <v>2.5</v>
      </c>
      <c r="K20" s="53">
        <f t="shared" si="3"/>
        <v>1.5</v>
      </c>
      <c r="L20" s="49">
        <f t="shared" si="4"/>
        <v>1</v>
      </c>
    </row>
    <row r="21" spans="1:12" x14ac:dyDescent="0.25">
      <c r="I21" s="3" t="s">
        <v>184</v>
      </c>
      <c r="L21" s="3">
        <f>SUM(L16:L20)</f>
        <v>1.1775</v>
      </c>
    </row>
    <row r="23" spans="1:12" x14ac:dyDescent="0.25">
      <c r="I23" s="3" t="s">
        <v>185</v>
      </c>
    </row>
    <row r="24" spans="1:12" x14ac:dyDescent="0.25">
      <c r="I24" s="42" t="s">
        <v>167</v>
      </c>
      <c r="J24" s="50" t="s">
        <v>186</v>
      </c>
      <c r="K24" s="50" t="s">
        <v>179</v>
      </c>
      <c r="L24" s="43" t="s">
        <v>180</v>
      </c>
    </row>
    <row r="25" spans="1:12" x14ac:dyDescent="0.25">
      <c r="I25" s="44">
        <v>1</v>
      </c>
      <c r="J25" s="51">
        <f>E11</f>
        <v>0.45</v>
      </c>
      <c r="K25" s="51">
        <f>C11</f>
        <v>0.55000000000000004</v>
      </c>
      <c r="L25" s="45">
        <f>(J25-K25)^2</f>
        <v>1.0000000000000007E-2</v>
      </c>
    </row>
    <row r="26" spans="1:12" x14ac:dyDescent="0.25">
      <c r="I26" s="46">
        <v>2</v>
      </c>
      <c r="J26" s="52">
        <f t="shared" ref="J26:J29" si="5">E12</f>
        <v>0.7</v>
      </c>
      <c r="K26" s="52">
        <f t="shared" ref="K26:K29" si="6">C12</f>
        <v>0.9</v>
      </c>
      <c r="L26" s="47">
        <f t="shared" ref="L26:L29" si="7">(J26-K26)^2</f>
        <v>4.0000000000000029E-2</v>
      </c>
    </row>
    <row r="27" spans="1:12" x14ac:dyDescent="0.25">
      <c r="I27" s="46">
        <v>3</v>
      </c>
      <c r="J27" s="52">
        <f t="shared" si="5"/>
        <v>1.1499999999999999</v>
      </c>
      <c r="K27" s="52">
        <f t="shared" si="6"/>
        <v>1.1000000000000001</v>
      </c>
      <c r="L27" s="47">
        <f t="shared" si="7"/>
        <v>2.4999999999999823E-3</v>
      </c>
    </row>
    <row r="28" spans="1:12" x14ac:dyDescent="0.25">
      <c r="I28" s="46">
        <v>4</v>
      </c>
      <c r="J28" s="52">
        <f t="shared" si="5"/>
        <v>1.3</v>
      </c>
      <c r="K28" s="52">
        <f t="shared" si="6"/>
        <v>1.25</v>
      </c>
      <c r="L28" s="47">
        <f t="shared" si="7"/>
        <v>2.5000000000000044E-3</v>
      </c>
    </row>
    <row r="29" spans="1:12" x14ac:dyDescent="0.25">
      <c r="I29" s="48">
        <v>5</v>
      </c>
      <c r="J29" s="53">
        <f t="shared" si="5"/>
        <v>1.9</v>
      </c>
      <c r="K29" s="53">
        <f t="shared" si="6"/>
        <v>1.5</v>
      </c>
      <c r="L29" s="49">
        <f t="shared" si="7"/>
        <v>0.15999999999999992</v>
      </c>
    </row>
    <row r="30" spans="1:12" x14ac:dyDescent="0.25">
      <c r="I30" s="3" t="s">
        <v>187</v>
      </c>
      <c r="L30" s="41">
        <f>SUM(L25:L29)</f>
        <v>0.21499999999999994</v>
      </c>
    </row>
    <row r="32" spans="1:12" x14ac:dyDescent="0.25">
      <c r="I32" s="3" t="s">
        <v>188</v>
      </c>
    </row>
    <row r="33" spans="9:9" x14ac:dyDescent="0.25">
      <c r="I33" s="3" t="s">
        <v>189</v>
      </c>
    </row>
  </sheetData>
  <sheetProtection formatCells="0" formatColumns="0" formatRows="0"/>
  <conditionalFormatting sqref="B1">
    <cfRule type="cellIs" dxfId="56" priority="1" operator="equal">
      <formula>"Incomplete"</formula>
    </cfRule>
    <cfRule type="cellIs" dxfId="55" priority="2" operator="equal">
      <formula>"Flag for Review"</formula>
    </cfRule>
    <cfRule type="cellIs" dxfId="54" priority="3" operator="equal">
      <formula>"Finished"</formula>
    </cfRule>
  </conditionalFormatting>
  <dataValidations count="2">
    <dataValidation type="decimal" allowBlank="1" showInputMessage="1" showErrorMessage="1" sqref="A19" xr:uid="{6A0C24B5-3699-487B-AA51-D4864B33CB31}">
      <formula1>0</formula1>
      <formula2>A18</formula2>
    </dataValidation>
    <dataValidation type="list" allowBlank="1" showInputMessage="1" showErrorMessage="1" sqref="B1" xr:uid="{1B3C0B11-8266-419A-A07A-919E45E78D0E}">
      <formula1>"Finished, Flag for Review, Incomplete"</formula1>
    </dataValidation>
  </dataValidations>
  <hyperlinks>
    <hyperlink ref="G1" location="Navigator!A1" display="Navigator" xr:uid="{9085A111-8DEB-4EA4-9D38-9A86E49B8778}"/>
  </hyperlink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BC5AA1-B590-4E58-9C3A-F9E498CB5D9F}">
  <sheetPr codeName="Sheet8"/>
  <dimension ref="A1:L27"/>
  <sheetViews>
    <sheetView workbookViewId="0"/>
  </sheetViews>
  <sheetFormatPr defaultRowHeight="15" x14ac:dyDescent="0.25"/>
  <cols>
    <col min="2" max="2" width="16.85546875" customWidth="1"/>
    <col min="10" max="10" width="3.42578125" bestFit="1" customWidth="1"/>
  </cols>
  <sheetData>
    <row r="1" spans="1:12" ht="15.75" x14ac:dyDescent="0.25">
      <c r="A1" s="80">
        <v>6</v>
      </c>
      <c r="B1" s="78" t="s">
        <v>530</v>
      </c>
      <c r="C1" s="81"/>
      <c r="D1" s="81"/>
      <c r="E1" s="81"/>
      <c r="F1" s="81"/>
      <c r="G1" s="81"/>
      <c r="H1" s="81"/>
      <c r="I1" s="77" t="s">
        <v>529</v>
      </c>
      <c r="J1" s="28"/>
      <c r="K1" s="79" t="s">
        <v>38</v>
      </c>
    </row>
    <row r="2" spans="1:12" x14ac:dyDescent="0.25">
      <c r="A2" s="82"/>
      <c r="B2" s="83"/>
      <c r="C2" s="83"/>
      <c r="D2" s="83"/>
      <c r="E2" s="83"/>
      <c r="F2" s="83"/>
      <c r="G2" s="83"/>
      <c r="H2" s="83"/>
      <c r="I2" s="84"/>
      <c r="J2" s="28" t="s">
        <v>63</v>
      </c>
      <c r="K2" s="3" t="s">
        <v>558</v>
      </c>
    </row>
    <row r="3" spans="1:12" x14ac:dyDescent="0.25">
      <c r="A3" s="85" t="s">
        <v>14</v>
      </c>
      <c r="B3" s="83" t="s">
        <v>554</v>
      </c>
      <c r="C3" s="83"/>
      <c r="D3" s="83"/>
      <c r="E3" s="83"/>
      <c r="F3" s="83"/>
      <c r="G3" s="83"/>
      <c r="H3" s="83"/>
      <c r="I3" s="84"/>
      <c r="J3" s="28"/>
      <c r="K3" s="3" t="s">
        <v>559</v>
      </c>
    </row>
    <row r="4" spans="1:12" x14ac:dyDescent="0.25">
      <c r="A4" s="82"/>
      <c r="B4" s="83" t="s">
        <v>555</v>
      </c>
      <c r="C4" s="83"/>
      <c r="D4" s="83"/>
      <c r="E4" s="83"/>
      <c r="F4" s="83"/>
      <c r="G4" s="83"/>
      <c r="H4" s="83"/>
      <c r="I4" s="84"/>
    </row>
    <row r="5" spans="1:12" x14ac:dyDescent="0.25">
      <c r="A5" s="82"/>
      <c r="B5" s="83"/>
      <c r="C5" s="83"/>
      <c r="D5" s="83"/>
      <c r="E5" s="83"/>
      <c r="F5" s="83"/>
      <c r="G5" s="83"/>
      <c r="H5" s="83"/>
      <c r="I5" s="84"/>
      <c r="K5" t="s">
        <v>560</v>
      </c>
    </row>
    <row r="6" spans="1:12" x14ac:dyDescent="0.25">
      <c r="A6" s="82"/>
      <c r="B6" s="83" t="s">
        <v>561</v>
      </c>
      <c r="C6" s="83"/>
      <c r="D6" s="83"/>
      <c r="E6" s="83"/>
      <c r="F6" s="83"/>
      <c r="G6" s="83"/>
      <c r="H6" s="83"/>
      <c r="I6" s="84"/>
    </row>
    <row r="7" spans="1:12" x14ac:dyDescent="0.25">
      <c r="A7" s="82"/>
      <c r="B7" s="83" t="s">
        <v>566</v>
      </c>
      <c r="C7" s="83"/>
      <c r="D7" s="83"/>
      <c r="E7" s="83"/>
      <c r="F7" s="83"/>
      <c r="G7" s="83"/>
      <c r="H7" s="83"/>
      <c r="I7" s="84"/>
      <c r="K7" t="s">
        <v>562</v>
      </c>
    </row>
    <row r="8" spans="1:12" x14ac:dyDescent="0.25">
      <c r="A8" s="82"/>
      <c r="B8" s="83"/>
      <c r="C8" s="83"/>
      <c r="D8" s="83"/>
      <c r="E8" s="83"/>
      <c r="F8" s="83"/>
      <c r="G8" s="83"/>
      <c r="H8" s="83"/>
      <c r="I8" s="84"/>
    </row>
    <row r="9" spans="1:12" x14ac:dyDescent="0.25">
      <c r="A9" s="82"/>
      <c r="B9" s="186">
        <v>5000</v>
      </c>
      <c r="C9" s="102" t="s">
        <v>556</v>
      </c>
      <c r="D9" s="102"/>
      <c r="E9" s="102"/>
      <c r="F9" s="185"/>
      <c r="G9" s="83"/>
      <c r="H9" s="83"/>
      <c r="I9" s="84"/>
      <c r="K9" t="s">
        <v>563</v>
      </c>
    </row>
    <row r="10" spans="1:12" x14ac:dyDescent="0.25">
      <c r="A10" s="82"/>
      <c r="B10" s="83"/>
      <c r="C10" s="83"/>
      <c r="D10" s="83"/>
      <c r="E10" s="83"/>
      <c r="F10" s="83"/>
      <c r="G10" s="83"/>
      <c r="H10" s="83"/>
      <c r="I10" s="84"/>
    </row>
    <row r="11" spans="1:12" x14ac:dyDescent="0.25">
      <c r="A11" s="98" t="s">
        <v>2</v>
      </c>
      <c r="B11" s="83" t="s">
        <v>557</v>
      </c>
      <c r="C11" s="83"/>
      <c r="D11" s="83"/>
      <c r="E11" s="83"/>
      <c r="F11" s="83"/>
      <c r="G11" s="83"/>
      <c r="H11" s="83"/>
      <c r="I11" s="84"/>
      <c r="K11" t="s">
        <v>567</v>
      </c>
    </row>
    <row r="12" spans="1:12" ht="15.75" thickBot="1" x14ac:dyDescent="0.3">
      <c r="A12" s="86">
        <f>INDEX('Point Grid'!$C$8:$I$28,MATCH($A$1,'Point Grid'!$A$8:$A$28,0),MATCH(A11,'Point Grid'!$C$7:$I$7,0))</f>
        <v>1.5</v>
      </c>
      <c r="B12" s="83"/>
      <c r="C12" s="83"/>
      <c r="D12" s="83"/>
      <c r="E12" s="83"/>
      <c r="F12" s="83"/>
      <c r="G12" s="83"/>
      <c r="H12" s="83"/>
      <c r="I12" s="84"/>
      <c r="K12" t="s">
        <v>564</v>
      </c>
      <c r="L12">
        <f>LN(B9)</f>
        <v>8.5171931914162382</v>
      </c>
    </row>
    <row r="13" spans="1:12" ht="15.75" thickBot="1" x14ac:dyDescent="0.3">
      <c r="A13" s="4">
        <v>1.5</v>
      </c>
      <c r="B13" s="83"/>
      <c r="C13" s="83"/>
      <c r="D13" s="83"/>
      <c r="E13" s="83"/>
      <c r="F13" s="83"/>
      <c r="G13" s="83"/>
      <c r="H13" s="83"/>
      <c r="I13" s="84"/>
    </row>
    <row r="14" spans="1:12" x14ac:dyDescent="0.25">
      <c r="A14" s="82"/>
      <c r="B14" s="83"/>
      <c r="C14" s="83"/>
      <c r="D14" s="83"/>
      <c r="E14" s="83"/>
      <c r="F14" s="83"/>
      <c r="G14" s="83"/>
      <c r="H14" s="83"/>
      <c r="I14" s="84"/>
      <c r="K14" t="s">
        <v>565</v>
      </c>
      <c r="L14">
        <f>100/(L12-2)</f>
        <v>15.344028796278357</v>
      </c>
    </row>
    <row r="15" spans="1:12" x14ac:dyDescent="0.25">
      <c r="A15" s="82"/>
      <c r="B15" s="83" t="s">
        <v>568</v>
      </c>
      <c r="C15" s="83"/>
      <c r="D15" s="83"/>
      <c r="E15" s="83"/>
      <c r="F15" s="83"/>
      <c r="G15" s="83"/>
      <c r="H15" s="83"/>
      <c r="I15" s="84"/>
    </row>
    <row r="16" spans="1:12" x14ac:dyDescent="0.25">
      <c r="A16" s="82"/>
      <c r="B16" s="83" t="s">
        <v>569</v>
      </c>
      <c r="C16" s="83"/>
      <c r="D16" s="83"/>
      <c r="E16" s="83"/>
      <c r="F16" s="83"/>
      <c r="G16" s="83"/>
      <c r="H16" s="83"/>
      <c r="I16" s="84"/>
      <c r="K16" t="s">
        <v>572</v>
      </c>
    </row>
    <row r="17" spans="1:11" x14ac:dyDescent="0.25">
      <c r="A17" s="98" t="s">
        <v>3</v>
      </c>
      <c r="B17" s="83" t="s">
        <v>570</v>
      </c>
      <c r="C17" s="83"/>
      <c r="D17" s="83"/>
      <c r="E17" s="83"/>
      <c r="F17" s="83"/>
      <c r="G17" s="83"/>
      <c r="H17" s="83"/>
      <c r="I17" s="84"/>
      <c r="K17" t="s">
        <v>573</v>
      </c>
    </row>
    <row r="18" spans="1:11" ht="15.75" thickBot="1" x14ac:dyDescent="0.3">
      <c r="A18" s="86">
        <f>INDEX('Point Grid'!$C$8:$I$28,MATCH($A$1,'Point Grid'!$A$8:$A$28,0),MATCH(A17,'Point Grid'!$C$7:$I$7,0))</f>
        <v>0.25</v>
      </c>
      <c r="B18" s="83" t="s">
        <v>571</v>
      </c>
      <c r="C18" s="83"/>
      <c r="D18" s="83"/>
      <c r="E18" s="83"/>
      <c r="F18" s="83"/>
      <c r="G18" s="83"/>
      <c r="H18" s="83"/>
      <c r="I18" s="84"/>
    </row>
    <row r="19" spans="1:11" ht="15.75" thickBot="1" x14ac:dyDescent="0.3">
      <c r="A19" s="4">
        <v>0.25</v>
      </c>
      <c r="B19" s="83"/>
      <c r="C19" s="83"/>
      <c r="D19" s="83"/>
      <c r="E19" s="83"/>
      <c r="F19" s="83"/>
      <c r="G19" s="83"/>
      <c r="H19" s="83"/>
      <c r="I19" s="84"/>
      <c r="J19" t="s">
        <v>84</v>
      </c>
      <c r="K19" t="s">
        <v>574</v>
      </c>
    </row>
    <row r="20" spans="1:11" x14ac:dyDescent="0.25">
      <c r="A20" s="82"/>
      <c r="B20" s="83"/>
      <c r="C20" s="83"/>
      <c r="D20" s="83"/>
      <c r="E20" s="83"/>
      <c r="F20" s="83"/>
      <c r="G20" s="83"/>
      <c r="H20" s="83"/>
      <c r="I20" s="84"/>
    </row>
    <row r="21" spans="1:11" x14ac:dyDescent="0.25">
      <c r="A21" s="82"/>
      <c r="B21" s="83" t="s">
        <v>575</v>
      </c>
      <c r="C21" s="83"/>
      <c r="D21" s="83"/>
      <c r="E21" s="83"/>
      <c r="F21" s="83"/>
      <c r="G21" s="83"/>
      <c r="H21" s="83"/>
      <c r="I21" s="84"/>
      <c r="J21" t="s">
        <v>328</v>
      </c>
      <c r="K21" t="s">
        <v>578</v>
      </c>
    </row>
    <row r="22" spans="1:11" x14ac:dyDescent="0.25">
      <c r="A22" s="82"/>
      <c r="B22" s="83" t="s">
        <v>576</v>
      </c>
      <c r="C22" s="83"/>
      <c r="D22" s="83"/>
      <c r="E22" s="83"/>
      <c r="F22" s="83"/>
      <c r="G22" s="83"/>
      <c r="H22" s="83"/>
      <c r="I22" s="84"/>
      <c r="K22" t="s">
        <v>579</v>
      </c>
    </row>
    <row r="23" spans="1:11" x14ac:dyDescent="0.25">
      <c r="A23" s="82"/>
      <c r="B23" s="83" t="s">
        <v>577</v>
      </c>
      <c r="C23" s="83"/>
      <c r="D23" s="83"/>
      <c r="E23" s="83"/>
      <c r="F23" s="83"/>
      <c r="G23" s="83"/>
      <c r="H23" s="83"/>
      <c r="I23" s="84"/>
      <c r="K23" t="s">
        <v>582</v>
      </c>
    </row>
    <row r="24" spans="1:11" x14ac:dyDescent="0.25">
      <c r="A24" s="82"/>
      <c r="B24" s="83"/>
      <c r="C24" s="83"/>
      <c r="D24" s="83"/>
      <c r="E24" s="83"/>
      <c r="F24" s="83"/>
      <c r="G24" s="83"/>
      <c r="H24" s="83"/>
      <c r="I24" s="84"/>
      <c r="K24" t="s">
        <v>583</v>
      </c>
    </row>
    <row r="25" spans="1:11" x14ac:dyDescent="0.25">
      <c r="A25" s="98" t="s">
        <v>4</v>
      </c>
      <c r="B25" s="83" t="s">
        <v>580</v>
      </c>
      <c r="C25" s="83"/>
      <c r="D25" s="83"/>
      <c r="E25" s="83"/>
      <c r="F25" s="83"/>
      <c r="G25" s="83"/>
      <c r="H25" s="83"/>
      <c r="I25" s="84"/>
      <c r="K25" t="s">
        <v>584</v>
      </c>
    </row>
    <row r="26" spans="1:11" ht="15.75" thickBot="1" x14ac:dyDescent="0.3">
      <c r="A26" s="86">
        <f>INDEX('Point Grid'!$C$8:$I$28,MATCH($A$1,'Point Grid'!$A$8:$A$28,0),MATCH(A25,'Point Grid'!$C$7:$I$7,0))</f>
        <v>1</v>
      </c>
      <c r="B26" s="83" t="s">
        <v>581</v>
      </c>
      <c r="C26" s="83"/>
      <c r="D26" s="83"/>
      <c r="E26" s="83"/>
      <c r="F26" s="83"/>
      <c r="G26" s="83"/>
      <c r="H26" s="83"/>
      <c r="I26" s="84"/>
    </row>
    <row r="27" spans="1:11" ht="15.75" thickBot="1" x14ac:dyDescent="0.3">
      <c r="A27" s="4">
        <v>1</v>
      </c>
      <c r="B27" s="100"/>
      <c r="C27" s="100"/>
      <c r="D27" s="100"/>
      <c r="E27" s="100"/>
      <c r="F27" s="100"/>
      <c r="G27" s="100"/>
      <c r="H27" s="100"/>
      <c r="I27" s="101"/>
    </row>
  </sheetData>
  <conditionalFormatting sqref="B1">
    <cfRule type="cellIs" dxfId="53" priority="1" operator="equal">
      <formula>"Incomplete"</formula>
    </cfRule>
    <cfRule type="cellIs" dxfId="52" priority="2" operator="equal">
      <formula>"Flag for Review"</formula>
    </cfRule>
    <cfRule type="cellIs" dxfId="51" priority="3" operator="equal">
      <formula>"Finished"</formula>
    </cfRule>
  </conditionalFormatting>
  <dataValidations count="2">
    <dataValidation type="list" allowBlank="1" showInputMessage="1" showErrorMessage="1" sqref="B1" xr:uid="{A7F6BA72-DBF9-4D65-8C56-A9F986DEA640}">
      <formula1>"Finished, Flag for Review, Incomplete"</formula1>
    </dataValidation>
    <dataValidation type="decimal" allowBlank="1" showInputMessage="1" showErrorMessage="1" sqref="A13 A19 A27" xr:uid="{17A9C4F7-B42E-4098-9943-1E636D64CD26}">
      <formula1>0</formula1>
      <formula2>A12</formula2>
    </dataValidation>
  </dataValidations>
  <hyperlinks>
    <hyperlink ref="I1" location="Navigator!A1" display="Navigator" xr:uid="{1F8FA352-EAFF-4214-AD1E-B2DB05FD22B3}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26</vt:i4>
      </vt:variant>
    </vt:vector>
  </HeadingPairs>
  <TitlesOfParts>
    <vt:vector size="26" baseType="lpstr">
      <vt:lpstr>Instructions</vt:lpstr>
      <vt:lpstr>Point Grid</vt:lpstr>
      <vt:lpstr>Navigator</vt:lpstr>
      <vt:lpstr>1</vt:lpstr>
      <vt:lpstr>2</vt:lpstr>
      <vt:lpstr>3</vt:lpstr>
      <vt:lpstr>4</vt:lpstr>
      <vt:lpstr>5</vt:lpstr>
      <vt:lpstr>6</vt:lpstr>
      <vt:lpstr>7</vt:lpstr>
      <vt:lpstr>8</vt:lpstr>
      <vt:lpstr>9</vt:lpstr>
      <vt:lpstr>10</vt:lpstr>
      <vt:lpstr>11</vt:lpstr>
      <vt:lpstr>12</vt:lpstr>
      <vt:lpstr>13</vt:lpstr>
      <vt:lpstr>14</vt:lpstr>
      <vt:lpstr>15</vt:lpstr>
      <vt:lpstr>16</vt:lpstr>
      <vt:lpstr>17</vt:lpstr>
      <vt:lpstr>18</vt:lpstr>
      <vt:lpstr>19</vt:lpstr>
      <vt:lpstr>20</vt:lpstr>
      <vt:lpstr>21</vt:lpstr>
      <vt:lpstr>22</vt:lpstr>
      <vt:lpstr>23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Jonathan</dc:creator>
  <cp:lastModifiedBy>Jonathan Constable</cp:lastModifiedBy>
  <dcterms:created xsi:type="dcterms:W3CDTF">2020-12-22T11:57:29Z</dcterms:created>
  <dcterms:modified xsi:type="dcterms:W3CDTF">2025-09-16T11:24:32Z</dcterms:modified>
</cp:coreProperties>
</file>