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onathan\Documents\BattleActs\Exam 8\Excel Files\"/>
    </mc:Choice>
  </mc:AlternateContent>
  <xr:revisionPtr revIDLastSave="0" documentId="13_ncr:1_{0E978F30-C56B-41E8-A23E-076CD601E2EE}" xr6:coauthVersionLast="47" xr6:coauthVersionMax="47" xr10:uidLastSave="{00000000-0000-0000-0000-000000000000}"/>
  <bookViews>
    <workbookView xWindow="-120" yWindow="-120" windowWidth="29040" windowHeight="15840" tabRatio="680" xr2:uid="{54437323-BBA6-4BBB-B712-50207489947E}"/>
  </bookViews>
  <sheets>
    <sheet name="Instructions" sheetId="3" r:id="rId1"/>
    <sheet name="Point Grid" sheetId="1" r:id="rId2"/>
    <sheet name="Navigator" sheetId="23" r:id="rId3"/>
    <sheet name="1" sheetId="2" r:id="rId4"/>
    <sheet name="2" sheetId="4" r:id="rId5"/>
    <sheet name="3" sheetId="5" r:id="rId6"/>
    <sheet name="4" sheetId="6" r:id="rId7"/>
    <sheet name="5" sheetId="7" r:id="rId8"/>
    <sheet name="6" sheetId="8" r:id="rId9"/>
    <sheet name="7" sheetId="26" r:id="rId10"/>
    <sheet name="8" sheetId="10" r:id="rId11"/>
    <sheet name="9" sheetId="11" r:id="rId12"/>
    <sheet name="10" sheetId="12" r:id="rId13"/>
    <sheet name="11" sheetId="13" r:id="rId14"/>
    <sheet name="12" sheetId="14" r:id="rId15"/>
    <sheet name="13" sheetId="15" r:id="rId16"/>
    <sheet name="14" sheetId="16" r:id="rId17"/>
    <sheet name="15" sheetId="17" r:id="rId18"/>
    <sheet name="16" sheetId="18" r:id="rId19"/>
    <sheet name="17" sheetId="19" r:id="rId20"/>
    <sheet name="18" sheetId="20" r:id="rId21"/>
    <sheet name="19" sheetId="21" r:id="rId22"/>
    <sheet name="20" sheetId="25" r:id="rId23"/>
    <sheet name="21" sheetId="27" r:id="rId24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0" i="1" l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L28" i="1" s="1"/>
  <c r="A9" i="1"/>
  <c r="B28" i="1"/>
  <c r="B30" i="1" s="1"/>
  <c r="A1" i="27"/>
  <c r="A4" i="27" s="1"/>
  <c r="S20" i="26"/>
  <c r="S19" i="26"/>
  <c r="S16" i="26"/>
  <c r="S15" i="26"/>
  <c r="J28" i="1"/>
  <c r="A45" i="27" l="1"/>
  <c r="A36" i="27"/>
  <c r="A10" i="27"/>
  <c r="H29" i="23"/>
  <c r="J3" i="7"/>
  <c r="O28" i="1"/>
  <c r="P28" i="1"/>
  <c r="Q28" i="1"/>
  <c r="M28" i="1"/>
  <c r="S28" i="1"/>
  <c r="R28" i="1"/>
  <c r="N28" i="1"/>
  <c r="L62" i="2" l="1"/>
  <c r="M15" i="21"/>
  <c r="M16" i="21"/>
  <c r="M17" i="21"/>
  <c r="M18" i="21"/>
  <c r="M19" i="21"/>
  <c r="M20" i="21"/>
  <c r="M14" i="21"/>
  <c r="M7" i="21"/>
  <c r="M8" i="21"/>
  <c r="M9" i="21"/>
  <c r="M10" i="21"/>
  <c r="M11" i="21"/>
  <c r="M12" i="21"/>
  <c r="M13" i="21"/>
  <c r="M6" i="21"/>
  <c r="L15" i="21"/>
  <c r="L16" i="21"/>
  <c r="L17" i="21"/>
  <c r="L18" i="21"/>
  <c r="L19" i="21"/>
  <c r="L20" i="21"/>
  <c r="L14" i="21"/>
  <c r="L7" i="21"/>
  <c r="L8" i="21"/>
  <c r="L9" i="21"/>
  <c r="L10" i="21"/>
  <c r="L11" i="21"/>
  <c r="L12" i="21"/>
  <c r="L13" i="21"/>
  <c r="L6" i="21"/>
  <c r="N15" i="21"/>
  <c r="N16" i="21"/>
  <c r="N17" i="21"/>
  <c r="N18" i="21"/>
  <c r="N19" i="21"/>
  <c r="N20" i="21"/>
  <c r="N14" i="21"/>
  <c r="N7" i="21"/>
  <c r="N8" i="21"/>
  <c r="N9" i="21"/>
  <c r="N10" i="21"/>
  <c r="N11" i="21"/>
  <c r="N12" i="21"/>
  <c r="N13" i="21"/>
  <c r="N6" i="21"/>
  <c r="L23" i="21"/>
  <c r="K23" i="20"/>
  <c r="K22" i="20"/>
  <c r="L20" i="20"/>
  <c r="K18" i="20"/>
  <c r="K17" i="20"/>
  <c r="K16" i="20"/>
  <c r="K14" i="20"/>
  <c r="K13" i="20"/>
  <c r="K12" i="20"/>
  <c r="K11" i="20"/>
  <c r="K10" i="20"/>
  <c r="K9" i="20"/>
  <c r="K8" i="20"/>
  <c r="J5" i="20"/>
  <c r="N21" i="21" l="1"/>
  <c r="N25" i="21" s="1"/>
  <c r="M21" i="21"/>
  <c r="M25" i="21" s="1"/>
  <c r="L21" i="21"/>
  <c r="L25" i="21" s="1"/>
  <c r="L10" i="20"/>
  <c r="L13" i="20"/>
  <c r="L9" i="20"/>
  <c r="L8" i="20"/>
  <c r="M9" i="20" s="1"/>
  <c r="N8" i="20" s="1"/>
  <c r="O8" i="20" s="1"/>
  <c r="L14" i="20"/>
  <c r="M14" i="20" s="1"/>
  <c r="N13" i="20" s="1"/>
  <c r="L12" i="20"/>
  <c r="L11" i="20"/>
  <c r="M12" i="20" l="1"/>
  <c r="N11" i="20" s="1"/>
  <c r="M11" i="20"/>
  <c r="N10" i="20" s="1"/>
  <c r="O10" i="20" s="1"/>
  <c r="P10" i="20" s="1"/>
  <c r="M10" i="20"/>
  <c r="N9" i="20" s="1"/>
  <c r="O9" i="20" s="1"/>
  <c r="P9" i="20" s="1"/>
  <c r="O14" i="20"/>
  <c r="P14" i="20" s="1"/>
  <c r="M13" i="20"/>
  <c r="N12" i="20" s="1"/>
  <c r="O11" i="20" l="1"/>
  <c r="P11" i="20" s="1"/>
  <c r="O12" i="20"/>
  <c r="P12" i="20" s="1"/>
  <c r="O13" i="20"/>
  <c r="P13" i="20" s="1"/>
  <c r="J64" i="12"/>
  <c r="Y18" i="26" l="1"/>
  <c r="Y17" i="26"/>
  <c r="Y16" i="26"/>
  <c r="U20" i="26"/>
  <c r="Y20" i="26" s="1"/>
  <c r="U19" i="26"/>
  <c r="Y19" i="26" s="1"/>
  <c r="U18" i="26"/>
  <c r="U17" i="26"/>
  <c r="U16" i="26"/>
  <c r="U15" i="26"/>
  <c r="Y15" i="26" s="1"/>
  <c r="T20" i="26"/>
  <c r="T19" i="26"/>
  <c r="T18" i="26"/>
  <c r="T17" i="26"/>
  <c r="T16" i="26"/>
  <c r="T15" i="26"/>
  <c r="S18" i="26"/>
  <c r="S17" i="26"/>
  <c r="Q20" i="26"/>
  <c r="Q19" i="26"/>
  <c r="Q18" i="26"/>
  <c r="Q17" i="26"/>
  <c r="Q16" i="26"/>
  <c r="Q15" i="26"/>
  <c r="A1" i="26"/>
  <c r="A30" i="26" s="1"/>
  <c r="B22" i="26"/>
  <c r="N19" i="26" s="1"/>
  <c r="B21" i="26"/>
  <c r="N17" i="26" s="1"/>
  <c r="B20" i="26"/>
  <c r="N15" i="26" s="1"/>
  <c r="B19" i="26"/>
  <c r="N10" i="26" s="1"/>
  <c r="B5" i="26"/>
  <c r="Y21" i="26" l="1"/>
  <c r="N20" i="26"/>
  <c r="N9" i="26" s="1"/>
  <c r="N18" i="26"/>
  <c r="N16" i="26"/>
  <c r="A26" i="26"/>
  <c r="A1" i="25"/>
  <c r="A1" i="21"/>
  <c r="A1" i="20"/>
  <c r="A27" i="20" s="1"/>
  <c r="A1" i="19"/>
  <c r="A1" i="18"/>
  <c r="A1" i="17"/>
  <c r="A1" i="16"/>
  <c r="A1" i="15"/>
  <c r="A1" i="14"/>
  <c r="A1" i="13"/>
  <c r="A1" i="12"/>
  <c r="A56" i="12" s="1"/>
  <c r="A1" i="11"/>
  <c r="A1" i="10"/>
  <c r="A1" i="8"/>
  <c r="A1" i="7"/>
  <c r="A1" i="6"/>
  <c r="A1" i="5"/>
  <c r="A1" i="4"/>
  <c r="A29" i="4" s="1"/>
  <c r="A1" i="2"/>
  <c r="A13" i="25" l="1"/>
  <c r="A4" i="25"/>
  <c r="A21" i="25"/>
  <c r="A25" i="25"/>
  <c r="A17" i="25"/>
  <c r="A26" i="21"/>
  <c r="A30" i="21"/>
  <c r="K30" i="25"/>
  <c r="M17" i="25"/>
  <c r="K17" i="25"/>
  <c r="L17" i="25" s="1"/>
  <c r="K31" i="25" s="1"/>
  <c r="N33" i="25" s="1"/>
  <c r="P37" i="25" s="1"/>
  <c r="M16" i="25"/>
  <c r="K16" i="25"/>
  <c r="L16" i="25" s="1"/>
  <c r="K9" i="25"/>
  <c r="L5" i="25"/>
  <c r="L4" i="25"/>
  <c r="M11" i="25" s="1"/>
  <c r="J14" i="7"/>
  <c r="J7" i="7"/>
  <c r="L39" i="2"/>
  <c r="M39" i="2" s="1"/>
  <c r="L40" i="2"/>
  <c r="L41" i="2"/>
  <c r="L42" i="2"/>
  <c r="L43" i="2"/>
  <c r="L44" i="2"/>
  <c r="L45" i="2"/>
  <c r="L8" i="2"/>
  <c r="A52" i="2"/>
  <c r="K39" i="2"/>
  <c r="M19" i="25" l="1"/>
  <c r="L21" i="25" s="1"/>
  <c r="P39" i="25" s="1"/>
  <c r="N41" i="25" s="1"/>
  <c r="P44" i="25" s="1"/>
  <c r="M40" i="2"/>
  <c r="M41" i="2"/>
  <c r="M42" i="2"/>
  <c r="M43" i="2"/>
  <c r="M44" i="2"/>
  <c r="K37" i="2"/>
  <c r="K38" i="2"/>
  <c r="K40" i="2"/>
  <c r="K41" i="2"/>
  <c r="K42" i="2"/>
  <c r="K43" i="2"/>
  <c r="K44" i="2"/>
  <c r="K45" i="2"/>
  <c r="K36" i="2"/>
  <c r="J37" i="2"/>
  <c r="J38" i="2"/>
  <c r="J39" i="2"/>
  <c r="J40" i="2"/>
  <c r="J41" i="2"/>
  <c r="J42" i="2"/>
  <c r="J43" i="2"/>
  <c r="J44" i="2"/>
  <c r="J45" i="2"/>
  <c r="J36" i="2"/>
  <c r="A48" i="2"/>
  <c r="J27" i="2"/>
  <c r="L24" i="2"/>
  <c r="L20" i="2"/>
  <c r="L7" i="2"/>
  <c r="L9" i="2"/>
  <c r="L10" i="2"/>
  <c r="L11" i="2"/>
  <c r="L12" i="2"/>
  <c r="L13" i="2"/>
  <c r="L14" i="2"/>
  <c r="L15" i="2"/>
  <c r="L16" i="2"/>
  <c r="L17" i="2"/>
  <c r="L18" i="2"/>
  <c r="L19" i="2"/>
  <c r="L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6" i="2"/>
  <c r="J15" i="7"/>
  <c r="J8" i="7"/>
  <c r="J4" i="7"/>
  <c r="A36" i="6"/>
  <c r="L8" i="6"/>
  <c r="L11" i="6" s="1"/>
  <c r="L13" i="6" s="1"/>
  <c r="A17" i="5"/>
  <c r="L8" i="5"/>
  <c r="L12" i="5"/>
  <c r="L15" i="5" s="1"/>
  <c r="L19" i="5" s="1"/>
  <c r="M45" i="2" l="1"/>
  <c r="K48" i="2" s="1"/>
  <c r="N10" i="7"/>
  <c r="K16" i="4" l="1"/>
  <c r="K17" i="4"/>
  <c r="K18" i="4"/>
  <c r="K15" i="4"/>
  <c r="M11" i="4"/>
  <c r="N11" i="4"/>
  <c r="M12" i="4"/>
  <c r="N12" i="4"/>
  <c r="N10" i="4"/>
  <c r="J11" i="4"/>
  <c r="K11" i="4"/>
  <c r="J12" i="4"/>
  <c r="K12" i="4"/>
  <c r="K10" i="4"/>
  <c r="M10" i="4"/>
  <c r="J10" i="4"/>
  <c r="M8" i="2" l="1"/>
  <c r="M6" i="2"/>
  <c r="N6" i="2" s="1"/>
  <c r="M9" i="2"/>
  <c r="N9" i="2" s="1"/>
  <c r="M17" i="2"/>
  <c r="N17" i="2" s="1"/>
  <c r="M15" i="2"/>
  <c r="N15" i="2" s="1"/>
  <c r="M16" i="2"/>
  <c r="N16" i="2" s="1"/>
  <c r="M10" i="2"/>
  <c r="N10" i="2" s="1"/>
  <c r="M18" i="2"/>
  <c r="N18" i="2" s="1"/>
  <c r="M19" i="2"/>
  <c r="N19" i="2" s="1"/>
  <c r="M13" i="2"/>
  <c r="N13" i="2" s="1"/>
  <c r="M11" i="2"/>
  <c r="N11" i="2" s="1"/>
  <c r="N8" i="2"/>
  <c r="M12" i="2"/>
  <c r="N12" i="2" s="1"/>
  <c r="M20" i="2"/>
  <c r="N20" i="2" s="1"/>
  <c r="M14" i="2"/>
  <c r="N14" i="2" s="1"/>
  <c r="M7" i="2"/>
  <c r="N7" i="2" s="1"/>
  <c r="N22" i="2" l="1"/>
  <c r="J31" i="19" l="1"/>
  <c r="J32" i="19" s="1"/>
  <c r="I29" i="19"/>
  <c r="I27" i="19"/>
  <c r="I26" i="19"/>
  <c r="I25" i="19"/>
  <c r="I24" i="19"/>
  <c r="I23" i="19"/>
  <c r="L19" i="19"/>
  <c r="H27" i="19"/>
  <c r="H26" i="19"/>
  <c r="H25" i="19"/>
  <c r="H24" i="19"/>
  <c r="H23" i="19"/>
  <c r="L18" i="19"/>
  <c r="L17" i="19"/>
  <c r="M8" i="19"/>
  <c r="M7" i="19"/>
  <c r="M6" i="19"/>
  <c r="M5" i="19"/>
  <c r="M4" i="19"/>
  <c r="M10" i="19" s="1"/>
  <c r="J12" i="19" s="1"/>
  <c r="L8" i="19"/>
  <c r="L7" i="19"/>
  <c r="L6" i="19"/>
  <c r="L5" i="19"/>
  <c r="L4" i="19"/>
  <c r="K8" i="19"/>
  <c r="K7" i="19"/>
  <c r="K6" i="19"/>
  <c r="K5" i="19"/>
  <c r="K4" i="19"/>
  <c r="I10" i="19"/>
  <c r="I8" i="19"/>
  <c r="I7" i="19"/>
  <c r="I6" i="19"/>
  <c r="I5" i="19"/>
  <c r="I4" i="19"/>
  <c r="H8" i="19"/>
  <c r="H7" i="19"/>
  <c r="H6" i="19"/>
  <c r="H5" i="19"/>
  <c r="H4" i="19"/>
  <c r="K16" i="18" l="1"/>
  <c r="M14" i="18"/>
  <c r="M13" i="18"/>
  <c r="M12" i="18"/>
  <c r="M11" i="18"/>
  <c r="M10" i="18"/>
  <c r="L7" i="18"/>
  <c r="M7" i="18"/>
  <c r="L8" i="18"/>
  <c r="M8" i="18"/>
  <c r="M6" i="18"/>
  <c r="L6" i="18"/>
  <c r="J14" i="18"/>
  <c r="J13" i="18"/>
  <c r="J12" i="18"/>
  <c r="J11" i="18"/>
  <c r="J10" i="18"/>
  <c r="J8" i="18"/>
  <c r="J7" i="18"/>
  <c r="J6" i="18"/>
  <c r="I8" i="18"/>
  <c r="I7" i="18"/>
  <c r="I6" i="18"/>
  <c r="N21" i="16" l="1"/>
  <c r="N17" i="16"/>
  <c r="N14" i="16"/>
  <c r="N19" i="16" s="1"/>
  <c r="N12" i="16"/>
  <c r="N10" i="16"/>
  <c r="K5" i="16"/>
  <c r="L5" i="16"/>
  <c r="K6" i="16"/>
  <c r="L6" i="16"/>
  <c r="K7" i="16"/>
  <c r="L7" i="16"/>
  <c r="K8" i="16"/>
  <c r="L8" i="16"/>
  <c r="L4" i="16"/>
  <c r="K4" i="16"/>
  <c r="K61" i="15"/>
  <c r="J46" i="15"/>
  <c r="J47" i="15"/>
  <c r="K46" i="15" s="1"/>
  <c r="L46" i="15" s="1"/>
  <c r="J48" i="15"/>
  <c r="K47" i="15" s="1"/>
  <c r="L47" i="15" s="1"/>
  <c r="J49" i="15"/>
  <c r="K48" i="15" s="1"/>
  <c r="J50" i="15"/>
  <c r="K49" i="15" s="1"/>
  <c r="J51" i="15"/>
  <c r="K45" i="15" s="1"/>
  <c r="J52" i="15"/>
  <c r="K51" i="15" s="1"/>
  <c r="L51" i="15" s="1"/>
  <c r="J53" i="15"/>
  <c r="K52" i="15" s="1"/>
  <c r="L52" i="15" s="1"/>
  <c r="J54" i="15"/>
  <c r="J55" i="15"/>
  <c r="K54" i="15" s="1"/>
  <c r="L54" i="15" s="1"/>
  <c r="J56" i="15"/>
  <c r="K55" i="15" s="1"/>
  <c r="L55" i="15" s="1"/>
  <c r="J57" i="15"/>
  <c r="K56" i="15" s="1"/>
  <c r="J58" i="15"/>
  <c r="K57" i="15" s="1"/>
  <c r="J59" i="15"/>
  <c r="K58" i="15" s="1"/>
  <c r="J60" i="15"/>
  <c r="K59" i="15" s="1"/>
  <c r="J61" i="15"/>
  <c r="K60" i="15" s="1"/>
  <c r="L60" i="15" s="1"/>
  <c r="J62" i="15"/>
  <c r="J63" i="15"/>
  <c r="K62" i="15" s="1"/>
  <c r="L62" i="15" s="1"/>
  <c r="J64" i="15"/>
  <c r="K63" i="15" s="1"/>
  <c r="L63" i="15" s="1"/>
  <c r="J65" i="15"/>
  <c r="K64" i="15" s="1"/>
  <c r="J66" i="15"/>
  <c r="K65" i="15" s="1"/>
  <c r="J45" i="15"/>
  <c r="J68" i="15" s="1"/>
  <c r="L66" i="15" s="1"/>
  <c r="N24" i="16" l="1"/>
  <c r="N23" i="16"/>
  <c r="N22" i="16"/>
  <c r="N28" i="16" s="1"/>
  <c r="L61" i="15"/>
  <c r="L58" i="15"/>
  <c r="L45" i="15"/>
  <c r="L59" i="15"/>
  <c r="L57" i="15"/>
  <c r="L49" i="15"/>
  <c r="L65" i="15"/>
  <c r="L64" i="15"/>
  <c r="L56" i="15"/>
  <c r="L48" i="15"/>
  <c r="K53" i="15"/>
  <c r="L53" i="15" s="1"/>
  <c r="K50" i="15"/>
  <c r="L50" i="15" s="1"/>
  <c r="J16" i="15"/>
  <c r="J17" i="15"/>
  <c r="J18" i="15"/>
  <c r="J19" i="15"/>
  <c r="J20" i="15"/>
  <c r="J21" i="15"/>
  <c r="J22" i="15"/>
  <c r="J23" i="15"/>
  <c r="J24" i="15"/>
  <c r="J25" i="15"/>
  <c r="J26" i="15"/>
  <c r="K25" i="15" s="1"/>
  <c r="J27" i="15"/>
  <c r="J28" i="15"/>
  <c r="J29" i="15"/>
  <c r="J30" i="15"/>
  <c r="J31" i="15"/>
  <c r="J32" i="15"/>
  <c r="J33" i="15"/>
  <c r="J34" i="15"/>
  <c r="K33" i="15" s="1"/>
  <c r="J35" i="15"/>
  <c r="J36" i="15"/>
  <c r="K35" i="15" s="1"/>
  <c r="J15" i="15"/>
  <c r="I3" i="15"/>
  <c r="I2" i="15"/>
  <c r="M11" i="14"/>
  <c r="M10" i="14"/>
  <c r="I25" i="14" s="1"/>
  <c r="J29" i="14" s="1"/>
  <c r="M9" i="14"/>
  <c r="M8" i="14"/>
  <c r="J20" i="14" s="1"/>
  <c r="K24" i="15" l="1"/>
  <c r="K16" i="15"/>
  <c r="K31" i="15"/>
  <c r="K23" i="15"/>
  <c r="L23" i="15" s="1"/>
  <c r="K15" i="15"/>
  <c r="K17" i="15"/>
  <c r="K30" i="15"/>
  <c r="K22" i="15"/>
  <c r="L22" i="15" s="1"/>
  <c r="I19" i="15"/>
  <c r="I46" i="15"/>
  <c r="I54" i="15"/>
  <c r="I62" i="15"/>
  <c r="I56" i="15"/>
  <c r="I49" i="15"/>
  <c r="I65" i="15"/>
  <c r="I58" i="15"/>
  <c r="I51" i="15"/>
  <c r="I47" i="15"/>
  <c r="I55" i="15"/>
  <c r="I63" i="15"/>
  <c r="I48" i="15"/>
  <c r="I64" i="15"/>
  <c r="I57" i="15"/>
  <c r="I50" i="15"/>
  <c r="I66" i="15"/>
  <c r="I45" i="15"/>
  <c r="I53" i="15"/>
  <c r="I61" i="15"/>
  <c r="I59" i="15"/>
  <c r="I52" i="15"/>
  <c r="I60" i="15"/>
  <c r="K27" i="15"/>
  <c r="L27" i="15" s="1"/>
  <c r="K19" i="15"/>
  <c r="K32" i="15"/>
  <c r="I18" i="15"/>
  <c r="I34" i="15"/>
  <c r="I26" i="15"/>
  <c r="K34" i="15"/>
  <c r="K26" i="15"/>
  <c r="K18" i="15"/>
  <c r="L18" i="15" s="1"/>
  <c r="J19" i="14"/>
  <c r="J32" i="14" s="1"/>
  <c r="J30" i="14"/>
  <c r="J33" i="14" s="1"/>
  <c r="L17" i="15"/>
  <c r="L32" i="15"/>
  <c r="L24" i="15"/>
  <c r="L16" i="15"/>
  <c r="L34" i="15"/>
  <c r="L31" i="15"/>
  <c r="L15" i="15"/>
  <c r="L30" i="15"/>
  <c r="L19" i="15"/>
  <c r="K21" i="15"/>
  <c r="J38" i="15"/>
  <c r="L33" i="15" s="1"/>
  <c r="I7" i="15"/>
  <c r="M66" i="15" s="1"/>
  <c r="I31" i="15"/>
  <c r="I23" i="15"/>
  <c r="I25" i="15"/>
  <c r="K28" i="15"/>
  <c r="L28" i="15" s="1"/>
  <c r="I32" i="15"/>
  <c r="I15" i="15"/>
  <c r="I30" i="15"/>
  <c r="I22" i="15"/>
  <c r="K29" i="15"/>
  <c r="L29" i="15" s="1"/>
  <c r="I33" i="15"/>
  <c r="I24" i="15"/>
  <c r="I29" i="15"/>
  <c r="I21" i="15"/>
  <c r="I17" i="15"/>
  <c r="K20" i="15"/>
  <c r="L20" i="15" s="1"/>
  <c r="I16" i="15"/>
  <c r="I28" i="15"/>
  <c r="I36" i="15"/>
  <c r="I20" i="15"/>
  <c r="I35" i="15"/>
  <c r="I27" i="15"/>
  <c r="M65" i="15" l="1"/>
  <c r="M64" i="15" s="1"/>
  <c r="M63" i="15" s="1"/>
  <c r="M62" i="15" s="1"/>
  <c r="M61" i="15" s="1"/>
  <c r="M60" i="15" s="1"/>
  <c r="M59" i="15" s="1"/>
  <c r="M58" i="15" s="1"/>
  <c r="M57" i="15" s="1"/>
  <c r="M56" i="15" s="1"/>
  <c r="M55" i="15" s="1"/>
  <c r="M54" i="15" s="1"/>
  <c r="M53" i="15" s="1"/>
  <c r="M52" i="15" s="1"/>
  <c r="M51" i="15" s="1"/>
  <c r="M50" i="15" s="1"/>
  <c r="M49" i="15" s="1"/>
  <c r="M48" i="15" s="1"/>
  <c r="M47" i="15" s="1"/>
  <c r="M46" i="15" s="1"/>
  <c r="M45" i="15" s="1"/>
  <c r="L21" i="15"/>
  <c r="L36" i="15"/>
  <c r="L35" i="15"/>
  <c r="M35" i="15" s="1"/>
  <c r="M34" i="15" s="1"/>
  <c r="M33" i="15" s="1"/>
  <c r="M32" i="15" s="1"/>
  <c r="M31" i="15" s="1"/>
  <c r="M30" i="15" s="1"/>
  <c r="M29" i="15" s="1"/>
  <c r="M28" i="15" s="1"/>
  <c r="M27" i="15" s="1"/>
  <c r="M26" i="15" s="1"/>
  <c r="M25" i="15" s="1"/>
  <c r="M24" i="15" s="1"/>
  <c r="M23" i="15" s="1"/>
  <c r="M22" i="15" s="1"/>
  <c r="M21" i="15" s="1"/>
  <c r="M20" i="15" s="1"/>
  <c r="M19" i="15" s="1"/>
  <c r="M18" i="15" s="1"/>
  <c r="M17" i="15" s="1"/>
  <c r="M16" i="15" s="1"/>
  <c r="M15" i="15" s="1"/>
  <c r="L26" i="15"/>
  <c r="L25" i="15"/>
  <c r="L19" i="13" l="1"/>
  <c r="L20" i="13"/>
  <c r="L18" i="13"/>
  <c r="K19" i="13"/>
  <c r="K20" i="13"/>
  <c r="K18" i="13"/>
  <c r="M10" i="13"/>
  <c r="M11" i="13"/>
  <c r="M9" i="13"/>
  <c r="K10" i="13"/>
  <c r="L10" i="13" s="1"/>
  <c r="K11" i="13"/>
  <c r="L11" i="13" s="1"/>
  <c r="K9" i="13"/>
  <c r="L9" i="13" s="1"/>
  <c r="J10" i="13"/>
  <c r="J11" i="13"/>
  <c r="J12" i="13"/>
  <c r="J9" i="13"/>
  <c r="K42" i="12" l="1"/>
  <c r="K47" i="12"/>
  <c r="L47" i="12" s="1"/>
  <c r="K46" i="12"/>
  <c r="L46" i="12" s="1"/>
  <c r="K45" i="12"/>
  <c r="L45" i="12" s="1"/>
  <c r="K41" i="12"/>
  <c r="O41" i="12"/>
  <c r="K60" i="12" s="1"/>
  <c r="L39" i="12"/>
  <c r="L38" i="12"/>
  <c r="J46" i="12"/>
  <c r="J47" i="12"/>
  <c r="J45" i="12"/>
  <c r="O25" i="12"/>
  <c r="K34" i="12" s="1"/>
  <c r="K26" i="12"/>
  <c r="K25" i="12"/>
  <c r="L23" i="12"/>
  <c r="L22" i="12"/>
  <c r="J19" i="12"/>
  <c r="K19" i="12" s="1"/>
  <c r="L19" i="12" s="1"/>
  <c r="J18" i="12"/>
  <c r="L8" i="12"/>
  <c r="K8" i="12"/>
  <c r="L7" i="12"/>
  <c r="K7" i="12"/>
  <c r="J56" i="12" l="1"/>
  <c r="L48" i="12"/>
  <c r="K48" i="12"/>
  <c r="K59" i="12" s="1"/>
  <c r="K61" i="12" s="1"/>
  <c r="K18" i="12"/>
  <c r="L18" i="12" s="1"/>
  <c r="L20" i="12" s="1"/>
  <c r="K20" i="12" l="1"/>
  <c r="K30" i="12"/>
  <c r="K35" i="12" s="1"/>
  <c r="A26" i="11" l="1"/>
  <c r="A11" i="11"/>
  <c r="O28" i="10" l="1"/>
  <c r="N28" i="10"/>
  <c r="P6" i="10"/>
  <c r="K26" i="10"/>
  <c r="J26" i="10"/>
  <c r="L23" i="10"/>
  <c r="K23" i="10"/>
  <c r="J23" i="10"/>
  <c r="L17" i="10"/>
  <c r="L18" i="10"/>
  <c r="L19" i="10"/>
  <c r="L20" i="10"/>
  <c r="L16" i="10"/>
  <c r="K17" i="10"/>
  <c r="K18" i="10"/>
  <c r="K19" i="10"/>
  <c r="K20" i="10"/>
  <c r="K16" i="10"/>
  <c r="J17" i="10"/>
  <c r="J18" i="10"/>
  <c r="J19" i="10"/>
  <c r="J20" i="10"/>
  <c r="J16" i="10"/>
  <c r="R12" i="10"/>
  <c r="Q12" i="10"/>
  <c r="P12" i="10"/>
  <c r="Q7" i="10"/>
  <c r="R7" i="10"/>
  <c r="Q8" i="10"/>
  <c r="R8" i="10"/>
  <c r="Q9" i="10"/>
  <c r="R9" i="10"/>
  <c r="Q10" i="10"/>
  <c r="R10" i="10"/>
  <c r="R6" i="10"/>
  <c r="Q6" i="10"/>
  <c r="N7" i="10"/>
  <c r="O7" i="10"/>
  <c r="N8" i="10"/>
  <c r="O8" i="10"/>
  <c r="N9" i="10"/>
  <c r="O9" i="10"/>
  <c r="N10" i="10"/>
  <c r="O10" i="10"/>
  <c r="O6" i="10"/>
  <c r="N6" i="10"/>
  <c r="M7" i="10"/>
  <c r="M8" i="10"/>
  <c r="M9" i="10"/>
  <c r="M10" i="10"/>
  <c r="M6" i="10"/>
  <c r="L7" i="10"/>
  <c r="P7" i="10" s="1"/>
  <c r="L8" i="10"/>
  <c r="P8" i="10" s="1"/>
  <c r="L9" i="10"/>
  <c r="P9" i="10" s="1"/>
  <c r="L10" i="10"/>
  <c r="P10" i="10" s="1"/>
  <c r="L6" i="10"/>
  <c r="O80" i="8" l="1"/>
  <c r="P78" i="8"/>
  <c r="P73" i="8" a="1"/>
  <c r="P73" i="8" s="1"/>
  <c r="P72" i="8" a="1"/>
  <c r="P72" i="8" s="1"/>
  <c r="O68" i="8" a="1"/>
  <c r="O69" i="8" s="1"/>
  <c r="O60" i="8"/>
  <c r="P68" i="8" l="1"/>
  <c r="O68" i="8"/>
  <c r="P69" i="8"/>
  <c r="Q60" i="8"/>
  <c r="R59" i="8"/>
  <c r="R60" i="8"/>
  <c r="Q59" i="8"/>
  <c r="O59" i="8"/>
  <c r="Q52" i="8"/>
  <c r="S32" i="8"/>
  <c r="Q51" i="8" l="1"/>
  <c r="P45" i="8"/>
  <c r="P42" i="8"/>
  <c r="Q42" i="8"/>
  <c r="P43" i="8"/>
  <c r="Q43" i="8"/>
  <c r="Q41" i="8"/>
  <c r="P41" i="8"/>
  <c r="S31" i="8"/>
  <c r="P33" i="8"/>
  <c r="P34" i="8"/>
  <c r="P32" i="8"/>
  <c r="P23" i="8"/>
  <c r="Q20" i="8"/>
  <c r="R20" i="8"/>
  <c r="Q21" i="8"/>
  <c r="R21" i="8"/>
  <c r="R19" i="8"/>
  <c r="Q19" i="8"/>
  <c r="S7" i="8"/>
  <c r="R7" i="8"/>
  <c r="S6" i="8"/>
  <c r="R6" i="8"/>
  <c r="S5" i="8"/>
  <c r="R5" i="8"/>
  <c r="P6" i="8"/>
  <c r="Q6" i="8"/>
  <c r="P7" i="8"/>
  <c r="Q7" i="8"/>
  <c r="Q5" i="8"/>
  <c r="P5" i="8"/>
  <c r="A43" i="8"/>
  <c r="A39" i="8"/>
  <c r="A35" i="8"/>
  <c r="A27" i="8"/>
  <c r="A23" i="8"/>
  <c r="D12" i="8"/>
  <c r="E12" i="8"/>
  <c r="Q8" i="8" s="1"/>
  <c r="F12" i="8"/>
  <c r="R8" i="8" s="1"/>
  <c r="G12" i="8"/>
  <c r="S8" i="8" s="1"/>
  <c r="H12" i="8"/>
  <c r="C12" i="8"/>
  <c r="P8" i="8" s="1"/>
  <c r="I10" i="8"/>
  <c r="T6" i="8" s="1"/>
  <c r="J10" i="8"/>
  <c r="U6" i="8" s="1"/>
  <c r="K10" i="8"/>
  <c r="I11" i="8"/>
  <c r="T7" i="8" s="1"/>
  <c r="J11" i="8"/>
  <c r="U7" i="8" s="1"/>
  <c r="K11" i="8"/>
  <c r="J9" i="8"/>
  <c r="J12" i="8" s="1"/>
  <c r="U8" i="8" s="1"/>
  <c r="K9" i="8"/>
  <c r="K12" i="8" s="1"/>
  <c r="I9" i="8"/>
  <c r="I12" i="8" s="1"/>
  <c r="T8" i="8" s="1"/>
  <c r="T5" i="8" l="1"/>
  <c r="U5" i="8"/>
  <c r="A43" i="7" l="1"/>
  <c r="A39" i="7"/>
  <c r="A35" i="7"/>
  <c r="A31" i="7"/>
  <c r="A11" i="4" l="1"/>
  <c r="A7" i="4"/>
  <c r="J26" i="1"/>
  <c r="J27" i="1"/>
  <c r="H27" i="23" l="1"/>
  <c r="H28" i="23"/>
  <c r="B27" i="1"/>
  <c r="B26" i="1"/>
  <c r="L27" i="1"/>
  <c r="L26" i="1"/>
  <c r="Q27" i="1"/>
  <c r="S27" i="1"/>
  <c r="P27" i="1"/>
  <c r="O27" i="1"/>
  <c r="R27" i="1"/>
  <c r="N27" i="1"/>
  <c r="M27" i="1"/>
  <c r="A32" i="15" l="1"/>
  <c r="A24" i="10" l="1"/>
  <c r="A33" i="2" l="1"/>
  <c r="A44" i="2"/>
  <c r="A17" i="21" l="1"/>
  <c r="A23" i="20"/>
  <c r="A7" i="20"/>
  <c r="A18" i="19"/>
  <c r="A18" i="18"/>
  <c r="A37" i="17"/>
  <c r="A31" i="17"/>
  <c r="A24" i="16"/>
  <c r="A28" i="15"/>
  <c r="A24" i="15"/>
  <c r="A18" i="14"/>
  <c r="A29" i="13"/>
  <c r="A20" i="13"/>
  <c r="A15" i="13"/>
  <c r="A35" i="12"/>
  <c r="A31" i="12"/>
  <c r="A7" i="11"/>
  <c r="J19" i="1"/>
  <c r="J16" i="1"/>
  <c r="J24" i="1"/>
  <c r="J11" i="1"/>
  <c r="J13" i="1"/>
  <c r="J21" i="1"/>
  <c r="J15" i="1"/>
  <c r="J12" i="1"/>
  <c r="J9" i="1"/>
  <c r="J22" i="1"/>
  <c r="J25" i="1"/>
  <c r="J14" i="1"/>
  <c r="J18" i="1"/>
  <c r="J23" i="1"/>
  <c r="J17" i="1"/>
  <c r="J20" i="1"/>
  <c r="J10" i="1"/>
  <c r="H21" i="23" l="1"/>
  <c r="H24" i="23"/>
  <c r="H17" i="23"/>
  <c r="H26" i="23"/>
  <c r="H12" i="23"/>
  <c r="H20" i="23"/>
  <c r="H19" i="23"/>
  <c r="H18" i="23"/>
  <c r="H22" i="23"/>
  <c r="H14" i="23"/>
  <c r="H15" i="23"/>
  <c r="H16" i="23"/>
  <c r="H11" i="23"/>
  <c r="H25" i="23"/>
  <c r="H23" i="23"/>
  <c r="H13" i="23"/>
  <c r="H10" i="23"/>
  <c r="A20" i="10"/>
  <c r="A19" i="8"/>
  <c r="A25" i="7"/>
  <c r="A32" i="6"/>
  <c r="A13" i="5"/>
  <c r="L9" i="1" l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8" i="1"/>
  <c r="B9" i="1"/>
  <c r="A4" i="4" s="1"/>
  <c r="B10" i="1"/>
  <c r="A4" i="5" s="1"/>
  <c r="B11" i="1"/>
  <c r="A4" i="6" s="1"/>
  <c r="B12" i="1"/>
  <c r="A4" i="7" s="1"/>
  <c r="B13" i="1"/>
  <c r="A4" i="8" s="1"/>
  <c r="B14" i="1"/>
  <c r="A4" i="26" s="1"/>
  <c r="B15" i="1"/>
  <c r="A4" i="10" s="1"/>
  <c r="B16" i="1"/>
  <c r="A4" i="11" s="1"/>
  <c r="B17" i="1"/>
  <c r="A4" i="12" s="1"/>
  <c r="B18" i="1"/>
  <c r="A4" i="13" s="1"/>
  <c r="B19" i="1"/>
  <c r="A4" i="14" s="1"/>
  <c r="B20" i="1"/>
  <c r="A4" i="15" s="1"/>
  <c r="B21" i="1"/>
  <c r="A4" i="16" s="1"/>
  <c r="B22" i="1"/>
  <c r="A4" i="17" s="1"/>
  <c r="B23" i="1"/>
  <c r="A4" i="18" s="1"/>
  <c r="B24" i="1"/>
  <c r="A4" i="19" s="1"/>
  <c r="B25" i="1"/>
  <c r="A4" i="20" s="1"/>
  <c r="B8" i="1"/>
  <c r="A4" i="2" s="1"/>
  <c r="Q10" i="1"/>
  <c r="M18" i="1"/>
  <c r="P10" i="1"/>
  <c r="Q16" i="1"/>
  <c r="N17" i="1"/>
  <c r="R17" i="1"/>
  <c r="S20" i="1"/>
  <c r="O20" i="1"/>
  <c r="M22" i="1"/>
  <c r="R11" i="1"/>
  <c r="S12" i="1"/>
  <c r="O18" i="1"/>
  <c r="N20" i="1"/>
  <c r="O16" i="1"/>
  <c r="P17" i="1"/>
  <c r="M9" i="1"/>
  <c r="Q11" i="1"/>
  <c r="O25" i="1"/>
  <c r="O22" i="1"/>
  <c r="M17" i="1"/>
  <c r="N14" i="1"/>
  <c r="Q13" i="1"/>
  <c r="R18" i="1"/>
  <c r="P18" i="1"/>
  <c r="P20" i="1"/>
  <c r="P22" i="1"/>
  <c r="R12" i="1"/>
  <c r="O17" i="1"/>
  <c r="M13" i="1"/>
  <c r="S14" i="1"/>
  <c r="S19" i="1"/>
  <c r="S15" i="1"/>
  <c r="S10" i="1"/>
  <c r="Q18" i="1"/>
  <c r="O21" i="1"/>
  <c r="M23" i="1"/>
  <c r="P25" i="1"/>
  <c r="M11" i="1"/>
  <c r="S17" i="1"/>
  <c r="S25" i="1"/>
  <c r="R16" i="1"/>
  <c r="Q12" i="1"/>
  <c r="P14" i="1"/>
  <c r="S9" i="1"/>
  <c r="O13" i="1"/>
  <c r="M25" i="1"/>
  <c r="Q9" i="1"/>
  <c r="N24" i="1"/>
  <c r="M21" i="1"/>
  <c r="P24" i="1"/>
  <c r="Q19" i="1"/>
  <c r="P12" i="1"/>
  <c r="O14" i="1"/>
  <c r="N18" i="1"/>
  <c r="O19" i="1"/>
  <c r="P19" i="1"/>
  <c r="M12" i="1"/>
  <c r="Q15" i="1"/>
  <c r="R22" i="1"/>
  <c r="N23" i="1"/>
  <c r="O24" i="1"/>
  <c r="Q23" i="1"/>
  <c r="P15" i="1"/>
  <c r="O11" i="1"/>
  <c r="N22" i="1"/>
  <c r="R25" i="1"/>
  <c r="R23" i="1"/>
  <c r="P16" i="1"/>
  <c r="S16" i="1"/>
  <c r="S23" i="1"/>
  <c r="R15" i="1"/>
  <c r="R20" i="1"/>
  <c r="N25" i="1"/>
  <c r="O12" i="1"/>
  <c r="O10" i="1"/>
  <c r="R9" i="1"/>
  <c r="R14" i="1"/>
  <c r="P9" i="1"/>
  <c r="M24" i="1"/>
  <c r="O9" i="1"/>
  <c r="N16" i="1"/>
  <c r="S21" i="1"/>
  <c r="N12" i="1"/>
  <c r="N15" i="1"/>
  <c r="M16" i="1"/>
  <c r="S18" i="1"/>
  <c r="N11" i="1"/>
  <c r="O23" i="1"/>
  <c r="N19" i="1"/>
  <c r="P11" i="1"/>
  <c r="M14" i="1"/>
  <c r="N10" i="1"/>
  <c r="R10" i="1"/>
  <c r="R24" i="1"/>
  <c r="Q24" i="1"/>
  <c r="Q22" i="1"/>
  <c r="Q20" i="1"/>
  <c r="P23" i="1"/>
  <c r="O15" i="1"/>
  <c r="Q25" i="1"/>
  <c r="J8" i="1"/>
  <c r="Q14" i="1"/>
  <c r="S22" i="1"/>
  <c r="S11" i="1"/>
  <c r="S24" i="1"/>
  <c r="M10" i="1"/>
  <c r="R19" i="1"/>
  <c r="M19" i="1"/>
  <c r="N9" i="1"/>
  <c r="M20" i="1"/>
  <c r="M15" i="1"/>
  <c r="Q17" i="1"/>
  <c r="A4" i="21" l="1"/>
  <c r="H9" i="23"/>
  <c r="M32" i="1"/>
  <c r="N8" i="1"/>
  <c r="O8" i="1"/>
  <c r="Q26" i="1"/>
  <c r="R21" i="1"/>
  <c r="P13" i="1"/>
  <c r="M26" i="1"/>
  <c r="Q21" i="1"/>
  <c r="N13" i="1"/>
  <c r="P8" i="1"/>
  <c r="P26" i="1"/>
  <c r="S26" i="1"/>
  <c r="S8" i="1"/>
  <c r="S13" i="1"/>
  <c r="N26" i="1"/>
  <c r="O26" i="1"/>
  <c r="R26" i="1"/>
  <c r="R13" i="1"/>
  <c r="P21" i="1"/>
  <c r="N21" i="1"/>
  <c r="R8" i="1"/>
  <c r="Q8" i="1"/>
  <c r="M8" i="1"/>
  <c r="M30" i="1" l="1" a="1"/>
  <c r="M30" i="1" s="1"/>
  <c r="P30" i="1" s="1"/>
</calcChain>
</file>

<file path=xl/sharedStrings.xml><?xml version="1.0" encoding="utf-8"?>
<sst xmlns="http://schemas.openxmlformats.org/spreadsheetml/2006/main" count="1303" uniqueCount="891">
  <si>
    <t>Question</t>
  </si>
  <si>
    <t>Sub-Part of Question</t>
  </si>
  <si>
    <t>(a)</t>
  </si>
  <si>
    <t>(b)</t>
  </si>
  <si>
    <t>(c)</t>
  </si>
  <si>
    <t>(d)</t>
  </si>
  <si>
    <t>(e)</t>
  </si>
  <si>
    <t>(f)</t>
  </si>
  <si>
    <t>(g)</t>
  </si>
  <si>
    <t>Total Point Value</t>
  </si>
  <si>
    <t>Total</t>
  </si>
  <si>
    <t>Status</t>
  </si>
  <si>
    <t>Your Score</t>
  </si>
  <si>
    <t>TOTAL</t>
  </si>
  <si>
    <t>Points</t>
  </si>
  <si>
    <t>Percentage:</t>
  </si>
  <si>
    <t>A</t>
  </si>
  <si>
    <t>B</t>
  </si>
  <si>
    <t>C</t>
  </si>
  <si>
    <t>Instructions</t>
  </si>
  <si>
    <t>1.) Find a quiet place and allow yourself the full four hour exam period to practice. Treat this just as you would the real exam.</t>
  </si>
  <si>
    <t>3.) Answer each question either to the side or below the grey question area.</t>
  </si>
  <si>
    <r>
      <t xml:space="preserve">4.) Use cell </t>
    </r>
    <r>
      <rPr>
        <b/>
        <sz val="11"/>
        <color theme="1"/>
        <rFont val="Calibri"/>
        <family val="2"/>
        <scheme val="minor"/>
      </rPr>
      <t>B1</t>
    </r>
    <r>
      <rPr>
        <sz val="11"/>
        <color theme="1"/>
        <rFont val="Calibri"/>
        <family val="2"/>
        <scheme val="minor"/>
      </rPr>
      <t xml:space="preserve"> on each question worksheet to mark whether you finished the question or not. You should use this feature to</t>
    </r>
  </si>
  <si>
    <t xml:space="preserve">       reflect your confidence in your answer. This way you'll know if you're on the money or your guesses were lucky.</t>
  </si>
  <si>
    <t>5.) Grade each question harshly. It's better to put in extra reviewing time now than find the examiners aren't as generous as you hoped.</t>
  </si>
  <si>
    <t>8.) Find the top five questions where you lost the most points. These are the topics you need to review the most intensely in the</t>
  </si>
  <si>
    <t xml:space="preserve">      next day or so.</t>
  </si>
  <si>
    <t>6.) Enter your estimated score for each sub-part of a question in the box beneath the sub-part point value. They look like:</t>
  </si>
  <si>
    <r>
      <t xml:space="preserve">       Use increments of </t>
    </r>
    <r>
      <rPr>
        <b/>
        <sz val="11"/>
        <color theme="1"/>
        <rFont val="Calibri"/>
        <family val="2"/>
        <scheme val="minor"/>
      </rPr>
      <t>0.25</t>
    </r>
    <r>
      <rPr>
        <sz val="11"/>
        <color theme="1"/>
        <rFont val="Calibri"/>
        <family val="2"/>
        <scheme val="minor"/>
      </rPr>
      <t xml:space="preserve"> when scoring; pay attention to the language used in the question and the point value. An "</t>
    </r>
    <r>
      <rPr>
        <i/>
        <sz val="11"/>
        <color theme="1"/>
        <rFont val="Calibri"/>
        <family val="2"/>
        <scheme val="minor"/>
      </rPr>
      <t>identify" question</t>
    </r>
  </si>
  <si>
    <r>
      <t xml:space="preserve">       is likely 0.25 per item while an "</t>
    </r>
    <r>
      <rPr>
        <i/>
        <sz val="11"/>
        <color theme="1"/>
        <rFont val="Calibri"/>
        <family val="2"/>
        <scheme val="minor"/>
      </rPr>
      <t>explain</t>
    </r>
    <r>
      <rPr>
        <sz val="11"/>
        <color theme="1"/>
        <rFont val="Calibri"/>
        <family val="2"/>
        <scheme val="minor"/>
      </rPr>
      <t>" or "</t>
    </r>
    <r>
      <rPr>
        <i/>
        <sz val="11"/>
        <color theme="1"/>
        <rFont val="Calibri"/>
        <family val="2"/>
        <scheme val="minor"/>
      </rPr>
      <t>briefly justify</t>
    </r>
    <r>
      <rPr>
        <sz val="11"/>
        <color theme="1"/>
        <rFont val="Calibri"/>
        <family val="2"/>
        <scheme val="minor"/>
      </rPr>
      <t>" gets 0.25 for the item and another 0.25 for the justification.</t>
    </r>
  </si>
  <si>
    <t>slay the beast</t>
  </si>
  <si>
    <t>Solution</t>
  </si>
  <si>
    <t>Navigator – Select a question to go to it</t>
  </si>
  <si>
    <t>Question #</t>
  </si>
  <si>
    <t>2.) Use the Navigator worksheet to see a brief description of each question, its point value and navigate between questions in your preferred order.</t>
  </si>
  <si>
    <r>
      <t xml:space="preserve">7.) Use the </t>
    </r>
    <r>
      <rPr>
        <b/>
        <sz val="11"/>
        <color theme="1"/>
        <rFont val="Calibri"/>
        <family val="2"/>
        <scheme val="minor"/>
      </rPr>
      <t>Point Grid</t>
    </r>
    <r>
      <rPr>
        <sz val="11"/>
        <color theme="1"/>
        <rFont val="Calibri"/>
        <family val="2"/>
        <scheme val="minor"/>
      </rPr>
      <t xml:space="preserve"> to see your score and a breakdown of where you scored well and where you didn't.</t>
    </r>
  </si>
  <si>
    <r>
      <t xml:space="preserve">10.) Use the </t>
    </r>
    <r>
      <rPr>
        <u/>
        <sz val="11"/>
        <color theme="1"/>
        <rFont val="Calibri"/>
        <family val="2"/>
        <scheme val="minor"/>
      </rPr>
      <t>Reset Exam</t>
    </r>
    <r>
      <rPr>
        <sz val="11"/>
        <color theme="1"/>
        <rFont val="Calibri"/>
        <family val="2"/>
        <scheme val="minor"/>
      </rPr>
      <t xml:space="preserve"> button on the </t>
    </r>
    <r>
      <rPr>
        <b/>
        <sz val="11"/>
        <color theme="1"/>
        <rFont val="Calibri"/>
        <family val="2"/>
        <scheme val="minor"/>
      </rPr>
      <t>Point Grid</t>
    </r>
    <r>
      <rPr>
        <sz val="11"/>
        <color theme="1"/>
        <rFont val="Calibri"/>
        <family val="2"/>
        <scheme val="minor"/>
      </rPr>
      <t xml:space="preserve"> worksheet to clear all of your work ready for a new attempt at this exam later.</t>
    </r>
  </si>
  <si>
    <t>9.) On the BattleActs site → Custom Battles → BattleCards - Prior Exams → Select this exam and mark the cards you got right and wrong.</t>
  </si>
  <si>
    <t xml:space="preserve">      This allows your Battle Readiness Quotient (BRQ) to track your strengths and weaknesses.</t>
  </si>
  <si>
    <t>Passing Score:</t>
  </si>
  <si>
    <t>Territory</t>
  </si>
  <si>
    <t>Navigator</t>
  </si>
  <si>
    <t>An analyst is building a generalized linear model for a rating plan. The new plan</t>
  </si>
  <si>
    <t>will include the territory and deductible relativities from their existing  rating plan.</t>
  </si>
  <si>
    <t>Briefly describe how the analyst should incorporate territory and deductible into</t>
  </si>
  <si>
    <t>The analyst is building a pure premium model using a log-link function.</t>
  </si>
  <si>
    <t>Record ID</t>
  </si>
  <si>
    <t>Deductible</t>
  </si>
  <si>
    <t>Relativity</t>
  </si>
  <si>
    <t>Calculate the value for each record using the method you described in part (a) above</t>
  </si>
  <si>
    <t>which will allow the analyst to verify if the GLM is correctly set up.</t>
  </si>
  <si>
    <t>They want to verify their model is correctly incorporating the territory and deductible</t>
  </si>
  <si>
    <t>relativities which are shown below:</t>
  </si>
  <si>
    <t>You are given the following table for model selection:</t>
  </si>
  <si>
    <t>Model</t>
  </si>
  <si>
    <t>AIC</t>
  </si>
  <si>
    <t>Intercept + Age</t>
  </si>
  <si>
    <t>Intercept + Vehicle Body</t>
  </si>
  <si>
    <t>Intercept + Age + Vehicle Value</t>
  </si>
  <si>
    <t>Intercept + Age + Vehicle Body + Vehicle Value</t>
  </si>
  <si>
    <t>X</t>
  </si>
  <si>
    <t>Y</t>
  </si>
  <si>
    <t>You are given the following information for a fitted GLM:</t>
  </si>
  <si>
    <t>Response variable</t>
  </si>
  <si>
    <t>Occurrence of Accidents</t>
  </si>
  <si>
    <t>Response distribution</t>
  </si>
  <si>
    <t>Binomial</t>
  </si>
  <si>
    <t>Link</t>
  </si>
  <si>
    <t>Logit</t>
  </si>
  <si>
    <t>Parameter</t>
  </si>
  <si>
    <t>Intercept</t>
  </si>
  <si>
    <t>Driver's Age</t>
  </si>
  <si>
    <t>Area</t>
  </si>
  <si>
    <t>Vehicle Body</t>
  </si>
  <si>
    <t>Truck</t>
  </si>
  <si>
    <t>Other</t>
  </si>
  <si>
    <t>Sedan</t>
  </si>
  <si>
    <t>Calculate the odds ratio of a driver in age group 3, from area B, and with vehicle body</t>
  </si>
  <si>
    <t>type Truck having an accident.</t>
  </si>
  <si>
    <t>x</t>
  </si>
  <si>
    <t>An actuary is working on a usage based insurance (UBI) program for a state's Private Passenger</t>
  </si>
  <si>
    <t>Automobile market. They create a generalized linear model (GLM) to predict claim severity</t>
  </si>
  <si>
    <t xml:space="preserve">   an electric vehicle or not.</t>
  </si>
  <si>
    <t>• The log-link function is chosen.</t>
  </si>
  <si>
    <r>
      <t xml:space="preserve">by </t>
    </r>
    <r>
      <rPr>
        <i/>
        <sz val="11"/>
        <color theme="1"/>
        <rFont val="Calibri"/>
        <family val="2"/>
        <scheme val="minor"/>
      </rPr>
      <t>Daily Miles Driven</t>
    </r>
    <r>
      <rPr>
        <sz val="11"/>
        <color theme="1"/>
        <rFont val="Calibri"/>
        <family val="2"/>
        <scheme val="minor"/>
      </rPr>
      <t xml:space="preserve"> (</t>
    </r>
    <r>
      <rPr>
        <i/>
        <sz val="11"/>
        <color theme="1"/>
        <rFont val="Calibri"/>
        <family val="2"/>
        <scheme val="minor"/>
      </rPr>
      <t>DMD</t>
    </r>
    <r>
      <rPr>
        <sz val="11"/>
        <color theme="1"/>
        <rFont val="Calibri"/>
        <family val="2"/>
        <scheme val="minor"/>
      </rPr>
      <t xml:space="preserve">), </t>
    </r>
    <r>
      <rPr>
        <i/>
        <sz val="11"/>
        <color theme="1"/>
        <rFont val="Calibri"/>
        <family val="2"/>
        <scheme val="minor"/>
      </rPr>
      <t>Vehicle Type</t>
    </r>
    <r>
      <rPr>
        <sz val="11"/>
        <color theme="1"/>
        <rFont val="Calibri"/>
        <family val="2"/>
        <scheme val="minor"/>
      </rPr>
      <t xml:space="preserve">, and </t>
    </r>
    <r>
      <rPr>
        <i/>
        <sz val="11"/>
        <color theme="1"/>
        <rFont val="Calibri"/>
        <family val="2"/>
        <scheme val="minor"/>
      </rPr>
      <t>Electric Vehicle Ind</t>
    </r>
    <r>
      <rPr>
        <sz val="11"/>
        <color theme="1"/>
        <rFont val="Calibri"/>
        <family val="2"/>
        <scheme val="minor"/>
      </rPr>
      <t xml:space="preserve"> (</t>
    </r>
    <r>
      <rPr>
        <i/>
        <sz val="11"/>
        <color theme="1"/>
        <rFont val="Calibri"/>
        <family val="2"/>
        <scheme val="minor"/>
      </rPr>
      <t>EVInd</t>
    </r>
    <r>
      <rPr>
        <sz val="11"/>
        <color theme="1"/>
        <rFont val="Calibri"/>
        <family val="2"/>
        <scheme val="minor"/>
      </rPr>
      <t>).</t>
    </r>
  </si>
  <si>
    <r>
      <t xml:space="preserve">• </t>
    </r>
    <r>
      <rPr>
        <i/>
        <sz val="11"/>
        <color theme="1"/>
        <rFont val="Calibri"/>
        <family val="2"/>
        <scheme val="minor"/>
      </rPr>
      <t>Vehicle Type</t>
    </r>
    <r>
      <rPr>
        <sz val="11"/>
        <color theme="1"/>
        <rFont val="Calibri"/>
        <family val="2"/>
        <scheme val="minor"/>
      </rPr>
      <t xml:space="preserve"> is a categorical variable with levels: Car, Truck, and Van.</t>
    </r>
  </si>
  <si>
    <r>
      <t xml:space="preserve">• </t>
    </r>
    <r>
      <rPr>
        <i/>
        <sz val="11"/>
        <color theme="1"/>
        <rFont val="Calibri"/>
        <family val="2"/>
        <scheme val="minor"/>
      </rPr>
      <t>Electric Vehicle Ind</t>
    </r>
    <r>
      <rPr>
        <sz val="11"/>
        <color theme="1"/>
        <rFont val="Calibri"/>
        <family val="2"/>
        <scheme val="minor"/>
      </rPr>
      <t xml:space="preserve"> is a binary variable which classifies whether a vehicle is counted as</t>
    </r>
  </si>
  <si>
    <t>• The model results are as follows:</t>
  </si>
  <si>
    <t>Coefficient</t>
  </si>
  <si>
    <t>Vehicle Type: Truck</t>
  </si>
  <si>
    <t>Vehicle Type: Van</t>
  </si>
  <si>
    <t>EVInd</t>
  </si>
  <si>
    <t xml:space="preserve">Calculate the ratio of the estimated claim severity for an Electric Vehicle to that of a non-Electric </t>
  </si>
  <si>
    <t>Vehicle for the following characteristics:</t>
  </si>
  <si>
    <t>Daily Miles Driven</t>
  </si>
  <si>
    <t>Vehicle Type</t>
  </si>
  <si>
    <r>
      <t xml:space="preserve">The actuary is considering adding </t>
    </r>
    <r>
      <rPr>
        <i/>
        <sz val="11"/>
        <color theme="1"/>
        <rFont val="Calibri"/>
        <family val="2"/>
        <scheme val="minor"/>
      </rPr>
      <t xml:space="preserve">Years of Driving Experience </t>
    </r>
    <r>
      <rPr>
        <sz val="11"/>
        <color theme="1"/>
        <rFont val="Calibri"/>
        <family val="2"/>
        <scheme val="minor"/>
      </rPr>
      <t>(</t>
    </r>
    <r>
      <rPr>
        <i/>
        <sz val="11"/>
        <color theme="1"/>
        <rFont val="Calibri"/>
        <family val="2"/>
        <scheme val="minor"/>
      </rPr>
      <t>YDE</t>
    </r>
    <r>
      <rPr>
        <sz val="11"/>
        <color theme="1"/>
        <rFont val="Calibri"/>
        <family val="2"/>
        <scheme val="minor"/>
      </rPr>
      <t xml:space="preserve">) to the model. </t>
    </r>
  </si>
  <si>
    <t>is significant.</t>
  </si>
  <si>
    <t>Calculate the intercept term for a "typical" policyholder and briefly explain its meaning.</t>
  </si>
  <si>
    <r>
      <t xml:space="preserve">Suppose the median </t>
    </r>
    <r>
      <rPr>
        <i/>
        <sz val="11"/>
        <color theme="1"/>
        <rFont val="Calibri"/>
        <family val="2"/>
        <scheme val="minor"/>
      </rPr>
      <t>Daily Miles Driven</t>
    </r>
    <r>
      <rPr>
        <sz val="11"/>
        <color theme="1"/>
        <rFont val="Calibri"/>
        <family val="2"/>
        <scheme val="minor"/>
      </rPr>
      <t xml:space="preserve"> for your book of business is estimated as 20 miles per day.</t>
    </r>
  </si>
  <si>
    <t>Class</t>
  </si>
  <si>
    <t>Year 1</t>
  </si>
  <si>
    <t>Fatal</t>
  </si>
  <si>
    <t>Major</t>
  </si>
  <si>
    <t>TT</t>
  </si>
  <si>
    <t>Year 2</t>
  </si>
  <si>
    <t>An actuary has collected the following claim count data for Workers' Compensation claims.</t>
  </si>
  <si>
    <t>The only injury types are Fatal, Major, and Temporary Total (TT).</t>
  </si>
  <si>
    <t>The classes below are the only classes the company writes in Hazard Group F.</t>
  </si>
  <si>
    <t>Hazard Group F</t>
  </si>
  <si>
    <t>Let V denote the ratio of Fatal claims to TT claims.</t>
  </si>
  <si>
    <t>Let X denote the ratio of Major claims to TT claims.</t>
  </si>
  <si>
    <t>Calculate the estimated Expected Process Variance for X for the hazard group.</t>
  </si>
  <si>
    <t>Calculate the estimated Variance of Hypothetical Means for X for the hazard group.</t>
  </si>
  <si>
    <t>Calculate the estimated covariance between V and X for the hazard group.</t>
  </si>
  <si>
    <t>Calculate the credibilities used by Class 3 to estimate X for its population.</t>
  </si>
  <si>
    <t>Calculate the expected number of Major claims for Class 3.</t>
  </si>
  <si>
    <t>First convert the given table into ratios of claims to TT claims.</t>
  </si>
  <si>
    <t>Apply the following formula to estimate the expected process variance (EPV).</t>
  </si>
  <si>
    <t>R is the number of classes in the hazard group</t>
  </si>
  <si>
    <t xml:space="preserve">N is the number of years of data available. We need at least two years to be able </t>
  </si>
  <si>
    <t>to estimate variances.</t>
  </si>
  <si>
    <t xml:space="preserve">EPV X = </t>
  </si>
  <si>
    <t>R =</t>
  </si>
  <si>
    <t>N =</t>
  </si>
  <si>
    <r>
      <t>m</t>
    </r>
    <r>
      <rPr>
        <vertAlign val="subscript"/>
        <sz val="11"/>
        <color theme="1"/>
        <rFont val="Calibri"/>
        <family val="2"/>
        <scheme val="minor"/>
      </rPr>
      <t>it</t>
    </r>
    <r>
      <rPr>
        <sz val="11"/>
        <color theme="1"/>
        <rFont val="Calibri"/>
        <family val="2"/>
        <scheme val="minor"/>
      </rPr>
      <t xml:space="preserve"> is the number of TT claims for class i in year t.</t>
    </r>
  </si>
  <si>
    <t>Year</t>
  </si>
  <si>
    <r>
      <t>Calculating (X</t>
    </r>
    <r>
      <rPr>
        <vertAlign val="subscript"/>
        <sz val="11"/>
        <color theme="1"/>
        <rFont val="Calibri"/>
        <family val="2"/>
        <scheme val="minor"/>
      </rPr>
      <t>it</t>
    </r>
    <r>
      <rPr>
        <sz val="11"/>
        <color theme="1"/>
        <rFont val="Calibri"/>
        <family val="2"/>
        <scheme val="minor"/>
      </rPr>
      <t xml:space="preserve"> - X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)</t>
    </r>
    <r>
      <rPr>
        <vertAlign val="superscript"/>
        <sz val="11"/>
        <color theme="1"/>
        <rFont val="Calibri"/>
        <family val="2"/>
        <scheme val="minor"/>
      </rPr>
      <t>2</t>
    </r>
  </si>
  <si>
    <t xml:space="preserve">Apply the following formula to estimate the variance of hypothetical means (VHM). </t>
  </si>
  <si>
    <t>Notice this depends on your answer to part (a) but you'd get credit for using part (a) even if your answer was wrong.</t>
  </si>
  <si>
    <t>VHM X =</t>
  </si>
  <si>
    <t>VHM is negative, per Couret &amp; Venter this means we should set it equal to 0.</t>
  </si>
  <si>
    <t>Apply the following formula to estimate the covariance between V and X.</t>
  </si>
  <si>
    <r>
      <t>Cov(V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, X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) =</t>
    </r>
  </si>
  <si>
    <r>
      <t>(V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 xml:space="preserve"> - V</t>
    </r>
    <r>
      <rPr>
        <vertAlign val="sub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>)</t>
    </r>
  </si>
  <si>
    <r>
      <t>(X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 xml:space="preserve"> - X</t>
    </r>
    <r>
      <rPr>
        <vertAlign val="sub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>)</t>
    </r>
  </si>
  <si>
    <t>Apply the following formula to estimate the variance for Class i.</t>
  </si>
  <si>
    <t>Variance of X for Class 3 =</t>
  </si>
  <si>
    <r>
      <t>(X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 xml:space="preserve"> - X</t>
    </r>
    <r>
      <rPr>
        <vertAlign val="sub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>)</t>
    </r>
    <r>
      <rPr>
        <vertAlign val="superscript"/>
        <sz val="11"/>
        <color theme="1"/>
        <rFont val="Calibri"/>
        <family val="2"/>
        <scheme val="minor"/>
      </rPr>
      <t>2</t>
    </r>
  </si>
  <si>
    <t>Given the following:</t>
  </si>
  <si>
    <t>EPV V</t>
  </si>
  <si>
    <t>VHM V</t>
  </si>
  <si>
    <t>Calculate the Variance of V and the Variance of X for Class 3.</t>
  </si>
  <si>
    <t>Variance of V for Class 3 =</t>
  </si>
  <si>
    <t>Use the following credibility equation</t>
  </si>
  <si>
    <t>LHS</t>
  </si>
  <si>
    <t>RHS 2 by 2 matrix</t>
  </si>
  <si>
    <r>
      <t>Alice: "Note Cov(X</t>
    </r>
    <r>
      <rPr>
        <b/>
        <i/>
        <vertAlign val="subscript"/>
        <sz val="11"/>
        <color theme="4"/>
        <rFont val="Calibri"/>
        <family val="2"/>
        <scheme val="minor"/>
      </rPr>
      <t>3</t>
    </r>
    <r>
      <rPr>
        <b/>
        <i/>
        <sz val="11"/>
        <color theme="4"/>
        <rFont val="Calibri"/>
        <family val="2"/>
        <scheme val="minor"/>
      </rPr>
      <t>, x</t>
    </r>
    <r>
      <rPr>
        <b/>
        <i/>
        <vertAlign val="subscript"/>
        <sz val="11"/>
        <color theme="4"/>
        <rFont val="Calibri"/>
        <family val="2"/>
        <scheme val="minor"/>
      </rPr>
      <t>3</t>
    </r>
    <r>
      <rPr>
        <b/>
        <i/>
        <sz val="11"/>
        <color theme="4"/>
        <rFont val="Calibri"/>
        <family val="2"/>
        <scheme val="minor"/>
      </rPr>
      <t>) = VHM</t>
    </r>
    <r>
      <rPr>
        <b/>
        <i/>
        <vertAlign val="subscript"/>
        <sz val="11"/>
        <color theme="4"/>
        <rFont val="Calibri"/>
        <family val="2"/>
        <scheme val="minor"/>
      </rPr>
      <t>X</t>
    </r>
    <r>
      <rPr>
        <b/>
        <i/>
        <sz val="11"/>
        <color theme="4"/>
        <rFont val="Calibri"/>
        <family val="2"/>
        <scheme val="minor"/>
      </rPr>
      <t xml:space="preserve"> because the covariance of an observed variable, x</t>
    </r>
    <r>
      <rPr>
        <b/>
        <i/>
        <vertAlign val="subscript"/>
        <sz val="11"/>
        <color theme="4"/>
        <rFont val="Calibri"/>
        <family val="2"/>
        <scheme val="minor"/>
      </rPr>
      <t>3</t>
    </r>
    <r>
      <rPr>
        <b/>
        <i/>
        <sz val="11"/>
        <color theme="4"/>
        <rFont val="Calibri"/>
        <family val="2"/>
        <scheme val="minor"/>
      </rPr>
      <t>, with its unobserved mean, X</t>
    </r>
    <r>
      <rPr>
        <b/>
        <i/>
        <vertAlign val="subscript"/>
        <sz val="11"/>
        <color theme="4"/>
        <rFont val="Calibri"/>
        <family val="2"/>
        <scheme val="minor"/>
      </rPr>
      <t>3</t>
    </r>
    <r>
      <rPr>
        <b/>
        <i/>
        <sz val="11"/>
        <color theme="4"/>
        <rFont val="Calibri"/>
        <family val="2"/>
        <scheme val="minor"/>
      </rPr>
      <t>, is the variance of its hypothetical means."</t>
    </r>
  </si>
  <si>
    <t>2 by 2 matrix inverse</t>
  </si>
  <si>
    <t>Now apply the MINVERSE function to invert the matrix. You'll need to use an array formula to do this.</t>
  </si>
  <si>
    <t xml:space="preserve"> (Both the MINVERSE function and array formulas are currently available in the Pearson environment)</t>
  </si>
  <si>
    <t>Solve the matrix equation to calculate the credibilities used by Class 3.</t>
  </si>
  <si>
    <t>Apply the following multidimensional credibility formula</t>
  </si>
  <si>
    <r>
      <t>E[X</t>
    </r>
    <r>
      <rPr>
        <vertAlign val="sub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] =</t>
    </r>
  </si>
  <si>
    <t xml:space="preserve">This is the ratio of Major claims to TT claims. </t>
  </si>
  <si>
    <t>Major claims expected in Class 3</t>
  </si>
  <si>
    <t>The following information was taken from two different experience rating plans:</t>
  </si>
  <si>
    <t>Experience Mod</t>
  </si>
  <si>
    <t>Plan A</t>
  </si>
  <si>
    <t>Plan B</t>
  </si>
  <si>
    <t>Experience Data</t>
  </si>
  <si>
    <t>Manual Premium ($)</t>
  </si>
  <si>
    <t>Losses ($)</t>
  </si>
  <si>
    <t>Insured</t>
  </si>
  <si>
    <t>All insureds are in the same industry. However, some are smaller firms than others.</t>
  </si>
  <si>
    <t>Apply the quintiles test. Group the insureds into five groups, ordered by increasing experience mod.</t>
  </si>
  <si>
    <t>Use weighted manual and standard loss ratios.</t>
  </si>
  <si>
    <t>Quintile</t>
  </si>
  <si>
    <t>D</t>
  </si>
  <si>
    <t>E</t>
  </si>
  <si>
    <t>Contains</t>
  </si>
  <si>
    <t>Manual Premium</t>
  </si>
  <si>
    <t>Manual LR</t>
  </si>
  <si>
    <t>Losses</t>
  </si>
  <si>
    <t>Standard Loss Ratios</t>
  </si>
  <si>
    <t>Demonstrate whether Plan A or Plan B appears to be more equitable according to:</t>
  </si>
  <si>
    <t xml:space="preserve">   (ii) the efficiency test</t>
  </si>
  <si>
    <t xml:space="preserve">   (i) the quintiles test</t>
  </si>
  <si>
    <t>Briefly explain whether Plan A or Plan B gives too much credit for good experience.</t>
  </si>
  <si>
    <t>Weighted Average Mods</t>
  </si>
  <si>
    <t>Manual Premium Weighted Averages</t>
  </si>
  <si>
    <t>Calculating Sample Variances</t>
  </si>
  <si>
    <t>Sample Variance</t>
  </si>
  <si>
    <t>Std LR A</t>
  </si>
  <si>
    <t>Std LR B</t>
  </si>
  <si>
    <t>Efficiency Stat</t>
  </si>
  <si>
    <t>Alice: "In this case you could have used Excel's VAR.S() function</t>
  </si>
  <si>
    <t>since all quintiles have the same manual premium volume."</t>
  </si>
  <si>
    <t>Difference between largest and smallest standard loss ratios</t>
  </si>
  <si>
    <t>Since Plan B has the smallest difference between the largest and smallest standard loss ratios it performs better than Plan A according</t>
  </si>
  <si>
    <t>to the quintiles test.</t>
  </si>
  <si>
    <t>Further, Plan B has the lowest efficiency test statistic which indicates it performs better than Plan A.</t>
  </si>
  <si>
    <t>Plan A gives too much credit for good experience because its standard loss ratios have a downward trend.</t>
  </si>
  <si>
    <t>Identify and explain two goals of experience rating.</t>
  </si>
  <si>
    <t>Policy Year</t>
  </si>
  <si>
    <t>Loss Experience</t>
  </si>
  <si>
    <t>Assume:</t>
  </si>
  <si>
    <t xml:space="preserve">   • The policy period being rated is January 1, 2021 to January 1, 2022.</t>
  </si>
  <si>
    <t>2021 indicated manual premium</t>
  </si>
  <si>
    <t>2021 experience modification factor</t>
  </si>
  <si>
    <t>Discuss whether each of the two goals identified in part (a) above are fulfilled.</t>
  </si>
  <si>
    <t>Given the following Workers' Compensation information for a Construction company:</t>
  </si>
  <si>
    <t xml:space="preserve">The Construction company plans to add an on-site medical team in 2022. </t>
  </si>
  <si>
    <t>Briefly discuss the potential impact of this to:</t>
  </si>
  <si>
    <t xml:space="preserve">   (i) the experience modification for 2022</t>
  </si>
  <si>
    <t>Two goals of experience rating are:</t>
  </si>
  <si>
    <t>1. Provide an incentive for safety improvements.</t>
  </si>
  <si>
    <t>2. Increase rating equitability by charging rates which better reflect risk.</t>
  </si>
  <si>
    <t>The experience period is January 1, 2017 through January 1, 2019.</t>
  </si>
  <si>
    <t>The construction company has had increasing loss experience but their manual premiums have grown materially.</t>
  </si>
  <si>
    <t>A debit mod is indicated because losses are consistently greater than manual premiums.</t>
  </si>
  <si>
    <t>Losses are growing slower than manual premiums which suggests the experience rating is providing an incentive for safety improvements.</t>
  </si>
  <si>
    <t>The debit mod improves rating equity because it allows more (standard) premium to be collected on this risk. This reduces the</t>
  </si>
  <si>
    <t xml:space="preserve">need for the insurer to subsidize it using other risks with better experience. </t>
  </si>
  <si>
    <t xml:space="preserve">   (ii) the schedule modification for 2022</t>
  </si>
  <si>
    <t>There is no impact to the experience modification for 2022 because the experience period is not affected by this change.</t>
  </si>
  <si>
    <t>a schedule credit modification is suitable for 2022.</t>
  </si>
  <si>
    <t xml:space="preserve">   (iii) the experience modification for 2024.</t>
  </si>
  <si>
    <t>Thus, one year of the experience period will reflect the safety improvements of having an on-site medical team.</t>
  </si>
  <si>
    <t>We expect the experience modification factor to reduce, all else being equal.</t>
  </si>
  <si>
    <t>Both Employer A and Employer B want to purchase Workers' Compensation insurance in Alabama.</t>
  </si>
  <si>
    <t>The effective date is January 1, 2023 for each policy. The following information applies:</t>
  </si>
  <si>
    <t>Policy Effective Date</t>
  </si>
  <si>
    <t>Months of Data</t>
  </si>
  <si>
    <t>Subject Premium</t>
  </si>
  <si>
    <t>Employer A</t>
  </si>
  <si>
    <t>Employer B</t>
  </si>
  <si>
    <t>Employer</t>
  </si>
  <si>
    <t>Accident Date</t>
  </si>
  <si>
    <t>Claim Amount</t>
  </si>
  <si>
    <t>Claim Description</t>
  </si>
  <si>
    <t>Med only</t>
  </si>
  <si>
    <t>Wage loss</t>
  </si>
  <si>
    <t xml:space="preserve"> 3 claims from one occurrence - wage loss</t>
  </si>
  <si>
    <t>Disease loss</t>
  </si>
  <si>
    <t>4 claims from one occurrence - wage loss</t>
  </si>
  <si>
    <r>
      <t xml:space="preserve">Use the NCCI's </t>
    </r>
    <r>
      <rPr>
        <i/>
        <sz val="11"/>
        <color theme="1"/>
        <rFont val="Calibri"/>
        <family val="2"/>
        <scheme val="minor"/>
      </rPr>
      <t>Experience Rating Plan Manual for Workers' Compensation and Employers Liability Insurance</t>
    </r>
  </si>
  <si>
    <t>to answer the following questions:</t>
  </si>
  <si>
    <t>Demonstrate whether each employer qualifies for experience rating.</t>
  </si>
  <si>
    <t>For the employer(s) that qualify for experience rating, calculate the experience rating modification(s).</t>
  </si>
  <si>
    <t>You may use the following tables:</t>
  </si>
  <si>
    <t>State</t>
  </si>
  <si>
    <t>Column A</t>
  </si>
  <si>
    <t>Column B</t>
  </si>
  <si>
    <t>AL</t>
  </si>
  <si>
    <t>The experience period is January 1, 2019 – January 1, 2021.</t>
  </si>
  <si>
    <t>the average of the three years to exceed the Column B value.</t>
  </si>
  <si>
    <t>We need either the sum of the latest two years in the experience period to exceed the Column A value, or</t>
  </si>
  <si>
    <t>Latest 2</t>
  </si>
  <si>
    <t>3-yr Avg</t>
  </si>
  <si>
    <t>Employer A qualifies for experience rating because the sum of their latest two years in the experience period is at least</t>
  </si>
  <si>
    <t>the Column A value.</t>
  </si>
  <si>
    <t xml:space="preserve">Employer B qualifies for experience rating because they met the second condition, the average of the three years in the </t>
  </si>
  <si>
    <t>experience period is at least the Column B value.</t>
  </si>
  <si>
    <t>State table of Subject Premium Eligibility Amounts</t>
  </si>
  <si>
    <t>AL Primary/Excess Split Point</t>
  </si>
  <si>
    <t>Ap</t>
  </si>
  <si>
    <t>Ae</t>
  </si>
  <si>
    <t>Expected Loss</t>
  </si>
  <si>
    <t>Expected Excess Loss</t>
  </si>
  <si>
    <t>Historical Claim Data</t>
  </si>
  <si>
    <t>Expected Primary Loss</t>
  </si>
  <si>
    <t>Expected Losses</t>
  </si>
  <si>
    <t>Weighting Value</t>
  </si>
  <si>
    <t>0 – 37,651</t>
  </si>
  <si>
    <t>10,482 – 15,135</t>
  </si>
  <si>
    <t>15,136 – 19,890</t>
  </si>
  <si>
    <t>19,891 – 33,268</t>
  </si>
  <si>
    <t>Ballast Value</t>
  </si>
  <si>
    <t>37,652 – 64,802</t>
  </si>
  <si>
    <t>B =</t>
  </si>
  <si>
    <t>W =</t>
  </si>
  <si>
    <t>Look up based on E =</t>
  </si>
  <si>
    <t>Notes</t>
  </si>
  <si>
    <t>Make sure to round to two decimal places</t>
  </si>
  <si>
    <t>Initial Mod =</t>
  </si>
  <si>
    <t>Max. Mod =</t>
  </si>
  <si>
    <t>G</t>
  </si>
  <si>
    <t>State Per Claim Accident Limit</t>
  </si>
  <si>
    <t>State Multiple Claim Accident Limit</t>
  </si>
  <si>
    <t>Final Mod =</t>
  </si>
  <si>
    <t>Below state single accident threshold so no capping.</t>
  </si>
  <si>
    <t>Disease loss, no capping required (see side calculation)</t>
  </si>
  <si>
    <t>Disease losses</t>
  </si>
  <si>
    <t>Each disease loss is capped at the applicable state per claim and multiple claim limits first.</t>
  </si>
  <si>
    <t>In this case, neither cap applies.</t>
  </si>
  <si>
    <t xml:space="preserve">Then, the sum of all capped disease losses is capped at: </t>
  </si>
  <si>
    <t>3*(State Per Claim Accident Limit) + 120% * (Expected Loss for experience period)</t>
  </si>
  <si>
    <r>
      <rPr>
        <b/>
        <sz val="11"/>
        <color theme="1"/>
        <rFont val="Calibri"/>
        <family val="2"/>
        <scheme val="minor"/>
      </rPr>
      <t>Employer A</t>
    </r>
    <r>
      <rPr>
        <sz val="11"/>
        <color theme="1"/>
        <rFont val="Calibri"/>
        <family val="2"/>
        <scheme val="minor"/>
      </rPr>
      <t xml:space="preserve"> – Only the first two claims are in the experience period.</t>
    </r>
  </si>
  <si>
    <r>
      <rPr>
        <b/>
        <sz val="11"/>
        <color theme="1"/>
        <rFont val="Calibri"/>
        <family val="2"/>
        <scheme val="minor"/>
      </rPr>
      <t>Employer B</t>
    </r>
    <r>
      <rPr>
        <sz val="11"/>
        <color theme="1"/>
        <rFont val="Calibri"/>
        <family val="2"/>
        <scheme val="minor"/>
      </rPr>
      <t xml:space="preserve"> – only the last three claims are in the experience period.</t>
    </r>
  </si>
  <si>
    <t>which in this case is:</t>
  </si>
  <si>
    <t>So in this case, no disease loss capping is required.</t>
  </si>
  <si>
    <t>Capped at state multiple claim limit, actual primary loss is doubled</t>
  </si>
  <si>
    <t>Med only so reduce by 70%</t>
  </si>
  <si>
    <t>The following data were compiled from ABC Insurance Company's portfolio of</t>
  </si>
  <si>
    <t>Private Passenger Auto policies.</t>
  </si>
  <si>
    <t>Group</t>
  </si>
  <si>
    <t xml:space="preserve">Number of accident </t>
  </si>
  <si>
    <t>free years</t>
  </si>
  <si>
    <t xml:space="preserve">Earned Premium at </t>
  </si>
  <si>
    <t>Present Group D</t>
  </si>
  <si>
    <t>Rates</t>
  </si>
  <si>
    <t>Number of</t>
  </si>
  <si>
    <t>Calculate the credibility of a single car for each of the following ranges of accident-free years:</t>
  </si>
  <si>
    <t>The following table provides the single car credibility for the XYZ automobile insurance portfolio:</t>
  </si>
  <si>
    <t>Accident-Free Years</t>
  </si>
  <si>
    <t>Single Car Credibility</t>
  </si>
  <si>
    <t>1 or more</t>
  </si>
  <si>
    <t>2 or more</t>
  </si>
  <si>
    <t>3 or more</t>
  </si>
  <si>
    <t>Discuss two conclusions which can be drawn from the different credibility results of the ABC</t>
  </si>
  <si>
    <t>and XYZ portfolios.</t>
  </si>
  <si>
    <t xml:space="preserve">Explain why analysis of the two portfolios with different classification plans could assign </t>
  </si>
  <si>
    <t>different values to the credibility of the experience of a single car.</t>
  </si>
  <si>
    <t>We'll assume Group A is really 3 or more years accident free.</t>
  </si>
  <si>
    <t>First calculate the claim frequency for each group using the earned premium as the exposure base as this is the only option.</t>
  </si>
  <si>
    <t>Years</t>
  </si>
  <si>
    <t>Claim Free</t>
  </si>
  <si>
    <t>3+</t>
  </si>
  <si>
    <t>2+</t>
  </si>
  <si>
    <t>1+</t>
  </si>
  <si>
    <t>Frequency</t>
  </si>
  <si>
    <t>Relative</t>
  </si>
  <si>
    <t>Mod</t>
  </si>
  <si>
    <t xml:space="preserve">Then calculate the relative claim frequency for each group to the total claim frequency and set the experience modification </t>
  </si>
  <si>
    <t>equal to the relative claim frequency</t>
  </si>
  <si>
    <t>Since we know the k+ group had 0 claims in the past k years for k = 1, 2, 3, the experience modification calculation,</t>
  </si>
  <si>
    <t>Mod = ZR + (1 - Z) reduces to Mod = 1 - Z</t>
  </si>
  <si>
    <t>Credibility</t>
  </si>
  <si>
    <t>Relative credibility for</t>
  </si>
  <si>
    <t>ABC</t>
  </si>
  <si>
    <t>XYZ</t>
  </si>
  <si>
    <t>ABC's relative credibilities are closer to 1, 2, 3 than XYZ's. We expect them to be close to 1, 2, 3 if the credibility</t>
  </si>
  <si>
    <t xml:space="preserve">is proportional to the number of years accident free. </t>
  </si>
  <si>
    <t>We can conclude either:</t>
  </si>
  <si>
    <t>1. XYZ has risks entering and leaving its classes whereas ABC's classes are relatively stable over time, or</t>
  </si>
  <si>
    <t>2. XYZ has changing risk characteristics over time within its classes and ABC does not.</t>
  </si>
  <si>
    <t>If a classification plan is highly refined then there is less unexplained variation between risks within the same class.</t>
  </si>
  <si>
    <t>This means experience rating is less useful and consequently we get lower credibilities.</t>
  </si>
  <si>
    <t>Whereas a less refined rating plan has a lot of unexplained variation between risks within the same class, so</t>
  </si>
  <si>
    <t>experience rating is more useful and we get higher credibilities.</t>
  </si>
  <si>
    <t>Consider two policies:</t>
  </si>
  <si>
    <t xml:space="preserve">   • A retrospectively rated policy with no loss limit,</t>
  </si>
  <si>
    <t xml:space="preserve">   • A retrospectively rated policy with a $500,000 loss limit.</t>
  </si>
  <si>
    <t>Both policies are subject to the following parameters:</t>
  </si>
  <si>
    <t>Maximum Premium Factor</t>
  </si>
  <si>
    <t>Minimum Premium Factor</t>
  </si>
  <si>
    <t>Loss Conversion Factor</t>
  </si>
  <si>
    <t>Expected Loss &amp; ALAE Ratio</t>
  </si>
  <si>
    <t>Tax Multiplier</t>
  </si>
  <si>
    <t>Expense and Profit Provision</t>
  </si>
  <si>
    <t>Loss Elimination Ratio at $500,000</t>
  </si>
  <si>
    <t>Calculate the difference between the balance equations for the two policies.</t>
  </si>
  <si>
    <t>Balance Equations</t>
  </si>
  <si>
    <t xml:space="preserve">and </t>
  </si>
  <si>
    <t xml:space="preserve">When there is a loss limitation, replace the denominators with </t>
  </si>
  <si>
    <t>No Loss Limit</t>
  </si>
  <si>
    <t>Maximum Premium Factor = G / (Standard Premium) =</t>
  </si>
  <si>
    <t>Minimum Premium Factor = H / (Standard Premium) =</t>
  </si>
  <si>
    <t>Expected Loss &amp; ALAE Ratio = E[A] / (Standard Premium) =</t>
  </si>
  <si>
    <t>Re-express the balance equations in terms of ratios to standard premium (SP)</t>
  </si>
  <si>
    <t>and</t>
  </si>
  <si>
    <t>phi(r_H) - phi(r_G) =</t>
  </si>
  <si>
    <t>r_G - r_H =</t>
  </si>
  <si>
    <t>Expense and Profit Provision = e / (Standard Premium) =</t>
  </si>
  <si>
    <t>$500,000 Loss Limit</t>
  </si>
  <si>
    <t>E[A_D] =</t>
  </si>
  <si>
    <t>Apply the balance equations with E[A_D] in the denominator instead.</t>
  </si>
  <si>
    <t>First calculate E[A_D] / (Standard Premium) using</t>
  </si>
  <si>
    <t>E[A_D] / SP =</t>
  </si>
  <si>
    <t>Again, we switch to working in terms of ratios to standard premium.</t>
  </si>
  <si>
    <t>2nd Equation Difference =</t>
  </si>
  <si>
    <t>1st Equation Difference =</t>
  </si>
  <si>
    <t>Loss Ratio</t>
  </si>
  <si>
    <t>Unlimited</t>
  </si>
  <si>
    <t>Limited</t>
  </si>
  <si>
    <t>Risk Number</t>
  </si>
  <si>
    <t>Calculate the loss elimination ratio.</t>
  </si>
  <si>
    <t>E[A] =</t>
  </si>
  <si>
    <t>We can use a straight average since we're told all risks are approximately equal in size.</t>
  </si>
  <si>
    <t>Alice: "It's fine to type out mathematical symbols, use _ to denote</t>
  </si>
  <si>
    <t>subscripts, etc. in the exam to save time rather than messing around</t>
  </si>
  <si>
    <t>with the symbol feature in the Pearson VUE environment."</t>
  </si>
  <si>
    <t>LER =</t>
  </si>
  <si>
    <t xml:space="preserve">Notice the risks are ordered by increasing unlimited loss ratio. </t>
  </si>
  <si>
    <t>To build a Table M we need an entry for each desired entry ratio plus one for each actual entry ratio</t>
  </si>
  <si>
    <t>There's no easy way to get a list of distinct entries in the Pearson VUE environment that we're aware of for now.</t>
  </si>
  <si>
    <t>Entry Ratio</t>
  </si>
  <si>
    <t># risks</t>
  </si>
  <si>
    <t># risks above</t>
  </si>
  <si>
    <t>% risks above</t>
  </si>
  <si>
    <t>phi(r)</t>
  </si>
  <si>
    <t>Entry Ratio, r</t>
  </si>
  <si>
    <t>Table M: Bold figures are the desired increments.</t>
  </si>
  <si>
    <t>Use this to check you got all of the given loss ratios</t>
  </si>
  <si>
    <t>To build the Table L we follow the same approach but use the limited loss ratios instead and add on the loss elimination ratio.</t>
  </si>
  <si>
    <t>Table L: Bold figures are the desired increments.</t>
  </si>
  <si>
    <t>Notice the entry ratio is still computed as a ratio to E[A] when building a Table L.</t>
  </si>
  <si>
    <t>phi*_D(r)</t>
  </si>
  <si>
    <t>Given the following information:</t>
  </si>
  <si>
    <t>Loss per Claim</t>
  </si>
  <si>
    <t>Percent of Claims</t>
  </si>
  <si>
    <t>Full Coverage Premium</t>
  </si>
  <si>
    <t>Expected Ground-up Loss Ratio</t>
  </si>
  <si>
    <t>ALAE as a % of losses (assume the deductible doesn't apply to ALAE)</t>
  </si>
  <si>
    <t>Profit Provision</t>
  </si>
  <si>
    <t>Additional Risk Load</t>
  </si>
  <si>
    <t>Commission</t>
  </si>
  <si>
    <t>Other Variable Expenses</t>
  </si>
  <si>
    <t>Calculate the final premium for a policy with a $100,000 deductible.</t>
  </si>
  <si>
    <t>Ground-up</t>
  </si>
  <si>
    <t>% of Claims</t>
  </si>
  <si>
    <t>Expected deductible losses, E[A_D] =</t>
  </si>
  <si>
    <t>ALAE</t>
  </si>
  <si>
    <t>Expected Ground-up loss</t>
  </si>
  <si>
    <t>This is the portion of losses we eliminate by introducing the deductible</t>
  </si>
  <si>
    <t>Expected % Deductible Loss =</t>
  </si>
  <si>
    <t>Expected unlimited losses, E[A] =</t>
  </si>
  <si>
    <r>
      <t xml:space="preserve">Calculate the deductible layer losses, </t>
    </r>
    <r>
      <rPr>
        <b/>
        <u/>
        <sz val="11"/>
        <color theme="1"/>
        <rFont val="Calibri"/>
        <family val="2"/>
        <scheme val="minor"/>
      </rPr>
      <t>given a claim occurred</t>
    </r>
  </si>
  <si>
    <t>Expected Deductible Loss</t>
  </si>
  <si>
    <t>Fixed Expense</t>
  </si>
  <si>
    <t>Credit Risk</t>
  </si>
  <si>
    <t>Final Premium</t>
  </si>
  <si>
    <t>Now apply the standard pricing formula (loss + ALAE + fixed expense) / (1 - profit provision - variable expense - commission)</t>
  </si>
  <si>
    <t>Remember, ALAE is calculated on all losses, not just the portion in excess of the deductible.</t>
  </si>
  <si>
    <t>The diagram below exhibits cumulative distribution functions:</t>
  </si>
  <si>
    <t xml:space="preserve">   • F(y) represents aggregate loss ratios with no loss limit, and</t>
  </si>
  <si>
    <t xml:space="preserve">   • F*(y) represents aggregate loss ratios adjusted for a per-occurrence loss limit.</t>
  </si>
  <si>
    <t>The diagram is also partitioned into nine areas labeled with the letters from A to I.</t>
  </si>
  <si>
    <t>Using the labels provided, give an algebraic expression for each of the following quantities:</t>
  </si>
  <si>
    <t xml:space="preserve">   (iv) The Loss Elimination Ratio</t>
  </si>
  <si>
    <t>following equation is valid.</t>
  </si>
  <si>
    <t>Table L Charge - Table M Charge = Table L Savings - Table M Savings</t>
  </si>
  <si>
    <t>(ii): B + E + H + I</t>
  </si>
  <si>
    <t>(i): H + I</t>
  </si>
  <si>
    <t>(iii): A + B</t>
  </si>
  <si>
    <t>(iv): (B + E + H) / (B + C + E + F + H + I) = B + E + H</t>
  </si>
  <si>
    <t>Alice: "You should remember the area under F equals 1 so the denominator is 1."</t>
  </si>
  <si>
    <t>Left Hand Side of Equation</t>
  </si>
  <si>
    <t>Table L Charge - Table M Charge =</t>
  </si>
  <si>
    <t>(B + E + H + I) - (H + I) = B + E</t>
  </si>
  <si>
    <t>Right Hand Side of Equation</t>
  </si>
  <si>
    <t>Table L Savings - Table M Savings =</t>
  </si>
  <si>
    <t>(A + B + D + E) - (A + D) = B + E</t>
  </si>
  <si>
    <t>LHS = RHS so the equation is valid.</t>
  </si>
  <si>
    <r>
      <t xml:space="preserve">   (i) The Table M Charge at r</t>
    </r>
    <r>
      <rPr>
        <vertAlign val="subscript"/>
        <sz val="11"/>
        <color theme="1"/>
        <rFont val="Calibri"/>
        <family val="2"/>
        <scheme val="minor"/>
      </rPr>
      <t>G</t>
    </r>
  </si>
  <si>
    <r>
      <t xml:space="preserve">   (ii) The Table L Charge at r</t>
    </r>
    <r>
      <rPr>
        <vertAlign val="subscript"/>
        <sz val="11"/>
        <color theme="1"/>
        <rFont val="Calibri"/>
        <family val="2"/>
        <scheme val="minor"/>
      </rPr>
      <t>G</t>
    </r>
  </si>
  <si>
    <r>
      <t xml:space="preserve">   (iii) The Table L Savings at r</t>
    </r>
    <r>
      <rPr>
        <vertAlign val="subscript"/>
        <sz val="11"/>
        <color theme="1"/>
        <rFont val="Calibri"/>
        <family val="2"/>
        <scheme val="minor"/>
      </rPr>
      <t>H</t>
    </r>
  </si>
  <si>
    <r>
      <t>Using the labels provided and the entry ratio r</t>
    </r>
    <r>
      <rPr>
        <vertAlign val="subscript"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, algebraically demonstrate whether the</t>
    </r>
  </si>
  <si>
    <t>Loss Amount</t>
  </si>
  <si>
    <t>Probability</t>
  </si>
  <si>
    <t>% of standard deviation of pure premium chosen as risk load</t>
  </si>
  <si>
    <t>Basic aggregate limit</t>
  </si>
  <si>
    <t>Aggregate limit on policy being priced</t>
  </si>
  <si>
    <t>You may assume there are no expenses.</t>
  </si>
  <si>
    <t>Calculate the increased limit factor with risk load for a $5,000 aggregate policy limit.</t>
  </si>
  <si>
    <t>We need the capped pure premium distributions and then to calculate the variance and standard deviation.</t>
  </si>
  <si>
    <t>Cap at $2,000</t>
  </si>
  <si>
    <t>Capped Amount</t>
  </si>
  <si>
    <t>E[S] =</t>
  </si>
  <si>
    <t>E[S^2] =</t>
  </si>
  <si>
    <t>Var(S) =</t>
  </si>
  <si>
    <t>Std Dev S =</t>
  </si>
  <si>
    <t>Risk Load =</t>
  </si>
  <si>
    <t>Cap at $5,000</t>
  </si>
  <si>
    <t>Risk Loaded ILF at $5,000</t>
  </si>
  <si>
    <t>Loss Number</t>
  </si>
  <si>
    <t>Incurred Loss</t>
  </si>
  <si>
    <t>Retention</t>
  </si>
  <si>
    <t>Limit</t>
  </si>
  <si>
    <t>Inflation rate for Workers' Compensation claims</t>
  </si>
  <si>
    <t>Calculate the inflation rate in the $500,000 excess of $500,000 layer.</t>
  </si>
  <si>
    <t>Initial Loss in Layer</t>
  </si>
  <si>
    <t>Loss in Layer</t>
  </si>
  <si>
    <t>Trend claims by one year</t>
  </si>
  <si>
    <t>Trended Loss</t>
  </si>
  <si>
    <t>Inflation rate in layer</t>
  </si>
  <si>
    <t>Alice: "Here's a bonus - another way of approaching this problem. Rather than trending the claims,</t>
  </si>
  <si>
    <t>you can detrend the future limits to today instead."</t>
  </si>
  <si>
    <t>Detrended Retention + Limit (upper bound)</t>
  </si>
  <si>
    <t>Detrended Retention (lower bound)</t>
  </si>
  <si>
    <t>Loss in layer</t>
  </si>
  <si>
    <t>Layer size</t>
  </si>
  <si>
    <t>Change in level today:</t>
  </si>
  <si>
    <t>Change in level after 1 year:</t>
  </si>
  <si>
    <t>We get the same result provided we remember to match the point in time where</t>
  </si>
  <si>
    <t>we make the inflation measurement.</t>
  </si>
  <si>
    <t>Accident</t>
  </si>
  <si>
    <t>Earned</t>
  </si>
  <si>
    <t>The analyst should separately estimate the relativities for the territories and deductibles and then</t>
  </si>
  <si>
    <t>include them in the GLM via offset terms.</t>
  </si>
  <si>
    <t>The analyst should do this for territory because there may be too many territories to realistically consider</t>
  </si>
  <si>
    <t>the territory data to be fully credible which is a core assumption when modeling with GLMs.</t>
  </si>
  <si>
    <t>The analyst should do this for deductibles because GLMs often produce counterintuitive results when modeling</t>
  </si>
  <si>
    <t>the GLM and explain why they should do this for each.</t>
  </si>
  <si>
    <t>limits/deductibles. This can be due to business decisions such as requiring high risk policies to have high deductibles.</t>
  </si>
  <si>
    <t>ln(Relativity)</t>
  </si>
  <si>
    <t>Record</t>
  </si>
  <si>
    <t>Offset</t>
  </si>
  <si>
    <t>AIC = -2*log-likelihood + 2p where p is the number of parameters.</t>
  </si>
  <si>
    <r>
      <t xml:space="preserve">The intercept is a single parameter and so the </t>
    </r>
    <r>
      <rPr>
        <i/>
        <sz val="11"/>
        <color theme="1"/>
        <rFont val="Calibri"/>
        <family val="2"/>
        <scheme val="minor"/>
      </rPr>
      <t>Age</t>
    </r>
    <r>
      <rPr>
        <sz val="11"/>
        <color theme="1"/>
        <rFont val="Calibri"/>
        <family val="2"/>
        <scheme val="minor"/>
      </rPr>
      <t xml:space="preserve"> variable contributes 4 parameters.</t>
    </r>
  </si>
  <si>
    <t>Using the third line we get</t>
  </si>
  <si>
    <t>446 = 392 + 2X which yields</t>
  </si>
  <si>
    <t>X =</t>
  </si>
  <si>
    <t>Calculate A, B, X, and Y.</t>
  </si>
  <si>
    <t>Using the first line we get</t>
  </si>
  <si>
    <t>435 = A + 2*5 which yields</t>
  </si>
  <si>
    <t>A =</t>
  </si>
  <si>
    <t>Using the fourth line we get</t>
  </si>
  <si>
    <r>
      <t xml:space="preserve">Similarly, there are 10 parameters for the </t>
    </r>
    <r>
      <rPr>
        <i/>
        <sz val="11"/>
        <color theme="1"/>
        <rFont val="Calibri"/>
        <family val="2"/>
        <scheme val="minor"/>
      </rPr>
      <t>Vehicle Body</t>
    </r>
    <r>
      <rPr>
        <sz val="11"/>
        <color theme="1"/>
        <rFont val="Calibri"/>
        <family val="2"/>
        <scheme val="minor"/>
      </rPr>
      <t xml:space="preserve"> variable.</t>
    </r>
  </si>
  <si>
    <t>So Y =</t>
  </si>
  <si>
    <t>The number of parameters found in the fourth line is then Y = X + 10.</t>
  </si>
  <si>
    <t>501 = B + 2Y which yields</t>
  </si>
  <si>
    <r>
      <t xml:space="preserve">The </t>
    </r>
    <r>
      <rPr>
        <i/>
        <sz val="11"/>
        <color theme="1"/>
        <rFont val="Calibri"/>
        <family val="2"/>
        <scheme val="minor"/>
      </rPr>
      <t>Intercept</t>
    </r>
    <r>
      <rPr>
        <sz val="11"/>
        <color theme="1"/>
        <rFont val="Calibri"/>
        <family val="2"/>
        <scheme val="minor"/>
      </rPr>
      <t xml:space="preserve"> + </t>
    </r>
    <r>
      <rPr>
        <i/>
        <sz val="11"/>
        <color theme="1"/>
        <rFont val="Calibri"/>
        <family val="2"/>
        <scheme val="minor"/>
      </rPr>
      <t>Vehicle Body</t>
    </r>
    <r>
      <rPr>
        <sz val="11"/>
        <color theme="1"/>
        <rFont val="Calibri"/>
        <family val="2"/>
        <scheme val="minor"/>
      </rPr>
      <t xml:space="preserve"> model performs best as it has the lowest AIC score.</t>
    </r>
  </si>
  <si>
    <t>Briefly explain which model performs best according to the AIC measure.</t>
  </si>
  <si>
    <t>Using the Logit link function we have ln(u/(1-u)) = x + 0.064 + 0 + -0.371 where u = 0.22.</t>
  </si>
  <si>
    <t>Therefore, x =</t>
  </si>
  <si>
    <t>Applying the Logit link function again, this time to the parameters specified in part (a)</t>
  </si>
  <si>
    <t>ln(u/(1-u)) =</t>
  </si>
  <si>
    <t xml:space="preserve">So the odds ratio is </t>
  </si>
  <si>
    <t>Briefly interpret the odds ratio derived in part (a) above.</t>
  </si>
  <si>
    <t>The odds ratio measures the strength of association; in this case between the claim frequency and driver description.</t>
  </si>
  <si>
    <t xml:space="preserve">The further away the odds ratio is from 1.000 (in either direction), the stronger the association. </t>
  </si>
  <si>
    <t>In this case, the odds ratio of 1.259 indicates a positive relationship between claim frequency and this type of driver.</t>
  </si>
  <si>
    <t>ln(u) =</t>
  </si>
  <si>
    <t>u =</t>
  </si>
  <si>
    <t>Estimated claim severity for non-electric vehicles that are trucks and drive 30 miles per day:</t>
  </si>
  <si>
    <t>Estimated claim severity for electric vehicles that are trucks and drive 30 miles per day:</t>
  </si>
  <si>
    <t>Ratio of electric to non-electric for trucks driven 30 miles per day:</t>
  </si>
  <si>
    <t>Typical means average, so drives the median miles per day and all other variables are at their base level as the base level</t>
  </si>
  <si>
    <t>(should) have the highest volume of exposures for a given rating variable.</t>
  </si>
  <si>
    <t>ln(DMD/20)</t>
  </si>
  <si>
    <t>EVInd: Yes, ln(DMD/20)</t>
  </si>
  <si>
    <r>
      <t>• An interaction variable is included as ln(D</t>
    </r>
    <r>
      <rPr>
        <i/>
        <sz val="11"/>
        <color theme="1"/>
        <rFont val="Calibri"/>
        <family val="2"/>
        <scheme val="minor"/>
      </rPr>
      <t>MD</t>
    </r>
    <r>
      <rPr>
        <sz val="11"/>
        <color theme="1"/>
        <rFont val="Calibri"/>
        <family val="2"/>
        <scheme val="minor"/>
      </rPr>
      <t xml:space="preserve">/20) for </t>
    </r>
    <r>
      <rPr>
        <i/>
        <sz val="11"/>
        <color theme="1"/>
        <rFont val="Calibri"/>
        <family val="2"/>
        <scheme val="minor"/>
      </rPr>
      <t>EVInd</t>
    </r>
    <r>
      <rPr>
        <sz val="11"/>
        <color theme="1"/>
        <rFont val="Calibri"/>
        <family val="2"/>
        <scheme val="minor"/>
      </rPr>
      <t>.</t>
    </r>
  </si>
  <si>
    <r>
      <t xml:space="preserve">• </t>
    </r>
    <r>
      <rPr>
        <i/>
        <sz val="11"/>
        <color theme="1"/>
        <rFont val="Calibri"/>
        <family val="2"/>
        <scheme val="minor"/>
      </rPr>
      <t>Daily Miles Driven</t>
    </r>
    <r>
      <rPr>
        <sz val="11"/>
        <color theme="1"/>
        <rFont val="Calibri"/>
        <family val="2"/>
        <scheme val="minor"/>
      </rPr>
      <t xml:space="preserve"> is a continuous variable with a base level of 20 miles per day.</t>
    </r>
  </si>
  <si>
    <r>
      <t>Describe how they can determine whether the interaction between ln(</t>
    </r>
    <r>
      <rPr>
        <i/>
        <sz val="11"/>
        <color theme="1"/>
        <rFont val="Calibri"/>
        <family val="2"/>
        <scheme val="minor"/>
      </rPr>
      <t>YDE</t>
    </r>
    <r>
      <rPr>
        <sz val="11"/>
        <color theme="1"/>
        <rFont val="Calibri"/>
        <family val="2"/>
        <scheme val="minor"/>
      </rPr>
      <t>) and ln(</t>
    </r>
    <r>
      <rPr>
        <i/>
        <sz val="11"/>
        <color theme="1"/>
        <rFont val="Calibri"/>
        <family val="2"/>
        <scheme val="minor"/>
      </rPr>
      <t>DMD</t>
    </r>
    <r>
      <rPr>
        <sz val="11"/>
        <color theme="1"/>
        <rFont val="Calibri"/>
        <family val="2"/>
        <scheme val="minor"/>
      </rPr>
      <t>/20)</t>
    </r>
  </si>
  <si>
    <t>The actuary can use a perspective plot.</t>
  </si>
  <si>
    <r>
      <t>Hold all variables equal except for ln(</t>
    </r>
    <r>
      <rPr>
        <i/>
        <sz val="11"/>
        <color theme="1"/>
        <rFont val="Calibri"/>
        <family val="2"/>
        <scheme val="minor"/>
      </rPr>
      <t>DMD</t>
    </r>
    <r>
      <rPr>
        <sz val="11"/>
        <color theme="1"/>
        <rFont val="Calibri"/>
        <family val="2"/>
        <scheme val="minor"/>
      </rPr>
      <t>/20) and ln(</t>
    </r>
    <r>
      <rPr>
        <i/>
        <sz val="11"/>
        <color theme="1"/>
        <rFont val="Calibri"/>
        <family val="2"/>
        <scheme val="minor"/>
      </rPr>
      <t>YDE</t>
    </r>
    <r>
      <rPr>
        <sz val="11"/>
        <color theme="1"/>
        <rFont val="Calibri"/>
        <family val="2"/>
        <scheme val="minor"/>
      </rPr>
      <t>). Model with and without the interaction.</t>
    </r>
  </si>
  <si>
    <t>Build perspective plots for with and without the interaction.</t>
  </si>
  <si>
    <t>If the perspective plots look significantly different then the interaction is likely material and should be included.</t>
  </si>
  <si>
    <t>1. GLMs assume the data is fully credible.</t>
  </si>
  <si>
    <t>2. GLMs assume the randomness of outcomes is uncorrelated.</t>
  </si>
  <si>
    <t>An insured likely has similar (correlated) outcomes across policy periods. I.e. a bad driver is usually a persistently bad driver.</t>
  </si>
  <si>
    <t>1. Renewals are present in the dataset because policies are effective for 6-months and we have two years of data.</t>
  </si>
  <si>
    <t>• Policies are effective for 6-months and the actuary uses data from 2017 through 2019.</t>
  </si>
  <si>
    <t>2. Electric vehicles are relatively new in 2017 – 2019; there may be insufficient data to be considered fully credible.</t>
  </si>
  <si>
    <t>Practice Exam 2 – Exam 8</t>
  </si>
  <si>
    <t>A State Regulator is reviewing a Homeowners rate filing made by XYZ Insuance Company (XYZ).</t>
  </si>
  <si>
    <t>Exposures</t>
  </si>
  <si>
    <t>Catastrophic</t>
  </si>
  <si>
    <t>Non-Catastrophic</t>
  </si>
  <si>
    <t>Case Incurred Loss and DCC ($000)</t>
  </si>
  <si>
    <t>15-year straight average factor</t>
  </si>
  <si>
    <t>10-year straight average factor</t>
  </si>
  <si>
    <t>First calculate the ratio of catastrophe losses to non-catastrophe losses</t>
  </si>
  <si>
    <t>is changing over time. Use the 15-year weighted average factor to estimate the expected</t>
  </si>
  <si>
    <t>NC / EE</t>
  </si>
  <si>
    <t>Actual Cat/EE</t>
  </si>
  <si>
    <t>Expected Cat/EE</t>
  </si>
  <si>
    <t>Observe the book of business has grown rapidly over time. We need to account for this by working on a per-exposure basis.</t>
  </si>
  <si>
    <t>(A-E)^2/E</t>
  </si>
  <si>
    <t>Degrees of Freedom:</t>
  </si>
  <si>
    <t>10-year exposure weighted average factor</t>
  </si>
  <si>
    <t>15-year exposure weighted average factor</t>
  </si>
  <si>
    <t>XYZ provided 15 years of historical data as of 12/31/2022 in support of their catastrophe provision:</t>
  </si>
  <si>
    <t>catastrophe losses. Explain whether you agree with XYZ's statement.</t>
  </si>
  <si>
    <t>that the risk parameters are not changing over time.</t>
  </si>
  <si>
    <t>We agree with XYZ's statement.</t>
  </si>
  <si>
    <t>The actuary at the regulator wonders if the selected provision is too high.</t>
  </si>
  <si>
    <r>
      <t xml:space="preserve">Chi-squared statistic with 14 degrees of freedom and </t>
    </r>
    <r>
      <rPr>
        <sz val="11"/>
        <color theme="1"/>
        <rFont val="Calibri"/>
        <family val="2"/>
      </rPr>
      <t>α = 0.1</t>
    </r>
  </si>
  <si>
    <r>
      <t xml:space="preserve">Apply Mahler's Chi-squared test with </t>
    </r>
    <r>
      <rPr>
        <sz val="11"/>
        <color theme="1"/>
        <rFont val="Calibri"/>
        <family val="2"/>
      </rPr>
      <t xml:space="preserve">α = 0.1 </t>
    </r>
    <r>
      <rPr>
        <sz val="11"/>
        <color theme="1"/>
        <rFont val="Calibri"/>
        <family val="2"/>
        <scheme val="minor"/>
      </rPr>
      <t xml:space="preserve">to evaluate whether the catastrophe provision </t>
    </r>
  </si>
  <si>
    <t>The actuary uses the latest 10 years of data provided by XYZ and estimates the catastrophe to</t>
  </si>
  <si>
    <t>Calculate the optimal credibility to the nearest 10% using the mean squared error criterion.</t>
  </si>
  <si>
    <t>Note: If you didn't control for the exposure growth you would incorrectly not reject the null hypothesis.</t>
  </si>
  <si>
    <t>Cat/Non-Cat</t>
  </si>
  <si>
    <t>Z =</t>
  </si>
  <si>
    <t>Estimate</t>
  </si>
  <si>
    <t>NA</t>
  </si>
  <si>
    <t>(X_Act - X_Est)^2</t>
  </si>
  <si>
    <t>Since we estimated the 15-year weighted average.</t>
  </si>
  <si>
    <t>MSE</t>
  </si>
  <si>
    <t>Once the above is set up, you iterate through the values of Z in increments of 10% to complete the table below.</t>
  </si>
  <si>
    <t>Z</t>
  </si>
  <si>
    <t>Using the method from part (b) above, estimate the future catastrophe provision which would</t>
  </si>
  <si>
    <t>Using Z =</t>
  </si>
  <si>
    <t>Catastrophe provision =</t>
  </si>
  <si>
    <t>XYZ selected a catastrophe provision of 1.980 which is higher than the industry provision but lower than that</t>
  </si>
  <si>
    <t>shifting risk parameters.</t>
  </si>
  <si>
    <t>Since the test statistic is 21.245 which is greater than the chi-squared statistic of 21.064, we reject the null hypothesis</t>
  </si>
  <si>
    <t>indicated by the optimal mean squared error process. As such, their provision is reasonable and reflects the</t>
  </si>
  <si>
    <t>Q3 -- Goldburd (GLM) -- Number of Parameters within a GLM -- 2.50 points</t>
  </si>
  <si>
    <t>Q4 -- Goldburd (GLM) -- Odds ratio -- 2.00 points</t>
  </si>
  <si>
    <t>Q5 -- Goldburd (GLM) -- Calculating with interactions -- 4.25 points</t>
  </si>
  <si>
    <t>Q6 -- Couret &amp; Venter -- Estimate variances, credibilities, and expected claims -- 4.75 points</t>
  </si>
  <si>
    <t>Q8 -- Fisher -- Quintiles &amp; Efficiency Tests -- 3.50 points</t>
  </si>
  <si>
    <t>Q9 -- Fisher -- Experience &amp; Schedule Rating -- 3.50 points</t>
  </si>
  <si>
    <t>Q11 -- Bailey &amp; Simon -- Single car-year credibility -- 3.50 points</t>
  </si>
  <si>
    <t>Q12 -- Fisher -- Balance Equations -- 2.00 points</t>
  </si>
  <si>
    <t>Q13 -- Fisher -- Tables M and L -- 4.00 points</t>
  </si>
  <si>
    <t>Q14 -- Fisher -- Large Dollar Deductible Premium -- 3.25 points</t>
  </si>
  <si>
    <t>Q15 -- Fisher -- Tables M and L -- 2.00 points</t>
  </si>
  <si>
    <t>Q16 -- Bahnemann -- Risk Loaded ILFs -- 2.00 points</t>
  </si>
  <si>
    <t>Q17 -- Bahnemann -- Excess Layer Inflation -- 1.00 point</t>
  </si>
  <si>
    <t>From the table above, the optimal credibility to assign to the data is 30% (10% to each of the last three years).</t>
  </si>
  <si>
    <t>Finished</t>
  </si>
  <si>
    <t>a.)</t>
  </si>
  <si>
    <t xml:space="preserve">For a Pareto distribution we have: </t>
  </si>
  <si>
    <t>An actuary is estimating the impact of inflation on their book of business.</t>
  </si>
  <si>
    <t>E[X; 9,000] =</t>
  </si>
  <si>
    <t>They model claim-size using a Pareto distribution with parameters:</t>
  </si>
  <si>
    <t>E[X; 5,000] =</t>
  </si>
  <si>
    <t>α =</t>
  </si>
  <si>
    <t>β =</t>
  </si>
  <si>
    <t>Excess layer expected severity =</t>
  </si>
  <si>
    <t>Estimated Inflation</t>
  </si>
  <si>
    <t>F(5,000) =</t>
  </si>
  <si>
    <t>Exposure Growth</t>
  </si>
  <si>
    <t>Calculate the expected excess severity for the layer 4,000 excess of 5,000.</t>
  </si>
  <si>
    <t>b.)</t>
  </si>
  <si>
    <t>We detrend the layer before applying the approach used in part a.)</t>
  </si>
  <si>
    <t>Before</t>
  </si>
  <si>
    <t>After</t>
  </si>
  <si>
    <t>F(x)</t>
  </si>
  <si>
    <t>E[X; L]</t>
  </si>
  <si>
    <t>Calculate the annual trend rate for claims in the layer 4,000 excess of 5,000.</t>
  </si>
  <si>
    <t>Briefly describe why the annual trend rate is lower in part b.) above than the</t>
  </si>
  <si>
    <t>estimated inflation chosen by the actuary.</t>
  </si>
  <si>
    <t>Annual Trend Rate =</t>
  </si>
  <si>
    <t xml:space="preserve">c.) </t>
  </si>
  <si>
    <t>A uniform inflationary trend does not cause all claims below the attachment point to then exceed it.</t>
  </si>
  <si>
    <t>Calculate the annual change in:</t>
  </si>
  <si>
    <t>Further, the upper limit serves to reduce the impact of inflation further because once a claim exceeds this limit</t>
  </si>
  <si>
    <t>i.) Aggregate Loss</t>
  </si>
  <si>
    <t>inflation no longer impacts the layer.</t>
  </si>
  <si>
    <t>ii.) Aggregate Loss, due to claim-size inflation only</t>
  </si>
  <si>
    <t>d.)</t>
  </si>
  <si>
    <t xml:space="preserve">Claim count annual trend due to inflation = </t>
  </si>
  <si>
    <t>We are interested in the layer 4,000 excess of 5,000 so L = 5,000.</t>
  </si>
  <si>
    <t>S(5,000) =</t>
  </si>
  <si>
    <t>S(4,545) =</t>
  </si>
  <si>
    <t>Claim count annual trend due to inflation</t>
  </si>
  <si>
    <t xml:space="preserve">However, claim counts are also increasing due to exposure growth. </t>
  </si>
  <si>
    <t>We assume the new exposures follow the same claim size distribution and loss frequency.</t>
  </si>
  <si>
    <t>Claim count annual trend to inflation and exposure growth</t>
  </si>
  <si>
    <t>In part b.) above, we calculated the claim size annual trend as</t>
  </si>
  <si>
    <t>i.)</t>
  </si>
  <si>
    <t>So the annual aggregate loss trend is</t>
  </si>
  <si>
    <t>ii.)</t>
  </si>
  <si>
    <t>We can now back out the exposure growth.</t>
  </si>
  <si>
    <t>Annual aggregate loss trend due to claim-size inflation only</t>
  </si>
  <si>
    <t xml:space="preserve">• XYZ selected the 10-year exposure weighted average catastrophe provision, citing a recent </t>
  </si>
  <si>
    <t>upward trend in the ratio of catastrophe to non-catastrophe claims.</t>
  </si>
  <si>
    <t xml:space="preserve">non-catastrophe claims ratio by giving weight Z/3 to each of the preceding three years with the </t>
  </si>
  <si>
    <t>complement being the industry ratio.</t>
  </si>
  <si>
    <t xml:space="preserve">apply to non-catastrophic losses and opine on the reasonableness of XYZ's proposed </t>
  </si>
  <si>
    <t>catastrophe provision.</t>
  </si>
  <si>
    <t>The latest available industry catastrophe provision (applied to non-CAT claims) is:</t>
  </si>
  <si>
    <t xml:space="preserve">The regulatory analyst's manager contends that insufficient consideration is given to older </t>
  </si>
  <si>
    <t>c.)</t>
  </si>
  <si>
    <t>The analysis could be repeated using say 4 or 5 years instead of 3. Since the risk parameters are</t>
  </si>
  <si>
    <t>shifting over time, we should expect the optimal credibility to decline. This is because the older years are less</t>
  </si>
  <si>
    <t>reflective of the future in a changing environment.</t>
  </si>
  <si>
    <t xml:space="preserve">historical data under the analysis used in part b.) above. </t>
  </si>
  <si>
    <t>briefly explain why.</t>
  </si>
  <si>
    <t>Parameters</t>
  </si>
  <si>
    <t xml:space="preserve"> Freedom</t>
  </si>
  <si>
    <t>Degrees of</t>
  </si>
  <si>
    <t xml:space="preserve">The probability of a driver in age group 2, from area C </t>
  </si>
  <si>
    <t>and with vehicle body type Other, having an accident.</t>
  </si>
  <si>
    <t>Briefly explain why each of the limitations in part b.) above may be present in the actuary's work.</t>
  </si>
  <si>
    <t>e.)</t>
  </si>
  <si>
    <t>Identify two limitations of Generalized Linear Models.</t>
  </si>
  <si>
    <t>f.)</t>
  </si>
  <si>
    <t>i.) Assuming the company does not already have some form of on-site medical team in the experience period (2018 – 2020).</t>
  </si>
  <si>
    <t>ii.) Since the on-site medical team is new in 2022 and should improve loss experience through reducing the severity of injuries for example,</t>
  </si>
  <si>
    <t>iii.) The experience mod for 2024 considers experience within 2020 – 2022.</t>
  </si>
  <si>
    <t xml:space="preserve">Claims </t>
  </si>
  <si>
    <t>Incurred</t>
  </si>
  <si>
    <t xml:space="preserve">   i.) 1 or more</t>
  </si>
  <si>
    <t xml:space="preserve">   ii.) 2 or more</t>
  </si>
  <si>
    <t xml:space="preserve">   iii.) 3 or more</t>
  </si>
  <si>
    <t>using increments of 10%.</t>
  </si>
  <si>
    <t>Calculate the Table M charges at loss ratios from 0% to 100%</t>
  </si>
  <si>
    <t xml:space="preserve">Calculate the Table L charges at loss ratios from 0% to 100% </t>
  </si>
  <si>
    <t xml:space="preserve">The unlimited and limited loss ratios for 15 risks of </t>
  </si>
  <si>
    <t>approximately equal size are as follows:</t>
  </si>
  <si>
    <t>You believe the standard deviation of pure premiums is an appropriate measure of risk.</t>
  </si>
  <si>
    <t>You are given the following pure premium distribution:</t>
  </si>
  <si>
    <t xml:space="preserve">An insurance company purchases Workers' Compensation excess of loss </t>
  </si>
  <si>
    <t>coverage of $500,000 per claim. Losses in the current year are as follows:</t>
  </si>
  <si>
    <t>The following policy is being rated using the ISO CGL rating plan.</t>
  </si>
  <si>
    <t>Current Company Rates per Exposure</t>
  </si>
  <si>
    <t>Effective Date</t>
  </si>
  <si>
    <t>Policy Type</t>
  </si>
  <si>
    <t>Sub-line</t>
  </si>
  <si>
    <t>Rate</t>
  </si>
  <si>
    <t>Claims-Made (CM)</t>
  </si>
  <si>
    <t>3rd-yr CM</t>
  </si>
  <si>
    <t>Prem/Ops</t>
  </si>
  <si>
    <t>Expected Loss Ratio (ELR)</t>
  </si>
  <si>
    <t>Products</t>
  </si>
  <si>
    <t>2nd-yr CM</t>
  </si>
  <si>
    <t>1st-yr CM</t>
  </si>
  <si>
    <t>Ocurrence</t>
  </si>
  <si>
    <t>Information about previous policy years</t>
  </si>
  <si>
    <t>Current Increased Limits Factors</t>
  </si>
  <si>
    <t>Aggregate Limit</t>
  </si>
  <si>
    <t>250k/500k</t>
  </si>
  <si>
    <t>200k</t>
  </si>
  <si>
    <t>250k</t>
  </si>
  <si>
    <t>500k</t>
  </si>
  <si>
    <t>2nd-year Claims-Made</t>
  </si>
  <si>
    <t>150k/500k</t>
  </si>
  <si>
    <t>100k</t>
  </si>
  <si>
    <t>1st-year Claims-Made</t>
  </si>
  <si>
    <t>100k/250k</t>
  </si>
  <si>
    <t>150k</t>
  </si>
  <si>
    <t>Occurrence</t>
  </si>
  <si>
    <t>100k/200k</t>
  </si>
  <si>
    <t>Table 13B</t>
  </si>
  <si>
    <t>4th-yr CM</t>
  </si>
  <si>
    <t>Table 13C</t>
  </si>
  <si>
    <t>Table 14</t>
  </si>
  <si>
    <t>Year of Experience Period</t>
  </si>
  <si>
    <t>Rule 5B</t>
  </si>
  <si>
    <t>Rule 5C</t>
  </si>
  <si>
    <t>Latest Year</t>
  </si>
  <si>
    <t>2nd Latest Year</t>
  </si>
  <si>
    <t>3rd Latest Year</t>
  </si>
  <si>
    <t>Policy</t>
  </si>
  <si>
    <t>Limits</t>
  </si>
  <si>
    <t>(occ/agg)</t>
  </si>
  <si>
    <t>Gross</t>
  </si>
  <si>
    <t>Annual</t>
  </si>
  <si>
    <t>Sales</t>
  </si>
  <si>
    <t xml:space="preserve"> provided below.</t>
  </si>
  <si>
    <t>Calculate the Company Subject Loss Cost using the Historical Exposures at Present Company Rates approach using the information</t>
  </si>
  <si>
    <t>The experience period is the latest three full years ending at least six months prior to the policy effective date.</t>
  </si>
  <si>
    <t xml:space="preserve">Briefly explain why the Company Subject Loss Cost should be calculated using the Historical Exposures at Present Company Rates </t>
  </si>
  <si>
    <t>approach instead of the standard approach or the Present Average Company Rates approach.</t>
  </si>
  <si>
    <t>The company has experienced rapid growth in gross annual sales. Therefore, there has been a dramatic shift</t>
  </si>
  <si>
    <t>in exposures so it is not appropriate to use the standard approach.</t>
  </si>
  <si>
    <t>We cannot use the Present Average Company Rates approach because we lack information about the</t>
  </si>
  <si>
    <t>company's annual basic limits premium.</t>
  </si>
  <si>
    <t>Type</t>
  </si>
  <si>
    <t>Historical</t>
  </si>
  <si>
    <t>Basic</t>
  </si>
  <si>
    <t>ILF</t>
  </si>
  <si>
    <t>ELR</t>
  </si>
  <si>
    <t>BLEL</t>
  </si>
  <si>
    <t>PAF 13B</t>
  </si>
  <si>
    <t>PAF 13C</t>
  </si>
  <si>
    <t>Annual Basic</t>
  </si>
  <si>
    <t>Limits Company</t>
  </si>
  <si>
    <t>Loss Cost</t>
  </si>
  <si>
    <t>1st yr CM</t>
  </si>
  <si>
    <t>Detrend</t>
  </si>
  <si>
    <t>CSLC =</t>
  </si>
  <si>
    <t>Employer A Manual Rate per $100 Payroll</t>
  </si>
  <si>
    <t>(Estimated)</t>
  </si>
  <si>
    <t>Given the payroll information below for Employer A and your result from part b.) above, determine the</t>
  </si>
  <si>
    <t>standard premium for Employer A's policy effective January 1, 2023.</t>
  </si>
  <si>
    <t>Standard Premium = Estimated Policy Period Payroll / 100 * Rate per $100 Payroll * Experience Mod</t>
  </si>
  <si>
    <t>Per-claim accident severity is modeled using a uniform distribution on the</t>
  </si>
  <si>
    <t>Expected Severity</t>
  </si>
  <si>
    <r>
      <t>x</t>
    </r>
    <r>
      <rPr>
        <vertAlign val="subscript"/>
        <sz val="11"/>
        <color theme="1"/>
        <rFont val="Calibri"/>
        <family val="2"/>
        <scheme val="minor"/>
      </rPr>
      <t>i</t>
    </r>
  </si>
  <si>
    <r>
      <t>XS(x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)</t>
    </r>
  </si>
  <si>
    <r>
      <t>LEV</t>
    </r>
    <r>
      <rPr>
        <vertAlign val="subscript"/>
        <sz val="11"/>
        <color theme="1"/>
        <rFont val="Calibri"/>
        <family val="2"/>
        <scheme val="minor"/>
      </rPr>
      <t>i</t>
    </r>
  </si>
  <si>
    <r>
      <t>LIL</t>
    </r>
    <r>
      <rPr>
        <vertAlign val="subscript"/>
        <sz val="11"/>
        <color theme="1"/>
        <rFont val="Calibri"/>
        <family val="2"/>
        <scheme val="minor"/>
      </rPr>
      <t>i</t>
    </r>
  </si>
  <si>
    <t>CDF</t>
  </si>
  <si>
    <t>PDF</t>
  </si>
  <si>
    <t>PDF Panjer</t>
  </si>
  <si>
    <t>For a uniform distribution on [0, b] we have:</t>
  </si>
  <si>
    <t>Hazard</t>
  </si>
  <si>
    <t>Expected</t>
  </si>
  <si>
    <t>Loss</t>
  </si>
  <si>
    <t xml:space="preserve">Average </t>
  </si>
  <si>
    <t>Claim Size</t>
  </si>
  <si>
    <t>AK</t>
  </si>
  <si>
    <t>A multi-state, multi-hazard group policy is being priced using the following information:</t>
  </si>
  <si>
    <t xml:space="preserve"> algorithm.</t>
  </si>
  <si>
    <t>function for a discrete version of this distribution for use in Panjer's recursive</t>
  </si>
  <si>
    <t>Variance-to-Mean relationships for claim count distributions:</t>
  </si>
  <si>
    <r>
      <t>VtM</t>
    </r>
    <r>
      <rPr>
        <vertAlign val="superscript"/>
        <sz val="11"/>
        <color theme="1"/>
        <rFont val="Calibri"/>
        <family val="2"/>
        <scheme val="minor"/>
      </rPr>
      <t>PC</t>
    </r>
    <r>
      <rPr>
        <sz val="11"/>
        <color theme="1"/>
        <rFont val="Calibri"/>
        <family val="2"/>
        <scheme val="minor"/>
      </rPr>
      <t xml:space="preserve"> = 1 + 0.811265 * E[N]</t>
    </r>
    <r>
      <rPr>
        <vertAlign val="superscript"/>
        <sz val="11"/>
        <color theme="1"/>
        <rFont val="Calibri"/>
        <family val="2"/>
        <scheme val="minor"/>
      </rPr>
      <t>PC</t>
    </r>
    <r>
      <rPr>
        <sz val="11"/>
        <color theme="1"/>
        <rFont val="Calibri"/>
        <family val="2"/>
        <scheme val="minor"/>
      </rPr>
      <t xml:space="preserve"> if E[N]</t>
    </r>
    <r>
      <rPr>
        <vertAlign val="superscript"/>
        <sz val="11"/>
        <color theme="1"/>
        <rFont val="Calibri"/>
        <family val="2"/>
        <scheme val="minor"/>
      </rPr>
      <t>PC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</rPr>
      <t>≤ 3.697927</t>
    </r>
  </si>
  <si>
    <r>
      <t>VtM</t>
    </r>
    <r>
      <rPr>
        <vertAlign val="superscript"/>
        <sz val="11"/>
        <color theme="1"/>
        <rFont val="Calibri"/>
        <family val="2"/>
        <scheme val="minor"/>
      </rPr>
      <t>PC</t>
    </r>
    <r>
      <rPr>
        <sz val="11"/>
        <color theme="1"/>
        <rFont val="Calibri"/>
        <family val="2"/>
        <scheme val="minor"/>
      </rPr>
      <t xml:space="preserve"> = 1.5 * (E[N]</t>
    </r>
    <r>
      <rPr>
        <vertAlign val="superscript"/>
        <sz val="11"/>
        <color theme="1"/>
        <rFont val="Calibri"/>
        <family val="2"/>
        <scheme val="minor"/>
      </rPr>
      <t>PC</t>
    </r>
    <r>
      <rPr>
        <sz val="11"/>
        <color theme="1"/>
        <rFont val="Calibri"/>
        <family val="2"/>
        <scheme val="minor"/>
      </rPr>
      <t>)</t>
    </r>
    <r>
      <rPr>
        <vertAlign val="superscript"/>
        <sz val="11"/>
        <color theme="1"/>
        <rFont val="Calibri"/>
        <family val="2"/>
        <scheme val="minor"/>
      </rPr>
      <t>0.75</t>
    </r>
    <r>
      <rPr>
        <sz val="11"/>
        <color theme="1"/>
        <rFont val="Calibri"/>
        <family val="2"/>
        <scheme val="minor"/>
      </rPr>
      <t xml:space="preserve"> if E[N]</t>
    </r>
    <r>
      <rPr>
        <vertAlign val="superscript"/>
        <sz val="11"/>
        <color theme="1"/>
        <rFont val="Calibri"/>
        <family val="2"/>
        <scheme val="minor"/>
      </rPr>
      <t>PC</t>
    </r>
    <r>
      <rPr>
        <sz val="11"/>
        <color theme="1"/>
        <rFont val="Calibri"/>
        <family val="2"/>
        <scheme val="minor"/>
      </rPr>
      <t xml:space="preserve"> &gt; 3.697927</t>
    </r>
  </si>
  <si>
    <t>Claim counts are modeled using a negative binomial distribution.</t>
  </si>
  <si>
    <t>interval [0, 18,000].</t>
  </si>
  <si>
    <t xml:space="preserve">Using the equally spaced evaluation points of $3,000 calculate the probability density </t>
  </si>
  <si>
    <r>
      <t>E[N]</t>
    </r>
    <r>
      <rPr>
        <vertAlign val="superscript"/>
        <sz val="11"/>
        <color theme="1"/>
        <rFont val="Calibri"/>
        <family val="2"/>
        <scheme val="minor"/>
      </rPr>
      <t>PC</t>
    </r>
    <r>
      <rPr>
        <sz val="11"/>
        <color theme="1"/>
        <rFont val="Calibri"/>
        <family val="2"/>
        <scheme val="minor"/>
      </rPr>
      <t xml:space="preserve"> =</t>
    </r>
  </si>
  <si>
    <r>
      <t>VtM</t>
    </r>
    <r>
      <rPr>
        <vertAlign val="superscript"/>
        <sz val="11"/>
        <color theme="1"/>
        <rFont val="Calibri"/>
        <family val="2"/>
        <scheme val="minor"/>
      </rPr>
      <t>PC</t>
    </r>
    <r>
      <rPr>
        <sz val="11"/>
        <color theme="1"/>
        <rFont val="Calibri"/>
        <family val="2"/>
        <scheme val="minor"/>
      </rPr>
      <t xml:space="preserve"> =</t>
    </r>
  </si>
  <si>
    <r>
      <t>Var(N)</t>
    </r>
    <r>
      <rPr>
        <vertAlign val="superscript"/>
        <sz val="11"/>
        <color theme="1"/>
        <rFont val="Calibri"/>
        <family val="2"/>
        <scheme val="minor"/>
      </rPr>
      <t>PC</t>
    </r>
    <r>
      <rPr>
        <sz val="11"/>
        <color theme="1"/>
        <rFont val="Calibri"/>
        <family val="2"/>
        <scheme val="minor"/>
      </rPr>
      <t xml:space="preserve"> =</t>
    </r>
  </si>
  <si>
    <r>
      <t>Adjustment Factor AF</t>
    </r>
    <r>
      <rPr>
        <vertAlign val="subscript"/>
        <sz val="11"/>
        <color theme="1"/>
        <rFont val="Calibri"/>
        <family val="2"/>
        <scheme val="minor"/>
      </rPr>
      <t>0</t>
    </r>
    <r>
      <rPr>
        <sz val="11"/>
        <color theme="1"/>
        <rFont val="Calibri"/>
        <family val="2"/>
        <scheme val="minor"/>
      </rPr>
      <t xml:space="preserve"> =</t>
    </r>
  </si>
  <si>
    <r>
      <t>E[N]</t>
    </r>
    <r>
      <rPr>
        <vertAlign val="superscript"/>
        <sz val="11"/>
        <color theme="1"/>
        <rFont val="Calibri"/>
        <family val="2"/>
        <scheme val="minor"/>
      </rPr>
      <t>Panjer</t>
    </r>
    <r>
      <rPr>
        <sz val="11"/>
        <color theme="1"/>
        <rFont val="Calibri"/>
        <family val="2"/>
        <scheme val="minor"/>
      </rPr>
      <t xml:space="preserve"> =</t>
    </r>
  </si>
  <si>
    <r>
      <t>VtM</t>
    </r>
    <r>
      <rPr>
        <vertAlign val="superscript"/>
        <sz val="11"/>
        <color theme="1"/>
        <rFont val="Calibri"/>
        <family val="2"/>
        <scheme val="minor"/>
      </rPr>
      <t>Panjer</t>
    </r>
    <r>
      <rPr>
        <sz val="11"/>
        <color theme="1"/>
        <rFont val="Calibri"/>
        <family val="2"/>
        <scheme val="minor"/>
      </rPr>
      <t xml:space="preserve"> =</t>
    </r>
  </si>
  <si>
    <t>Calculate the mean and variance-to-mean function for the expected claim counts on</t>
  </si>
  <si>
    <t>a per-claim basis for use in Panjer's recursive algorithm.</t>
  </si>
  <si>
    <t xml:space="preserve">Briefly describe an advantage of the NCCI Circular approach to produce the </t>
  </si>
  <si>
    <t>Aggregate Loss Factors on Demand.</t>
  </si>
  <si>
    <t xml:space="preserve">By directly calculating the limited aggregate loss distribution there is no need for an adjustment to </t>
  </si>
  <si>
    <t>remove the overlap between the loss limit and the aggregate loss limit.</t>
  </si>
  <si>
    <t>Claim #</t>
  </si>
  <si>
    <t>Loss Size</t>
  </si>
  <si>
    <t xml:space="preserve">An actuary is pricing a diminishing deductible which starts at $500 and ends </t>
  </si>
  <si>
    <t>at $1,500 using the following ground-up claims data:</t>
  </si>
  <si>
    <t>Calculate the loss elimination ratio which results from this diminishing</t>
  </si>
  <si>
    <t>deductible.</t>
  </si>
  <si>
    <t>This diminishing deductible eliminates all losses below $500 and eliminates proportionally less until the ground-up</t>
  </si>
  <si>
    <t>claim size reaches $1,500 at which point the deductible does not eliminate any loss.</t>
  </si>
  <si>
    <t>Claim</t>
  </si>
  <si>
    <t>Total loss</t>
  </si>
  <si>
    <t>The underwriter responsible for this policy believes it is better for the</t>
  </si>
  <si>
    <t xml:space="preserve">insurer to require a $1,500 franchise deductible than a $500 straight </t>
  </si>
  <si>
    <t xml:space="preserve">Give one reason in support of the franchise deductible and another </t>
  </si>
  <si>
    <t>reason in support of the straight deductible.</t>
  </si>
  <si>
    <t xml:space="preserve">deductible as the higher franchise deductible will eliminate more losses </t>
  </si>
  <si>
    <t>than the straight deductible.</t>
  </si>
  <si>
    <t>Briefly explain why the underwriter is incorrect.</t>
  </si>
  <si>
    <t>Using the above table we see the franchise deductible and straight deductible have the same LER.</t>
  </si>
  <si>
    <t>Therefore, the insurer's expected loss is the same under each.</t>
  </si>
  <si>
    <t>For Franchise Deductible:</t>
  </si>
  <si>
    <t xml:space="preserve">The franchise deductible will eliminate more small value nuisance claims than the straight deductible. </t>
  </si>
  <si>
    <t>This could reduce the insurer's loss adjustment expenses.</t>
  </si>
  <si>
    <t>For Straight Deductible:</t>
  </si>
  <si>
    <t>If the insurer pays all losses and seeks reimbursement for the deductible then the lower straight deductible</t>
  </si>
  <si>
    <r>
      <t xml:space="preserve">reduces the credit risk associated with any </t>
    </r>
    <r>
      <rPr>
        <u/>
        <sz val="11"/>
        <color theme="1"/>
        <rFont val="Calibri"/>
        <family val="2"/>
        <scheme val="minor"/>
      </rPr>
      <t>individual</t>
    </r>
    <r>
      <rPr>
        <sz val="11"/>
        <color theme="1"/>
        <rFont val="Calibri"/>
        <family val="2"/>
        <scheme val="minor"/>
      </rPr>
      <t xml:space="preserve"> claim (the expected overall credit risk is the same).</t>
    </r>
  </si>
  <si>
    <t>Size of Deductible</t>
  </si>
  <si>
    <t>Franchise</t>
  </si>
  <si>
    <t>Diminishing</t>
  </si>
  <si>
    <t>Straight</t>
  </si>
  <si>
    <t xml:space="preserve">Identify which of the following are key things to consider when the actuary is </t>
  </si>
  <si>
    <t>designing the risk classes for use in the GLM.</t>
  </si>
  <si>
    <t>i.) TRUE</t>
  </si>
  <si>
    <t>ii.) FALSE</t>
  </si>
  <si>
    <t>iii.) TRUE</t>
  </si>
  <si>
    <t>iv.) TRUE</t>
  </si>
  <si>
    <t>v.) FALSE</t>
  </si>
  <si>
    <t>iii.) Risk of adverse selection  – are the classes sufficiently homogeneous?</t>
  </si>
  <si>
    <t>iv.) Credibility – is there sufficient data in each class?</t>
  </si>
  <si>
    <t>i.)   Practicality – can you place a risk in the correct class accurately and quickly?</t>
  </si>
  <si>
    <t>ii.)  Acceptability to Sales Agents – will the variable reduce their bonuses?</t>
  </si>
  <si>
    <t>v.) Speed to Market – can they bring the product to market quicker than expected?</t>
  </si>
  <si>
    <t>Q1 -- Mahler -- Shifting Risk Parameters -- 5.75 points</t>
  </si>
  <si>
    <t>Q2 -- Goldburd (GLM) -- GLM offsets -- 2.75 points</t>
  </si>
  <si>
    <t>Q7 -- ISO Rating -- Company Subject Loss Cost -- 2.75 points</t>
  </si>
  <si>
    <t>Q10 -- NCCI Experience Rating -- Calculate experience modifications -- 5.50 points</t>
  </si>
  <si>
    <t>Q18 -- NCCI Retrospective Rating -- Preparation for Panjer's Recursive Algorithm -- 3.25 points</t>
  </si>
  <si>
    <t>Q19 -- Bahnemann -- Loss Elimination Ratios -- 2.50 points</t>
  </si>
  <si>
    <t>Q20 -- Bahnemann -- Inflation and the Pareto Distribution -- 2.75 points</t>
  </si>
  <si>
    <t>Answer the following using Couret &amp; Venter's multi-dimensional credibility technique.</t>
  </si>
  <si>
    <t>Incremental Fixed Expenses for processing a deductible (% of deductible losses)</t>
  </si>
  <si>
    <t>Additional Risk Load (% of excess losses)</t>
  </si>
  <si>
    <t>Load for uncollectible deductible payments (% of deductible losses)</t>
  </si>
  <si>
    <r>
      <t>(y - y</t>
    </r>
    <r>
      <rPr>
        <vertAlign val="subscript"/>
        <sz val="11"/>
        <color theme="1"/>
        <rFont val="Calibri"/>
        <family val="2"/>
        <scheme val="minor"/>
      </rPr>
      <t>avg</t>
    </r>
    <r>
      <rPr>
        <sz val="11"/>
        <color theme="1"/>
        <rFont val="Calibri"/>
        <family val="2"/>
        <scheme val="minor"/>
      </rPr>
      <t>)</t>
    </r>
    <r>
      <rPr>
        <vertAlign val="superscript"/>
        <sz val="11"/>
        <color theme="1"/>
        <rFont val="Calibri"/>
        <family val="2"/>
        <scheme val="minor"/>
      </rPr>
      <t>2</t>
    </r>
  </si>
  <si>
    <r>
      <t>(x-x</t>
    </r>
    <r>
      <rPr>
        <vertAlign val="subscript"/>
        <sz val="11"/>
        <color theme="1"/>
        <rFont val="Calibri"/>
        <family val="2"/>
        <scheme val="minor"/>
      </rPr>
      <t>avg</t>
    </r>
    <r>
      <rPr>
        <sz val="11"/>
        <color theme="1"/>
        <rFont val="Calibri"/>
        <family val="2"/>
        <scheme val="minor"/>
      </rPr>
      <t>)</t>
    </r>
    <r>
      <rPr>
        <vertAlign val="superscript"/>
        <sz val="11"/>
        <color theme="1"/>
        <rFont val="Calibri"/>
        <family val="2"/>
        <scheme val="minor"/>
      </rPr>
      <t>2</t>
    </r>
  </si>
  <si>
    <r>
      <t>(z- z</t>
    </r>
    <r>
      <rPr>
        <vertAlign val="subscript"/>
        <sz val="11"/>
        <color theme="1"/>
        <rFont val="Calibri"/>
        <family val="2"/>
        <scheme val="minor"/>
      </rPr>
      <t>avg</t>
    </r>
    <r>
      <rPr>
        <sz val="11"/>
        <color theme="1"/>
        <rFont val="Calibri"/>
        <family val="2"/>
        <scheme val="minor"/>
      </rPr>
      <t>)</t>
    </r>
    <r>
      <rPr>
        <vertAlign val="superscript"/>
        <sz val="11"/>
        <color theme="1"/>
        <rFont val="Calibri"/>
        <family val="2"/>
        <scheme val="minor"/>
      </rPr>
      <t>2</t>
    </r>
  </si>
  <si>
    <t>Audited Payroll</t>
  </si>
  <si>
    <r>
      <t>-2*</t>
    </r>
    <r>
      <rPr>
        <i/>
        <sz val="11"/>
        <color theme="1"/>
        <rFont val="Calibri"/>
        <family val="2"/>
        <scheme val="minor"/>
      </rPr>
      <t>ll</t>
    </r>
  </si>
  <si>
    <t xml:space="preserve">Identify what would likely happen if the analysis was repeated using more years of data in the </t>
  </si>
  <si>
    <t>catastrophe provision (not more years of data when calculating the optimal credibility) and</t>
  </si>
  <si>
    <t>Category</t>
  </si>
  <si>
    <t>GLM</t>
  </si>
  <si>
    <t>Complement</t>
  </si>
  <si>
    <t xml:space="preserve">the prior model had shown these sub-categories were insignificant by </t>
  </si>
  <si>
    <t xml:space="preserve">themselves. </t>
  </si>
  <si>
    <t>Briefly explain whether or not this presents a problem when modeling</t>
  </si>
  <si>
    <t>using lasso credibility.</t>
  </si>
  <si>
    <t>The complement of credibility for the lasso credibility model is the current</t>
  </si>
  <si>
    <t>rating plan relativities which were previously produced by a GLM.</t>
  </si>
  <si>
    <t xml:space="preserve">The actuary recently learned that the Data Enablement group who prepared the </t>
  </si>
  <si>
    <t>Lasso Credibility</t>
  </si>
  <si>
    <t>assigned to each category by the lasso credibility model and explain</t>
  </si>
  <si>
    <t>model output for a categorical variable with five levels.</t>
  </si>
  <si>
    <t>An actuary has built a GLM and a lasso credibility model and is evaluating the</t>
  </si>
  <si>
    <t xml:space="preserve">data has grouped two sub-categories to form category D because </t>
  </si>
  <si>
    <t>Categories A and D are assigned partial credibility because they deviate away from the GLM relativity towards their complement.</t>
  </si>
  <si>
    <t>Category B is assigned full credibility because even though the complement and lasso credibility relativities are the same, this category has a lot of exposures.</t>
  </si>
  <si>
    <t>Category C is assigned zero credibility because the lasso credibility relativity is the same as the complement relativity and the exposure volume is low.</t>
  </si>
  <si>
    <t>Category E is assigned full credibility because the GLM relativity and lasso credibility are the same and there are ample exposures.</t>
  </si>
  <si>
    <t>whether the results for categories A, D, and E are intuitive.</t>
  </si>
  <si>
    <t>The result for category A is intuitive because there is a small deviation from the complement and both the complement and lasso credibility relativity indicate a surcharge.</t>
  </si>
  <si>
    <t>The result for category D is not intuitive because there is a large deviation from the complement and a low exposure volume.</t>
  </si>
  <si>
    <t>The result for category E is intuitive because although the deviation is large, it is backed by a substantial volume of exposures.</t>
  </si>
  <si>
    <t xml:space="preserve">Briefly describe two ways in which the actuary could address the </t>
  </si>
  <si>
    <t>counter-intuitive results identified in part a.) above.</t>
  </si>
  <si>
    <t>1.) The complement of credibility may be inappropriate. They could use penalized lasso regression or a different complement.</t>
  </si>
  <si>
    <r>
      <t xml:space="preserve">2.) Lasso credibility with the existing complement may be appropriate but the </t>
    </r>
    <r>
      <rPr>
        <sz val="11"/>
        <color theme="1"/>
        <rFont val="Calibri"/>
        <family val="2"/>
      </rPr>
      <t>λ-parameter should likely be increased to remove the counter-intuitive results.</t>
    </r>
  </si>
  <si>
    <t>Using the table and graph below, briefly explain the broad level of credibility</t>
  </si>
  <si>
    <t>When building a lasso credibility model the data should be at least as granular as the complement. This allows the model to react to credible differences.</t>
  </si>
  <si>
    <t>While the model can be run as is, splitting category D into two sub-categories with the same complement may help resolve the reversal seen between the</t>
  </si>
  <si>
    <t>current and prior GLMs.</t>
  </si>
  <si>
    <t>Q21 -- Holmes -- Interpreting a Lasso Credibility Model -- 4.00 points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</si>
</sst>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6" formatCode="&quot;$&quot;#,##0_);[Red]\(&quot;$&quot;#,##0\)"/>
    <numFmt numFmtId="8" formatCode="&quot;$&quot;#,##0.00_);[Red]\(&quot;$&quot;#,##0.00\)"/>
    <numFmt numFmtId="164" formatCode="0.0%"/>
    <numFmt numFmtId="165" formatCode="0.000"/>
    <numFmt numFmtId="166" formatCode="#,##0.0000"/>
    <numFmt numFmtId="167" formatCode="#,##0.000000"/>
    <numFmt numFmtId="168" formatCode="0.0000"/>
    <numFmt numFmtId="169" formatCode="0.0"/>
    <numFmt numFmtId="170" formatCode="[$-409]mmmm\ d\,\ yyyy;@"/>
    <numFmt numFmtId="171" formatCode="0.00000"/>
    <numFmt numFmtId="172" formatCode="#,##0.000"/>
    <numFmt numFmtId="173" formatCode="&quot;$&quot;#,##0.00"/>
    <numFmt numFmtId="174" formatCode="#,##0.0"/>
    <numFmt numFmtId="175" formatCode="0.0000000000000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i/>
      <sz val="11"/>
      <color theme="4"/>
      <name val="Calibri"/>
      <family val="2"/>
      <scheme val="minor"/>
    </font>
    <font>
      <b/>
      <i/>
      <vertAlign val="subscript"/>
      <sz val="11"/>
      <color theme="4"/>
      <name val="Calibri"/>
      <family val="2"/>
      <scheme val="minor"/>
    </font>
    <font>
      <sz val="11"/>
      <color theme="1"/>
      <name val="Calibri"/>
      <family val="2"/>
    </font>
    <font>
      <i/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theme="2" tint="-9.9948118533890809E-2"/>
      </top>
      <bottom style="thin">
        <color theme="2" tint="-9.9948118533890809E-2"/>
      </bottom>
      <diagonal/>
    </border>
    <border>
      <left/>
      <right style="thin">
        <color theme="1"/>
      </right>
      <top style="thin">
        <color theme="2" tint="-9.9948118533890809E-2"/>
      </top>
      <bottom style="thin">
        <color theme="2" tint="-9.9948118533890809E-2"/>
      </bottom>
      <diagonal/>
    </border>
    <border>
      <left/>
      <right/>
      <top/>
      <bottom style="thin">
        <color theme="2" tint="-9.9948118533890809E-2"/>
      </bottom>
      <diagonal/>
    </border>
    <border>
      <left/>
      <right style="thin">
        <color theme="1"/>
      </right>
      <top/>
      <bottom style="thin">
        <color theme="2" tint="-9.9948118533890809E-2"/>
      </bottom>
      <diagonal/>
    </border>
    <border>
      <left/>
      <right style="thin">
        <color auto="1"/>
      </right>
      <top/>
      <bottom style="thin">
        <color theme="2" tint="-9.9948118533890809E-2"/>
      </bottom>
      <diagonal/>
    </border>
    <border>
      <left/>
      <right style="thin">
        <color auto="1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430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Continuous"/>
    </xf>
    <xf numFmtId="0" fontId="0" fillId="0" borderId="0" xfId="0" applyProtection="1">
      <protection locked="0"/>
    </xf>
    <xf numFmtId="0" fontId="2" fillId="3" borderId="3" xfId="0" applyFont="1" applyFill="1" applyBorder="1" applyAlignment="1" applyProtection="1">
      <alignment horizontal="center"/>
      <protection locked="0"/>
    </xf>
    <xf numFmtId="0" fontId="0" fillId="2" borderId="0" xfId="0" applyFill="1"/>
    <xf numFmtId="0" fontId="0" fillId="2" borderId="0" xfId="0" applyFill="1" applyAlignment="1">
      <alignment horizontal="left"/>
    </xf>
    <xf numFmtId="164" fontId="2" fillId="0" borderId="0" xfId="1" applyNumberFormat="1" applyFont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0" fillId="2" borderId="5" xfId="0" applyFill="1" applyBorder="1"/>
    <xf numFmtId="0" fontId="0" fillId="2" borderId="7" xfId="0" applyFill="1" applyBorder="1"/>
    <xf numFmtId="0" fontId="0" fillId="2" borderId="8" xfId="0" applyFill="1" applyBorder="1"/>
    <xf numFmtId="0" fontId="5" fillId="2" borderId="7" xfId="0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9" xfId="0" applyFill="1" applyBorder="1"/>
    <xf numFmtId="0" fontId="0" fillId="2" borderId="10" xfId="0" applyFill="1" applyBorder="1"/>
    <xf numFmtId="0" fontId="0" fillId="2" borderId="11" xfId="0" applyFill="1" applyBorder="1"/>
    <xf numFmtId="0" fontId="0" fillId="0" borderId="22" xfId="0" applyBorder="1" applyAlignment="1">
      <alignment horizontal="center"/>
    </xf>
    <xf numFmtId="2" fontId="0" fillId="0" borderId="22" xfId="0" applyNumberForma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0" fillId="0" borderId="23" xfId="0" applyBorder="1" applyAlignment="1">
      <alignment horizontal="center"/>
    </xf>
    <xf numFmtId="2" fontId="0" fillId="0" borderId="23" xfId="0" applyNumberFormat="1" applyBorder="1" applyAlignment="1">
      <alignment horizontal="center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9" fillId="0" borderId="23" xfId="2" applyBorder="1" applyAlignment="1">
      <alignment horizontal="center"/>
    </xf>
    <xf numFmtId="0" fontId="10" fillId="0" borderId="0" xfId="0" applyFont="1" applyAlignment="1">
      <alignment horizontal="centerContinuous"/>
    </xf>
    <xf numFmtId="0" fontId="11" fillId="0" borderId="0" xfId="0" applyFont="1" applyAlignment="1">
      <alignment horizontal="centerContinuous"/>
    </xf>
    <xf numFmtId="0" fontId="12" fillId="0" borderId="0" xfId="0" applyFont="1" applyAlignment="1">
      <alignment horizontal="centerContinuous"/>
    </xf>
    <xf numFmtId="2" fontId="0" fillId="0" borderId="24" xfId="0" applyNumberFormat="1" applyBorder="1" applyAlignment="1">
      <alignment horizontal="center"/>
    </xf>
    <xf numFmtId="0" fontId="9" fillId="0" borderId="25" xfId="2" applyBorder="1" applyAlignment="1">
      <alignment horizontal="center"/>
    </xf>
    <xf numFmtId="2" fontId="0" fillId="0" borderId="26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25" xfId="0" applyBorder="1" applyAlignment="1">
      <alignment horizontal="center"/>
    </xf>
    <xf numFmtId="0" fontId="2" fillId="0" borderId="0" xfId="0" applyFont="1"/>
    <xf numFmtId="0" fontId="2" fillId="0" borderId="1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9" fillId="0" borderId="27" xfId="2" applyBorder="1" applyAlignment="1">
      <alignment horizontal="center"/>
    </xf>
    <xf numFmtId="0" fontId="9" fillId="0" borderId="28" xfId="2" applyBorder="1" applyAlignment="1">
      <alignment horizontal="center"/>
    </xf>
    <xf numFmtId="0" fontId="0" fillId="0" borderId="0" xfId="0" applyAlignment="1" applyProtection="1">
      <alignment horizontal="center"/>
      <protection locked="0"/>
    </xf>
    <xf numFmtId="0" fontId="15" fillId="0" borderId="1" xfId="0" applyFont="1" applyBorder="1"/>
    <xf numFmtId="0" fontId="13" fillId="0" borderId="1" xfId="0" applyFont="1" applyBorder="1"/>
    <xf numFmtId="0" fontId="15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2" fontId="0" fillId="0" borderId="0" xfId="0" applyNumberFormat="1" applyAlignment="1">
      <alignment horizontal="center"/>
    </xf>
    <xf numFmtId="0" fontId="0" fillId="2" borderId="20" xfId="0" applyFill="1" applyBorder="1" applyAlignment="1">
      <alignment horizontal="center"/>
    </xf>
    <xf numFmtId="0" fontId="0" fillId="2" borderId="29" xfId="0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0" fillId="2" borderId="17" xfId="0" applyFill="1" applyBorder="1" applyAlignment="1">
      <alignment horizontal="center"/>
    </xf>
    <xf numFmtId="6" fontId="0" fillId="2" borderId="14" xfId="0" applyNumberFormat="1" applyFill="1" applyBorder="1" applyAlignment="1">
      <alignment horizontal="center"/>
    </xf>
    <xf numFmtId="6" fontId="0" fillId="2" borderId="21" xfId="0" applyNumberFormat="1" applyFill="1" applyBorder="1" applyAlignment="1">
      <alignment horizontal="center"/>
    </xf>
    <xf numFmtId="6" fontId="0" fillId="2" borderId="16" xfId="0" applyNumberFormat="1" applyFill="1" applyBorder="1" applyAlignment="1">
      <alignment horizontal="center"/>
    </xf>
    <xf numFmtId="6" fontId="0" fillId="2" borderId="17" xfId="0" applyNumberForma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9" fillId="2" borderId="6" xfId="2" applyFill="1" applyBorder="1" applyAlignment="1" applyProtection="1">
      <alignment horizontal="right"/>
    </xf>
    <xf numFmtId="0" fontId="3" fillId="2" borderId="5" xfId="0" applyFont="1" applyFill="1" applyBorder="1" applyAlignment="1" applyProtection="1">
      <alignment horizontal="center"/>
      <protection locked="0"/>
    </xf>
    <xf numFmtId="0" fontId="14" fillId="0" borderId="0" xfId="0" applyFont="1" applyProtection="1">
      <protection locked="0"/>
    </xf>
    <xf numFmtId="0" fontId="0" fillId="2" borderId="13" xfId="0" applyFill="1" applyBorder="1" applyAlignment="1">
      <alignment horizontal="center"/>
    </xf>
    <xf numFmtId="165" fontId="0" fillId="2" borderId="14" xfId="0" applyNumberFormat="1" applyFill="1" applyBorder="1" applyAlignment="1">
      <alignment horizontal="center"/>
    </xf>
    <xf numFmtId="165" fontId="0" fillId="2" borderId="21" xfId="0" applyNumberFormat="1" applyFill="1" applyBorder="1" applyAlignment="1">
      <alignment horizontal="center"/>
    </xf>
    <xf numFmtId="0" fontId="0" fillId="2" borderId="12" xfId="0" applyFill="1" applyBorder="1"/>
    <xf numFmtId="0" fontId="0" fillId="2" borderId="18" xfId="0" applyFill="1" applyBorder="1"/>
    <xf numFmtId="0" fontId="0" fillId="2" borderId="15" xfId="0" applyFill="1" applyBorder="1" applyAlignment="1">
      <alignment horizontal="center"/>
    </xf>
    <xf numFmtId="0" fontId="0" fillId="2" borderId="29" xfId="0" applyFill="1" applyBorder="1"/>
    <xf numFmtId="0" fontId="0" fillId="2" borderId="14" xfId="0" applyFill="1" applyBorder="1" applyAlignment="1">
      <alignment horizontal="center"/>
    </xf>
    <xf numFmtId="0" fontId="0" fillId="2" borderId="20" xfId="0" applyFill="1" applyBorder="1"/>
    <xf numFmtId="0" fontId="0" fillId="2" borderId="21" xfId="0" applyFill="1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0" fillId="2" borderId="15" xfId="0" applyFill="1" applyBorder="1"/>
    <xf numFmtId="0" fontId="0" fillId="2" borderId="18" xfId="0" applyFill="1" applyBorder="1" applyAlignment="1">
      <alignment horizontal="centerContinuous"/>
    </xf>
    <xf numFmtId="0" fontId="0" fillId="2" borderId="30" xfId="0" applyFill="1" applyBorder="1" applyAlignment="1">
      <alignment horizontal="centerContinuous"/>
    </xf>
    <xf numFmtId="0" fontId="0" fillId="2" borderId="19" xfId="0" applyFill="1" applyBorder="1" applyAlignment="1">
      <alignment horizontal="centerContinuous"/>
    </xf>
    <xf numFmtId="3" fontId="0" fillId="2" borderId="29" xfId="0" applyNumberFormat="1" applyFill="1" applyBorder="1" applyAlignment="1">
      <alignment horizontal="center"/>
    </xf>
    <xf numFmtId="3" fontId="0" fillId="2" borderId="14" xfId="0" applyNumberFormat="1" applyFill="1" applyBorder="1" applyAlignment="1">
      <alignment horizontal="center"/>
    </xf>
    <xf numFmtId="3" fontId="0" fillId="2" borderId="12" xfId="0" applyNumberFormat="1" applyFill="1" applyBorder="1" applyAlignment="1">
      <alignment horizontal="center"/>
    </xf>
    <xf numFmtId="3" fontId="0" fillId="2" borderId="31" xfId="0" applyNumberFormat="1" applyFill="1" applyBorder="1" applyAlignment="1">
      <alignment horizontal="center"/>
    </xf>
    <xf numFmtId="3" fontId="0" fillId="2" borderId="13" xfId="0" applyNumberFormat="1" applyFill="1" applyBorder="1" applyAlignment="1">
      <alignment horizontal="center"/>
    </xf>
    <xf numFmtId="0" fontId="0" fillId="2" borderId="15" xfId="0" applyFill="1" applyBorder="1" applyProtection="1">
      <protection locked="0"/>
    </xf>
    <xf numFmtId="0" fontId="0" fillId="2" borderId="18" xfId="0" applyFill="1" applyBorder="1" applyAlignment="1" applyProtection="1">
      <alignment horizontal="centerContinuous"/>
      <protection locked="0"/>
    </xf>
    <xf numFmtId="0" fontId="0" fillId="2" borderId="30" xfId="0" applyFill="1" applyBorder="1" applyAlignment="1" applyProtection="1">
      <alignment horizontal="centerContinuous"/>
      <protection locked="0"/>
    </xf>
    <xf numFmtId="0" fontId="0" fillId="2" borderId="19" xfId="0" applyFill="1" applyBorder="1" applyAlignment="1" applyProtection="1">
      <alignment horizontal="centerContinuous"/>
      <protection locked="0"/>
    </xf>
    <xf numFmtId="0" fontId="0" fillId="2" borderId="17" xfId="0" applyFill="1" applyBorder="1" applyAlignment="1" applyProtection="1">
      <alignment horizontal="center"/>
      <protection locked="0"/>
    </xf>
    <xf numFmtId="0" fontId="0" fillId="2" borderId="20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21" xfId="0" applyFill="1" applyBorder="1" applyAlignment="1" applyProtection="1">
      <alignment horizontal="center"/>
      <protection locked="0"/>
    </xf>
    <xf numFmtId="0" fontId="0" fillId="2" borderId="15" xfId="0" applyFill="1" applyBorder="1" applyAlignment="1" applyProtection="1">
      <alignment horizontal="center"/>
      <protection locked="0"/>
    </xf>
    <xf numFmtId="166" fontId="0" fillId="2" borderId="18" xfId="0" applyNumberFormat="1" applyFill="1" applyBorder="1" applyAlignment="1" applyProtection="1">
      <alignment horizontal="center"/>
      <protection locked="0"/>
    </xf>
    <xf numFmtId="166" fontId="0" fillId="2" borderId="0" xfId="0" applyNumberFormat="1" applyFill="1" applyAlignment="1" applyProtection="1">
      <alignment horizontal="center"/>
      <protection locked="0"/>
    </xf>
    <xf numFmtId="166" fontId="0" fillId="2" borderId="14" xfId="0" applyNumberFormat="1" applyFill="1" applyBorder="1" applyAlignment="1" applyProtection="1">
      <alignment horizontal="center"/>
      <protection locked="0"/>
    </xf>
    <xf numFmtId="0" fontId="0" fillId="2" borderId="16" xfId="0" applyFill="1" applyBorder="1" applyAlignment="1" applyProtection="1">
      <alignment horizontal="center"/>
      <protection locked="0"/>
    </xf>
    <xf numFmtId="166" fontId="0" fillId="2" borderId="29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alignment horizontal="center"/>
      <protection locked="0"/>
    </xf>
    <xf numFmtId="166" fontId="0" fillId="2" borderId="12" xfId="0" applyNumberFormat="1" applyFill="1" applyBorder="1" applyAlignment="1" applyProtection="1">
      <alignment horizontal="center"/>
      <protection locked="0"/>
    </xf>
    <xf numFmtId="166" fontId="0" fillId="2" borderId="31" xfId="0" applyNumberFormat="1" applyFill="1" applyBorder="1" applyAlignment="1" applyProtection="1">
      <alignment horizontal="center"/>
      <protection locked="0"/>
    </xf>
    <xf numFmtId="166" fontId="0" fillId="2" borderId="13" xfId="0" applyNumberFormat="1" applyFill="1" applyBorder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centerContinuous"/>
      <protection locked="0"/>
    </xf>
    <xf numFmtId="166" fontId="0" fillId="0" borderId="0" xfId="0" applyNumberFormat="1" applyAlignment="1" applyProtection="1">
      <alignment horizontal="center"/>
      <protection locked="0"/>
    </xf>
    <xf numFmtId="167" fontId="0" fillId="0" borderId="0" xfId="0" applyNumberFormat="1" applyAlignment="1" applyProtection="1">
      <alignment horizontal="center"/>
      <protection locked="0"/>
    </xf>
    <xf numFmtId="0" fontId="18" fillId="0" borderId="0" xfId="0" applyFont="1" applyProtection="1">
      <protection locked="0"/>
    </xf>
    <xf numFmtId="3" fontId="0" fillId="2" borderId="0" xfId="0" applyNumberFormat="1" applyFill="1" applyAlignment="1">
      <alignment horizontal="center"/>
    </xf>
    <xf numFmtId="168" fontId="0" fillId="2" borderId="19" xfId="0" applyNumberFormat="1" applyFill="1" applyBorder="1"/>
    <xf numFmtId="168" fontId="0" fillId="2" borderId="21" xfId="0" applyNumberFormat="1" applyFill="1" applyBorder="1"/>
    <xf numFmtId="167" fontId="0" fillId="0" borderId="0" xfId="0" applyNumberFormat="1" applyProtection="1">
      <protection locked="0"/>
    </xf>
    <xf numFmtId="167" fontId="0" fillId="4" borderId="0" xfId="0" applyNumberFormat="1" applyFill="1" applyProtection="1">
      <protection locked="0"/>
    </xf>
    <xf numFmtId="0" fontId="19" fillId="0" borderId="0" xfId="0" applyFont="1" applyProtection="1">
      <protection locked="0"/>
    </xf>
    <xf numFmtId="3" fontId="0" fillId="0" borderId="16" xfId="0" applyNumberFormat="1" applyBorder="1" applyAlignment="1" applyProtection="1">
      <alignment horizontal="center"/>
      <protection locked="0"/>
    </xf>
    <xf numFmtId="3" fontId="0" fillId="0" borderId="17" xfId="0" applyNumberFormat="1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Continuous"/>
      <protection locked="0"/>
    </xf>
    <xf numFmtId="0" fontId="0" fillId="0" borderId="12" xfId="0" applyBorder="1" applyAlignment="1" applyProtection="1">
      <alignment horizontal="centerContinuous"/>
      <protection locked="0"/>
    </xf>
    <xf numFmtId="0" fontId="0" fillId="0" borderId="18" xfId="0" applyBorder="1" applyAlignment="1" applyProtection="1">
      <alignment horizontal="center"/>
      <protection locked="0"/>
    </xf>
    <xf numFmtId="0" fontId="0" fillId="0" borderId="19" xfId="0" applyBorder="1" applyAlignment="1" applyProtection="1">
      <alignment horizontal="center"/>
      <protection locked="0"/>
    </xf>
    <xf numFmtId="3" fontId="0" fillId="0" borderId="30" xfId="0" applyNumberFormat="1" applyBorder="1" applyAlignment="1" applyProtection="1">
      <alignment horizontal="center"/>
      <protection locked="0"/>
    </xf>
    <xf numFmtId="3" fontId="0" fillId="0" borderId="15" xfId="0" applyNumberFormat="1" applyBorder="1" applyAlignment="1" applyProtection="1">
      <alignment horizontal="center"/>
      <protection locked="0"/>
    </xf>
    <xf numFmtId="165" fontId="0" fillId="0" borderId="30" xfId="0" applyNumberFormat="1" applyBorder="1" applyAlignment="1" applyProtection="1">
      <alignment horizontal="center"/>
      <protection locked="0"/>
    </xf>
    <xf numFmtId="165" fontId="0" fillId="0" borderId="15" xfId="0" applyNumberFormat="1" applyBorder="1" applyAlignment="1" applyProtection="1">
      <alignment horizontal="center"/>
      <protection locked="0"/>
    </xf>
    <xf numFmtId="165" fontId="0" fillId="0" borderId="0" xfId="0" applyNumberFormat="1" applyAlignment="1" applyProtection="1">
      <alignment horizontal="center"/>
      <protection locked="0"/>
    </xf>
    <xf numFmtId="0" fontId="0" fillId="0" borderId="29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3" fontId="0" fillId="0" borderId="0" xfId="0" applyNumberFormat="1" applyAlignment="1" applyProtection="1">
      <alignment horizontal="center"/>
      <protection locked="0"/>
    </xf>
    <xf numFmtId="165" fontId="0" fillId="0" borderId="16" xfId="0" applyNumberFormat="1" applyBorder="1" applyAlignment="1" applyProtection="1">
      <alignment horizontal="center"/>
      <protection locked="0"/>
    </xf>
    <xf numFmtId="0" fontId="0" fillId="0" borderId="20" xfId="0" applyBorder="1" applyAlignment="1" applyProtection="1">
      <alignment horizontal="center"/>
      <protection locked="0"/>
    </xf>
    <xf numFmtId="0" fontId="0" fillId="0" borderId="21" xfId="0" applyBorder="1" applyAlignment="1" applyProtection="1">
      <alignment horizontal="center"/>
      <protection locked="0"/>
    </xf>
    <xf numFmtId="3" fontId="0" fillId="0" borderId="1" xfId="0" applyNumberFormat="1" applyBorder="1" applyAlignment="1" applyProtection="1">
      <alignment horizontal="center"/>
      <protection locked="0"/>
    </xf>
    <xf numFmtId="165" fontId="0" fillId="0" borderId="1" xfId="0" applyNumberFormat="1" applyBorder="1" applyAlignment="1" applyProtection="1">
      <alignment horizontal="center"/>
      <protection locked="0"/>
    </xf>
    <xf numFmtId="165" fontId="0" fillId="0" borderId="17" xfId="0" applyNumberFormat="1" applyBorder="1" applyAlignment="1" applyProtection="1">
      <alignment horizontal="center"/>
      <protection locked="0"/>
    </xf>
    <xf numFmtId="0" fontId="0" fillId="0" borderId="12" xfId="0" applyBorder="1" applyAlignment="1" applyProtection="1">
      <alignment horizontal="left"/>
      <protection locked="0"/>
    </xf>
    <xf numFmtId="0" fontId="0" fillId="0" borderId="31" xfId="0" applyBorder="1" applyProtection="1">
      <protection locked="0"/>
    </xf>
    <xf numFmtId="3" fontId="0" fillId="0" borderId="31" xfId="0" applyNumberFormat="1" applyBorder="1" applyAlignment="1" applyProtection="1">
      <alignment horizontal="center"/>
      <protection locked="0"/>
    </xf>
    <xf numFmtId="165" fontId="0" fillId="0" borderId="2" xfId="0" applyNumberFormat="1" applyBorder="1" applyAlignment="1" applyProtection="1">
      <alignment horizontal="center"/>
      <protection locked="0"/>
    </xf>
    <xf numFmtId="165" fontId="0" fillId="0" borderId="13" xfId="0" applyNumberFormat="1" applyBorder="1" applyAlignment="1" applyProtection="1">
      <alignment horizontal="center"/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31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165" fontId="0" fillId="0" borderId="14" xfId="0" applyNumberFormat="1" applyBorder="1" applyAlignment="1" applyProtection="1">
      <alignment horizontal="center"/>
      <protection locked="0"/>
    </xf>
    <xf numFmtId="165" fontId="0" fillId="0" borderId="21" xfId="0" applyNumberFormat="1" applyBorder="1" applyAlignment="1" applyProtection="1">
      <alignment horizontal="center"/>
      <protection locked="0"/>
    </xf>
    <xf numFmtId="165" fontId="0" fillId="0" borderId="12" xfId="0" applyNumberFormat="1" applyBorder="1" applyAlignment="1" applyProtection="1">
      <alignment horizont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2" xfId="0" applyBorder="1" applyProtection="1">
      <protection locked="0"/>
    </xf>
    <xf numFmtId="0" fontId="3" fillId="2" borderId="5" xfId="0" applyFont="1" applyFill="1" applyBorder="1" applyAlignment="1">
      <alignment horizontal="center"/>
    </xf>
    <xf numFmtId="0" fontId="0" fillId="2" borderId="12" xfId="0" applyFill="1" applyBorder="1" applyAlignment="1">
      <alignment horizontal="centerContinuous"/>
    </xf>
    <xf numFmtId="0" fontId="0" fillId="2" borderId="13" xfId="0" applyFill="1" applyBorder="1" applyAlignment="1">
      <alignment horizontal="centerContinuous"/>
    </xf>
    <xf numFmtId="2" fontId="0" fillId="2" borderId="16" xfId="0" applyNumberFormat="1" applyFill="1" applyBorder="1" applyAlignment="1">
      <alignment horizontal="center"/>
    </xf>
    <xf numFmtId="3" fontId="0" fillId="2" borderId="15" xfId="0" applyNumberFormat="1" applyFill="1" applyBorder="1" applyAlignment="1">
      <alignment horizontal="center"/>
    </xf>
    <xf numFmtId="3" fontId="0" fillId="2" borderId="16" xfId="0" applyNumberFormat="1" applyFill="1" applyBorder="1" applyAlignment="1">
      <alignment horizontal="center"/>
    </xf>
    <xf numFmtId="3" fontId="0" fillId="2" borderId="8" xfId="0" applyNumberFormat="1" applyFill="1" applyBorder="1"/>
    <xf numFmtId="2" fontId="0" fillId="2" borderId="17" xfId="0" applyNumberFormat="1" applyFill="1" applyBorder="1" applyAlignment="1">
      <alignment horizontal="center"/>
    </xf>
    <xf numFmtId="3" fontId="0" fillId="2" borderId="17" xfId="0" applyNumberForma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3" fontId="0" fillId="2" borderId="19" xfId="0" applyNumberFormat="1" applyFill="1" applyBorder="1" applyAlignment="1">
      <alignment horizontal="center"/>
    </xf>
    <xf numFmtId="3" fontId="0" fillId="2" borderId="21" xfId="0" applyNumberFormat="1" applyFill="1" applyBorder="1" applyAlignment="1">
      <alignment horizontal="center"/>
    </xf>
    <xf numFmtId="3" fontId="0" fillId="2" borderId="0" xfId="0" applyNumberFormat="1" applyFill="1"/>
    <xf numFmtId="3" fontId="0" fillId="0" borderId="0" xfId="0" applyNumberFormat="1" applyProtection="1">
      <protection locked="0"/>
    </xf>
    <xf numFmtId="0" fontId="2" fillId="0" borderId="2" xfId="0" applyFont="1" applyBorder="1" applyAlignment="1" applyProtection="1">
      <alignment horizontal="center"/>
      <protection locked="0"/>
    </xf>
    <xf numFmtId="3" fontId="0" fillId="0" borderId="0" xfId="0" applyNumberFormat="1" applyAlignment="1" applyProtection="1">
      <alignment horizontal="left"/>
      <protection locked="0"/>
    </xf>
    <xf numFmtId="0" fontId="0" fillId="2" borderId="17" xfId="0" applyFill="1" applyBorder="1"/>
    <xf numFmtId="170" fontId="0" fillId="2" borderId="16" xfId="0" applyNumberFormat="1" applyFill="1" applyBorder="1" applyAlignment="1">
      <alignment horizontal="center"/>
    </xf>
    <xf numFmtId="170" fontId="0" fillId="2" borderId="17" xfId="0" applyNumberFormat="1" applyFill="1" applyBorder="1" applyAlignment="1">
      <alignment horizontal="center"/>
    </xf>
    <xf numFmtId="0" fontId="0" fillId="2" borderId="31" xfId="0" applyFill="1" applyBorder="1"/>
    <xf numFmtId="3" fontId="0" fillId="2" borderId="2" xfId="0" applyNumberFormat="1" applyFill="1" applyBorder="1" applyAlignment="1">
      <alignment horizontal="center"/>
    </xf>
    <xf numFmtId="0" fontId="0" fillId="2" borderId="13" xfId="0" applyFill="1" applyBorder="1"/>
    <xf numFmtId="0" fontId="0" fillId="2" borderId="14" xfId="0" applyFill="1" applyBorder="1"/>
    <xf numFmtId="0" fontId="0" fillId="2" borderId="21" xfId="0" applyFill="1" applyBorder="1"/>
    <xf numFmtId="6" fontId="0" fillId="2" borderId="2" xfId="0" applyNumberFormat="1" applyFill="1" applyBorder="1" applyAlignment="1">
      <alignment horizontal="center"/>
    </xf>
    <xf numFmtId="0" fontId="0" fillId="2" borderId="30" xfId="0" applyFill="1" applyBorder="1"/>
    <xf numFmtId="0" fontId="2" fillId="0" borderId="1" xfId="0" applyFont="1" applyBorder="1" applyAlignment="1" applyProtection="1">
      <alignment horizontal="center"/>
      <protection locked="0"/>
    </xf>
    <xf numFmtId="0" fontId="2" fillId="0" borderId="1" xfId="0" applyFont="1" applyBorder="1" applyProtection="1">
      <protection locked="0"/>
    </xf>
    <xf numFmtId="0" fontId="2" fillId="2" borderId="18" xfId="0" applyFont="1" applyFill="1" applyBorder="1" applyAlignment="1">
      <alignment horizontal="center"/>
    </xf>
    <xf numFmtId="0" fontId="2" fillId="2" borderId="15" xfId="0" applyFont="1" applyFill="1" applyBorder="1" applyAlignment="1">
      <alignment horizontal="center"/>
    </xf>
    <xf numFmtId="0" fontId="2" fillId="2" borderId="19" xfId="0" applyFont="1" applyFill="1" applyBorder="1" applyAlignment="1">
      <alignment horizontal="center"/>
    </xf>
    <xf numFmtId="0" fontId="2" fillId="2" borderId="29" xfId="0" applyFont="1" applyFill="1" applyBorder="1" applyAlignment="1">
      <alignment horizontal="center"/>
    </xf>
    <xf numFmtId="0" fontId="2" fillId="2" borderId="16" xfId="0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2" fillId="2" borderId="20" xfId="0" applyFont="1" applyFill="1" applyBorder="1" applyAlignment="1">
      <alignment horizontal="center"/>
    </xf>
    <xf numFmtId="0" fontId="2" fillId="2" borderId="17" xfId="0" applyFont="1" applyFill="1" applyBorder="1" applyAlignment="1">
      <alignment horizontal="center"/>
    </xf>
    <xf numFmtId="0" fontId="2" fillId="2" borderId="2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165" fontId="0" fillId="2" borderId="19" xfId="0" applyNumberFormat="1" applyFill="1" applyBorder="1" applyAlignment="1">
      <alignment horizontal="center"/>
    </xf>
    <xf numFmtId="171" fontId="0" fillId="0" borderId="0" xfId="0" applyNumberFormat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168" fontId="0" fillId="0" borderId="1" xfId="0" applyNumberFormat="1" applyBorder="1" applyAlignment="1" applyProtection="1">
      <alignment horizontal="center"/>
      <protection locked="0"/>
    </xf>
    <xf numFmtId="0" fontId="2" fillId="0" borderId="18" xfId="0" applyFont="1" applyBorder="1" applyAlignment="1" applyProtection="1">
      <alignment horizontal="center"/>
      <protection locked="0"/>
    </xf>
    <xf numFmtId="0" fontId="2" fillId="0" borderId="30" xfId="0" applyFont="1" applyBorder="1" applyAlignment="1" applyProtection="1">
      <alignment horizontal="center"/>
      <protection locked="0"/>
    </xf>
    <xf numFmtId="0" fontId="2" fillId="0" borderId="19" xfId="0" applyFont="1" applyBorder="1" applyAlignment="1" applyProtection="1">
      <alignment horizontal="center"/>
      <protection locked="0"/>
    </xf>
    <xf numFmtId="0" fontId="2" fillId="0" borderId="20" xfId="0" applyFont="1" applyBorder="1" applyAlignment="1" applyProtection="1">
      <alignment horizontal="center"/>
      <protection locked="0"/>
    </xf>
    <xf numFmtId="0" fontId="2" fillId="0" borderId="21" xfId="0" applyFont="1" applyBorder="1" applyAlignment="1" applyProtection="1">
      <alignment horizontal="center"/>
      <protection locked="0"/>
    </xf>
    <xf numFmtId="168" fontId="0" fillId="0" borderId="0" xfId="0" applyNumberFormat="1" applyAlignment="1" applyProtection="1">
      <alignment horizontal="center"/>
      <protection locked="0"/>
    </xf>
    <xf numFmtId="0" fontId="2" fillId="0" borderId="13" xfId="0" applyFont="1" applyBorder="1" applyAlignment="1" applyProtection="1">
      <alignment horizontal="center"/>
      <protection locked="0"/>
    </xf>
    <xf numFmtId="2" fontId="0" fillId="0" borderId="0" xfId="0" applyNumberFormat="1" applyAlignment="1" applyProtection="1">
      <alignment horizontal="center"/>
      <protection locked="0"/>
    </xf>
    <xf numFmtId="2" fontId="0" fillId="2" borderId="15" xfId="0" applyNumberFormat="1" applyFill="1" applyBorder="1" applyAlignment="1">
      <alignment horizontal="center"/>
    </xf>
    <xf numFmtId="0" fontId="0" fillId="2" borderId="19" xfId="0" applyFill="1" applyBorder="1"/>
    <xf numFmtId="0" fontId="2" fillId="2" borderId="15" xfId="0" applyFont="1" applyFill="1" applyBorder="1"/>
    <xf numFmtId="0" fontId="2" fillId="2" borderId="12" xfId="0" applyFont="1" applyFill="1" applyBorder="1" applyAlignment="1">
      <alignment horizontal="centerContinuous"/>
    </xf>
    <xf numFmtId="0" fontId="2" fillId="2" borderId="13" xfId="0" applyFont="1" applyFill="1" applyBorder="1" applyAlignment="1">
      <alignment horizontal="centerContinuous"/>
    </xf>
    <xf numFmtId="9" fontId="0" fillId="2" borderId="15" xfId="1" applyFont="1" applyFill="1" applyBorder="1" applyAlignment="1" applyProtection="1">
      <alignment horizontal="center"/>
    </xf>
    <xf numFmtId="9" fontId="0" fillId="2" borderId="16" xfId="1" applyFont="1" applyFill="1" applyBorder="1" applyAlignment="1" applyProtection="1">
      <alignment horizontal="center"/>
    </xf>
    <xf numFmtId="9" fontId="0" fillId="2" borderId="17" xfId="1" applyFont="1" applyFill="1" applyBorder="1" applyAlignment="1" applyProtection="1">
      <alignment horizontal="center"/>
    </xf>
    <xf numFmtId="164" fontId="0" fillId="0" borderId="0" xfId="0" applyNumberFormat="1" applyAlignment="1" applyProtection="1">
      <alignment horizontal="center"/>
      <protection locked="0"/>
    </xf>
    <xf numFmtId="0" fontId="0" fillId="0" borderId="30" xfId="0" applyBorder="1" applyAlignment="1" applyProtection="1">
      <alignment horizontal="center"/>
      <protection locked="0"/>
    </xf>
    <xf numFmtId="9" fontId="0" fillId="0" borderId="29" xfId="0" applyNumberFormat="1" applyBorder="1" applyAlignment="1" applyProtection="1">
      <alignment horizontal="center"/>
      <protection locked="0"/>
    </xf>
    <xf numFmtId="164" fontId="0" fillId="0" borderId="15" xfId="1" applyNumberFormat="1" applyFont="1" applyBorder="1" applyAlignment="1" applyProtection="1">
      <alignment horizontal="center"/>
      <protection locked="0"/>
    </xf>
    <xf numFmtId="164" fontId="0" fillId="0" borderId="16" xfId="1" applyNumberFormat="1" applyFont="1" applyBorder="1" applyAlignment="1" applyProtection="1">
      <alignment horizontal="center"/>
      <protection locked="0"/>
    </xf>
    <xf numFmtId="164" fontId="0" fillId="0" borderId="17" xfId="1" applyNumberFormat="1" applyFont="1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/>
      <protection locked="0"/>
    </xf>
    <xf numFmtId="0" fontId="0" fillId="0" borderId="17" xfId="0" applyBorder="1" applyAlignment="1" applyProtection="1">
      <alignment horizontal="center"/>
      <protection locked="0"/>
    </xf>
    <xf numFmtId="2" fontId="0" fillId="0" borderId="0" xfId="0" applyNumberFormat="1" applyProtection="1">
      <protection locked="0"/>
    </xf>
    <xf numFmtId="9" fontId="0" fillId="0" borderId="0" xfId="0" applyNumberFormat="1" applyProtection="1">
      <protection locked="0"/>
    </xf>
    <xf numFmtId="0" fontId="2" fillId="2" borderId="0" xfId="0" applyFont="1" applyFill="1" applyAlignment="1">
      <alignment horizontal="center"/>
    </xf>
    <xf numFmtId="9" fontId="0" fillId="2" borderId="16" xfId="0" applyNumberFormat="1" applyFill="1" applyBorder="1" applyAlignment="1">
      <alignment horizontal="center"/>
    </xf>
    <xf numFmtId="9" fontId="0" fillId="2" borderId="17" xfId="0" applyNumberFormat="1" applyFill="1" applyBorder="1" applyAlignment="1">
      <alignment horizontal="center"/>
    </xf>
    <xf numFmtId="6" fontId="0" fillId="2" borderId="15" xfId="0" applyNumberFormat="1" applyFill="1" applyBorder="1" applyAlignment="1">
      <alignment horizontal="center"/>
    </xf>
    <xf numFmtId="3" fontId="0" fillId="0" borderId="14" xfId="0" applyNumberFormat="1" applyBorder="1" applyAlignment="1" applyProtection="1">
      <alignment horizontal="center"/>
      <protection locked="0"/>
    </xf>
    <xf numFmtId="9" fontId="0" fillId="0" borderId="20" xfId="0" applyNumberFormat="1" applyBorder="1" applyAlignment="1" applyProtection="1">
      <alignment horizontal="center"/>
      <protection locked="0"/>
    </xf>
    <xf numFmtId="3" fontId="0" fillId="0" borderId="21" xfId="0" applyNumberFormat="1" applyBorder="1" applyAlignment="1" applyProtection="1">
      <alignment horizontal="center"/>
      <protection locked="0"/>
    </xf>
    <xf numFmtId="0" fontId="2" fillId="0" borderId="12" xfId="0" applyFont="1" applyBorder="1" applyAlignment="1" applyProtection="1">
      <alignment horizontal="center"/>
      <protection locked="0"/>
    </xf>
    <xf numFmtId="8" fontId="0" fillId="0" borderId="0" xfId="0" applyNumberFormat="1" applyProtection="1">
      <protection locked="0"/>
    </xf>
    <xf numFmtId="6" fontId="0" fillId="0" borderId="29" xfId="0" applyNumberFormat="1" applyBorder="1" applyAlignment="1" applyProtection="1">
      <alignment horizontal="center"/>
      <protection locked="0"/>
    </xf>
    <xf numFmtId="9" fontId="0" fillId="0" borderId="14" xfId="0" applyNumberFormat="1" applyBorder="1" applyAlignment="1" applyProtection="1">
      <alignment horizontal="center"/>
      <protection locked="0"/>
    </xf>
    <xf numFmtId="6" fontId="0" fillId="0" borderId="20" xfId="0" applyNumberFormat="1" applyBorder="1" applyAlignment="1" applyProtection="1">
      <alignment horizontal="center"/>
      <protection locked="0"/>
    </xf>
    <xf numFmtId="9" fontId="0" fillId="0" borderId="21" xfId="0" applyNumberFormat="1" applyBorder="1" applyAlignment="1" applyProtection="1">
      <alignment horizontal="center"/>
      <protection locked="0"/>
    </xf>
    <xf numFmtId="9" fontId="0" fillId="2" borderId="14" xfId="0" applyNumberFormat="1" applyFill="1" applyBorder="1" applyAlignment="1">
      <alignment horizontal="center"/>
    </xf>
    <xf numFmtId="9" fontId="0" fillId="2" borderId="21" xfId="0" applyNumberFormat="1" applyFill="1" applyBorder="1" applyAlignment="1">
      <alignment horizontal="center"/>
    </xf>
    <xf numFmtId="9" fontId="0" fillId="2" borderId="15" xfId="0" applyNumberFormat="1" applyFill="1" applyBorder="1" applyAlignment="1">
      <alignment horizontal="center"/>
    </xf>
    <xf numFmtId="164" fontId="0" fillId="0" borderId="0" xfId="1" applyNumberFormat="1" applyFont="1" applyProtection="1">
      <protection locked="0"/>
    </xf>
    <xf numFmtId="9" fontId="0" fillId="0" borderId="0" xfId="0" applyNumberFormat="1" applyAlignment="1" applyProtection="1">
      <alignment horizontal="center"/>
      <protection locked="0"/>
    </xf>
    <xf numFmtId="9" fontId="0" fillId="0" borderId="16" xfId="0" applyNumberFormat="1" applyBorder="1" applyAlignment="1" applyProtection="1">
      <alignment horizontal="center"/>
      <protection locked="0"/>
    </xf>
    <xf numFmtId="9" fontId="0" fillId="0" borderId="17" xfId="0" applyNumberFormat="1" applyBorder="1" applyAlignment="1" applyProtection="1">
      <alignment horizontal="center"/>
      <protection locked="0"/>
    </xf>
    <xf numFmtId="165" fontId="0" fillId="2" borderId="16" xfId="0" applyNumberFormat="1" applyFill="1" applyBorder="1" applyAlignment="1">
      <alignment horizontal="center"/>
    </xf>
    <xf numFmtId="165" fontId="0" fillId="2" borderId="17" xfId="0" applyNumberFormat="1" applyFill="1" applyBorder="1" applyAlignment="1">
      <alignment horizontal="center"/>
    </xf>
    <xf numFmtId="6" fontId="0" fillId="0" borderId="0" xfId="0" applyNumberFormat="1" applyAlignment="1" applyProtection="1">
      <alignment horizontal="center"/>
      <protection locked="0"/>
    </xf>
    <xf numFmtId="0" fontId="0" fillId="2" borderId="19" xfId="0" applyFill="1" applyBorder="1" applyAlignment="1">
      <alignment horizontal="center"/>
    </xf>
    <xf numFmtId="168" fontId="0" fillId="0" borderId="0" xfId="0" applyNumberFormat="1" applyProtection="1">
      <protection locked="0"/>
    </xf>
    <xf numFmtId="0" fontId="0" fillId="2" borderId="1" xfId="0" applyFill="1" applyBorder="1" applyAlignment="1">
      <alignment horizontal="left"/>
    </xf>
    <xf numFmtId="0" fontId="0" fillId="2" borderId="0" xfId="0" applyFill="1" applyAlignment="1">
      <alignment horizontal="center"/>
    </xf>
    <xf numFmtId="0" fontId="2" fillId="2" borderId="12" xfId="0" applyFont="1" applyFill="1" applyBorder="1" applyAlignment="1">
      <alignment horizontal="left"/>
    </xf>
    <xf numFmtId="0" fontId="0" fillId="2" borderId="29" xfId="0" applyFill="1" applyBorder="1" applyAlignment="1">
      <alignment horizontal="left"/>
    </xf>
    <xf numFmtId="0" fontId="0" fillId="2" borderId="20" xfId="0" applyFill="1" applyBorder="1" applyAlignment="1">
      <alignment horizontal="left"/>
    </xf>
    <xf numFmtId="9" fontId="2" fillId="0" borderId="2" xfId="0" applyNumberFormat="1" applyFont="1" applyBorder="1" applyAlignment="1" applyProtection="1">
      <alignment horizontal="center"/>
      <protection locked="0"/>
    </xf>
    <xf numFmtId="168" fontId="0" fillId="0" borderId="14" xfId="0" applyNumberFormat="1" applyBorder="1" applyAlignment="1" applyProtection="1">
      <alignment horizontal="center"/>
      <protection locked="0"/>
    </xf>
    <xf numFmtId="168" fontId="0" fillId="0" borderId="21" xfId="0" applyNumberFormat="1" applyBorder="1" applyAlignment="1" applyProtection="1">
      <alignment horizontal="center"/>
      <protection locked="0"/>
    </xf>
    <xf numFmtId="168" fontId="0" fillId="0" borderId="16" xfId="0" applyNumberFormat="1" applyBorder="1" applyAlignment="1" applyProtection="1">
      <alignment horizontal="center"/>
      <protection locked="0"/>
    </xf>
    <xf numFmtId="168" fontId="0" fillId="0" borderId="17" xfId="0" applyNumberFormat="1" applyBorder="1" applyAlignment="1" applyProtection="1">
      <alignment horizontal="center"/>
      <protection locked="0"/>
    </xf>
    <xf numFmtId="0" fontId="2" fillId="2" borderId="30" xfId="0" applyFont="1" applyFill="1" applyBorder="1" applyAlignment="1">
      <alignment horizontal="centerContinuous"/>
    </xf>
    <xf numFmtId="0" fontId="2" fillId="2" borderId="19" xfId="0" applyFont="1" applyFill="1" applyBorder="1" applyAlignment="1">
      <alignment horizontal="centerContinuous"/>
    </xf>
    <xf numFmtId="0" fontId="2" fillId="2" borderId="8" xfId="0" applyFont="1" applyFill="1" applyBorder="1" applyAlignment="1">
      <alignment horizontal="center"/>
    </xf>
    <xf numFmtId="165" fontId="0" fillId="2" borderId="0" xfId="0" applyNumberFormat="1" applyFill="1"/>
    <xf numFmtId="165" fontId="0" fillId="2" borderId="15" xfId="0" applyNumberFormat="1" applyFill="1" applyBorder="1" applyAlignment="1">
      <alignment horizontal="center"/>
    </xf>
    <xf numFmtId="172" fontId="0" fillId="2" borderId="0" xfId="0" applyNumberFormat="1" applyFill="1"/>
    <xf numFmtId="165" fontId="0" fillId="2" borderId="0" xfId="0" applyNumberFormat="1" applyFill="1" applyAlignment="1">
      <alignment horizontal="center"/>
    </xf>
    <xf numFmtId="3" fontId="0" fillId="0" borderId="0" xfId="0" applyNumberFormat="1" applyAlignment="1">
      <alignment horizontal="center"/>
    </xf>
    <xf numFmtId="0" fontId="21" fillId="2" borderId="15" xfId="0" applyFont="1" applyFill="1" applyBorder="1" applyAlignment="1">
      <alignment horizontal="center"/>
    </xf>
    <xf numFmtId="0" fontId="21" fillId="2" borderId="17" xfId="0" applyFont="1" applyFill="1" applyBorder="1" applyAlignment="1">
      <alignment horizontal="center"/>
    </xf>
    <xf numFmtId="0" fontId="0" fillId="2" borderId="7" xfId="0" applyFill="1" applyBorder="1" applyProtection="1">
      <protection locked="0"/>
    </xf>
    <xf numFmtId="9" fontId="0" fillId="2" borderId="15" xfId="0" applyNumberFormat="1" applyFill="1" applyBorder="1" applyProtection="1">
      <protection locked="0"/>
    </xf>
    <xf numFmtId="9" fontId="0" fillId="2" borderId="19" xfId="0" applyNumberFormat="1" applyFill="1" applyBorder="1" applyAlignment="1" applyProtection="1">
      <alignment horizontal="center"/>
      <protection locked="0"/>
    </xf>
    <xf numFmtId="0" fontId="0" fillId="2" borderId="0" xfId="0" applyFill="1" applyProtection="1">
      <protection locked="0"/>
    </xf>
    <xf numFmtId="0" fontId="0" fillId="2" borderId="8" xfId="0" applyFill="1" applyBorder="1" applyProtection="1">
      <protection locked="0"/>
    </xf>
    <xf numFmtId="0" fontId="0" fillId="2" borderId="17" xfId="0" applyFill="1" applyBorder="1" applyProtection="1">
      <protection locked="0"/>
    </xf>
    <xf numFmtId="9" fontId="0" fillId="2" borderId="21" xfId="0" applyNumberFormat="1" applyFill="1" applyBorder="1" applyAlignment="1" applyProtection="1">
      <alignment horizontal="center"/>
      <protection locked="0"/>
    </xf>
    <xf numFmtId="173" fontId="0" fillId="5" borderId="0" xfId="0" applyNumberFormat="1" applyFill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2" xfId="0" applyBorder="1" applyAlignment="1">
      <alignment horizontal="center"/>
    </xf>
    <xf numFmtId="3" fontId="0" fillId="0" borderId="18" xfId="0" applyNumberFormat="1" applyBorder="1" applyAlignment="1">
      <alignment horizontal="center"/>
    </xf>
    <xf numFmtId="3" fontId="0" fillId="0" borderId="19" xfId="0" applyNumberFormat="1" applyBorder="1" applyAlignment="1">
      <alignment horizontal="center"/>
    </xf>
    <xf numFmtId="166" fontId="0" fillId="0" borderId="15" xfId="0" applyNumberFormat="1" applyBorder="1" applyAlignment="1">
      <alignment horizontal="center"/>
    </xf>
    <xf numFmtId="3" fontId="0" fillId="0" borderId="20" xfId="0" applyNumberFormat="1" applyBorder="1" applyAlignment="1">
      <alignment horizontal="center"/>
    </xf>
    <xf numFmtId="3" fontId="0" fillId="0" borderId="21" xfId="0" applyNumberFormat="1" applyBorder="1" applyAlignment="1">
      <alignment horizontal="center"/>
    </xf>
    <xf numFmtId="166" fontId="0" fillId="0" borderId="17" xfId="0" applyNumberFormat="1" applyBorder="1" applyAlignment="1">
      <alignment horizontal="center"/>
    </xf>
    <xf numFmtId="173" fontId="0" fillId="0" borderId="0" xfId="0" applyNumberFormat="1"/>
    <xf numFmtId="10" fontId="0" fillId="5" borderId="0" xfId="1" applyNumberFormat="1" applyFont="1" applyFill="1" applyAlignment="1">
      <alignment horizontal="center"/>
    </xf>
    <xf numFmtId="0" fontId="0" fillId="2" borderId="0" xfId="0" applyFill="1" applyAlignment="1">
      <alignment horizontal="left" indent="1"/>
    </xf>
    <xf numFmtId="0" fontId="0" fillId="2" borderId="9" xfId="0" applyFill="1" applyBorder="1" applyProtection="1">
      <protection locked="0"/>
    </xf>
    <xf numFmtId="166" fontId="0" fillId="0" borderId="0" xfId="0" applyNumberFormat="1"/>
    <xf numFmtId="164" fontId="0" fillId="0" borderId="0" xfId="1" applyNumberFormat="1" applyFont="1"/>
    <xf numFmtId="10" fontId="0" fillId="0" borderId="0" xfId="0" applyNumberFormat="1" applyProtection="1">
      <protection locked="0"/>
    </xf>
    <xf numFmtId="10" fontId="0" fillId="5" borderId="0" xfId="0" applyNumberFormat="1" applyFill="1" applyAlignment="1" applyProtection="1">
      <alignment horizontal="center"/>
      <protection locked="0"/>
    </xf>
    <xf numFmtId="0" fontId="0" fillId="2" borderId="18" xfId="0" applyFill="1" applyBorder="1" applyProtection="1">
      <protection locked="0"/>
    </xf>
    <xf numFmtId="0" fontId="0" fillId="2" borderId="30" xfId="0" applyFill="1" applyBorder="1" applyProtection="1">
      <protection locked="0"/>
    </xf>
    <xf numFmtId="0" fontId="0" fillId="2" borderId="19" xfId="0" applyFill="1" applyBorder="1" applyProtection="1">
      <protection locked="0"/>
    </xf>
    <xf numFmtId="0" fontId="0" fillId="2" borderId="0" xfId="0" applyFill="1" applyAlignment="1" applyProtection="1">
      <alignment horizontal="center"/>
      <protection locked="0"/>
    </xf>
    <xf numFmtId="0" fontId="22" fillId="2" borderId="5" xfId="0" applyFont="1" applyFill="1" applyBorder="1"/>
    <xf numFmtId="0" fontId="0" fillId="2" borderId="8" xfId="0" applyFill="1" applyBorder="1" applyAlignment="1">
      <alignment horizontal="center"/>
    </xf>
    <xf numFmtId="3" fontId="0" fillId="2" borderId="8" xfId="0" applyNumberFormat="1" applyFill="1" applyBorder="1" applyAlignment="1">
      <alignment horizontal="center"/>
    </xf>
    <xf numFmtId="0" fontId="2" fillId="2" borderId="0" xfId="0" applyFont="1" applyFill="1" applyAlignment="1">
      <alignment horizontal="centerContinuous"/>
    </xf>
    <xf numFmtId="0" fontId="0" fillId="2" borderId="0" xfId="0" applyFill="1" applyAlignment="1">
      <alignment horizontal="centerContinuous"/>
    </xf>
    <xf numFmtId="174" fontId="0" fillId="2" borderId="0" xfId="0" applyNumberFormat="1" applyFill="1"/>
    <xf numFmtId="0" fontId="2" fillId="2" borderId="0" xfId="0" applyFont="1" applyFill="1"/>
    <xf numFmtId="0" fontId="0" fillId="2" borderId="2" xfId="0" applyFill="1" applyBorder="1" applyAlignment="1">
      <alignment horizontal="center" wrapText="1"/>
    </xf>
    <xf numFmtId="0" fontId="0" fillId="2" borderId="0" xfId="0" applyFill="1" applyAlignment="1">
      <alignment horizontal="right"/>
    </xf>
    <xf numFmtId="165" fontId="0" fillId="2" borderId="18" xfId="0" applyNumberFormat="1" applyFill="1" applyBorder="1" applyAlignment="1">
      <alignment horizontal="center"/>
    </xf>
    <xf numFmtId="165" fontId="0" fillId="2" borderId="30" xfId="0" applyNumberFormat="1" applyFill="1" applyBorder="1" applyAlignment="1">
      <alignment horizontal="center"/>
    </xf>
    <xf numFmtId="165" fontId="0" fillId="2" borderId="29" xfId="0" applyNumberFormat="1" applyFill="1" applyBorder="1" applyAlignment="1">
      <alignment horizontal="center"/>
    </xf>
    <xf numFmtId="165" fontId="0" fillId="2" borderId="20" xfId="0" applyNumberFormat="1" applyFill="1" applyBorder="1" applyAlignment="1">
      <alignment horizontal="center"/>
    </xf>
    <xf numFmtId="165" fontId="0" fillId="2" borderId="1" xfId="0" applyNumberFormat="1" applyFill="1" applyBorder="1" applyAlignment="1">
      <alignment horizontal="center"/>
    </xf>
    <xf numFmtId="0" fontId="0" fillId="2" borderId="31" xfId="0" applyFill="1" applyBorder="1" applyAlignment="1">
      <alignment horizontal="center"/>
    </xf>
    <xf numFmtId="2" fontId="0" fillId="2" borderId="0" xfId="0" applyNumberFormat="1" applyFill="1" applyAlignment="1">
      <alignment horizontal="center"/>
    </xf>
    <xf numFmtId="0" fontId="2" fillId="2" borderId="0" xfId="0" applyFont="1" applyFill="1" applyAlignment="1">
      <alignment horizontal="left"/>
    </xf>
    <xf numFmtId="3" fontId="0" fillId="2" borderId="11" xfId="0" applyNumberFormat="1" applyFill="1" applyBorder="1" applyAlignment="1">
      <alignment horizontal="center"/>
    </xf>
    <xf numFmtId="14" fontId="0" fillId="2" borderId="18" xfId="0" applyNumberFormat="1" applyFill="1" applyBorder="1" applyAlignment="1">
      <alignment horizontal="center"/>
    </xf>
    <xf numFmtId="14" fontId="0" fillId="2" borderId="29" xfId="0" applyNumberFormat="1" applyFill="1" applyBorder="1" applyAlignment="1">
      <alignment horizontal="center"/>
    </xf>
    <xf numFmtId="14" fontId="0" fillId="2" borderId="20" xfId="0" applyNumberFormat="1" applyFill="1" applyBorder="1" applyAlignment="1">
      <alignment horizontal="center"/>
    </xf>
    <xf numFmtId="0" fontId="0" fillId="2" borderId="21" xfId="0" applyFill="1" applyBorder="1" applyAlignment="1">
      <alignment horizontal="center" wrapText="1"/>
    </xf>
    <xf numFmtId="0" fontId="0" fillId="2" borderId="17" xfId="0" applyFill="1" applyBorder="1" applyAlignment="1">
      <alignment horizontal="center" wrapText="1"/>
    </xf>
    <xf numFmtId="0" fontId="0" fillId="2" borderId="30" xfId="0" applyFill="1" applyBorder="1" applyAlignment="1">
      <alignment horizontal="center"/>
    </xf>
    <xf numFmtId="0" fontId="0" fillId="2" borderId="0" xfId="0" applyFill="1" applyAlignment="1" applyProtection="1">
      <alignment horizontal="centerContinuous"/>
      <protection locked="0"/>
    </xf>
    <xf numFmtId="9" fontId="0" fillId="2" borderId="20" xfId="0" applyNumberFormat="1" applyFill="1" applyBorder="1" applyAlignment="1">
      <alignment horizontal="center"/>
    </xf>
    <xf numFmtId="0" fontId="2" fillId="2" borderId="7" xfId="0" applyFont="1" applyFill="1" applyBorder="1" applyAlignment="1" applyProtection="1">
      <alignment horizontal="center"/>
      <protection locked="0"/>
    </xf>
    <xf numFmtId="0" fontId="0" fillId="0" borderId="18" xfId="0" applyBorder="1" applyAlignment="1">
      <alignment horizontal="center"/>
    </xf>
    <xf numFmtId="0" fontId="0" fillId="0" borderId="30" xfId="0" applyBorder="1" applyAlignment="1">
      <alignment horizontal="center"/>
    </xf>
    <xf numFmtId="165" fontId="0" fillId="0" borderId="30" xfId="0" applyNumberFormat="1" applyBorder="1" applyAlignment="1">
      <alignment horizontal="center"/>
    </xf>
    <xf numFmtId="9" fontId="0" fillId="0" borderId="30" xfId="0" applyNumberFormat="1" applyBorder="1" applyAlignment="1">
      <alignment horizontal="center"/>
    </xf>
    <xf numFmtId="0" fontId="0" fillId="0" borderId="29" xfId="0" applyBorder="1" applyAlignment="1">
      <alignment horizontal="center"/>
    </xf>
    <xf numFmtId="165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3" fontId="0" fillId="0" borderId="14" xfId="0" applyNumberForma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" xfId="0" applyBorder="1" applyAlignment="1">
      <alignment horizontal="center"/>
    </xf>
    <xf numFmtId="165" fontId="0" fillId="0" borderId="1" xfId="0" applyNumberFormat="1" applyBorder="1" applyAlignment="1">
      <alignment horizontal="center"/>
    </xf>
    <xf numFmtId="9" fontId="0" fillId="0" borderId="1" xfId="0" applyNumberForma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5" xfId="0" applyBorder="1" applyAlignment="1">
      <alignment horizontal="center"/>
    </xf>
    <xf numFmtId="6" fontId="0" fillId="0" borderId="15" xfId="0" applyNumberFormat="1" applyBorder="1" applyAlignment="1">
      <alignment horizontal="center"/>
    </xf>
    <xf numFmtId="6" fontId="0" fillId="0" borderId="16" xfId="0" applyNumberFormat="1" applyBorder="1" applyAlignment="1">
      <alignment horizontal="center"/>
    </xf>
    <xf numFmtId="6" fontId="0" fillId="0" borderId="17" xfId="0" applyNumberFormat="1" applyBorder="1" applyAlignment="1">
      <alignment horizontal="center"/>
    </xf>
    <xf numFmtId="165" fontId="0" fillId="0" borderId="15" xfId="0" applyNumberFormat="1" applyBorder="1" applyAlignment="1">
      <alignment horizontal="center"/>
    </xf>
    <xf numFmtId="165" fontId="0" fillId="0" borderId="16" xfId="0" applyNumberFormat="1" applyBorder="1" applyAlignment="1">
      <alignment horizontal="center"/>
    </xf>
    <xf numFmtId="165" fontId="0" fillId="0" borderId="17" xfId="0" applyNumberFormat="1" applyBorder="1" applyAlignment="1">
      <alignment horizontal="center"/>
    </xf>
    <xf numFmtId="3" fontId="0" fillId="0" borderId="15" xfId="0" applyNumberFormat="1" applyBorder="1" applyAlignment="1">
      <alignment horizontal="center"/>
    </xf>
    <xf numFmtId="3" fontId="0" fillId="0" borderId="16" xfId="0" applyNumberFormat="1" applyBorder="1" applyAlignment="1">
      <alignment horizontal="center"/>
    </xf>
    <xf numFmtId="3" fontId="0" fillId="0" borderId="17" xfId="0" applyNumberFormat="1" applyBorder="1" applyAlignment="1">
      <alignment horizontal="center"/>
    </xf>
    <xf numFmtId="3" fontId="0" fillId="5" borderId="0" xfId="0" applyNumberFormat="1" applyFill="1" applyAlignment="1">
      <alignment horizontal="center"/>
    </xf>
    <xf numFmtId="3" fontId="0" fillId="2" borderId="16" xfId="0" applyNumberFormat="1" applyFill="1" applyBorder="1" applyAlignment="1" applyProtection="1">
      <alignment horizontal="center"/>
      <protection locked="0"/>
    </xf>
    <xf numFmtId="0" fontId="8" fillId="2" borderId="0" xfId="0" applyFont="1" applyFill="1" applyProtection="1">
      <protection locked="0"/>
    </xf>
    <xf numFmtId="3" fontId="0" fillId="2" borderId="17" xfId="0" applyNumberFormat="1" applyFill="1" applyBorder="1" applyAlignment="1" applyProtection="1">
      <alignment horizontal="center"/>
      <protection locked="0"/>
    </xf>
    <xf numFmtId="0" fontId="0" fillId="2" borderId="10" xfId="0" applyFill="1" applyBorder="1" applyProtection="1">
      <protection locked="0"/>
    </xf>
    <xf numFmtId="0" fontId="0" fillId="2" borderId="11" xfId="0" applyFill="1" applyBorder="1" applyProtection="1">
      <protection locked="0"/>
    </xf>
    <xf numFmtId="8" fontId="0" fillId="2" borderId="2" xfId="0" applyNumberFormat="1" applyFill="1" applyBorder="1" applyAlignment="1" applyProtection="1">
      <alignment horizontal="center"/>
      <protection locked="0"/>
    </xf>
    <xf numFmtId="0" fontId="0" fillId="2" borderId="12" xfId="0" applyFill="1" applyBorder="1" applyProtection="1">
      <protection locked="0"/>
    </xf>
    <xf numFmtId="0" fontId="0" fillId="2" borderId="31" xfId="0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0" borderId="31" xfId="0" applyBorder="1" applyAlignment="1">
      <alignment horizontal="center"/>
    </xf>
    <xf numFmtId="0" fontId="0" fillId="2" borderId="0" xfId="0" applyFill="1" applyAlignment="1" applyProtection="1">
      <alignment horizontal="left"/>
      <protection locked="0"/>
    </xf>
    <xf numFmtId="3" fontId="0" fillId="0" borderId="30" xfId="0" applyNumberForma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0" fillId="2" borderId="29" xfId="0" applyFill="1" applyBorder="1" applyAlignment="1" applyProtection="1">
      <alignment horizontal="center"/>
      <protection locked="0"/>
    </xf>
    <xf numFmtId="165" fontId="0" fillId="0" borderId="0" xfId="0" applyNumberFormat="1" applyProtection="1"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0" borderId="30" xfId="0" applyBorder="1" applyAlignment="1">
      <alignment horizontal="centerContinuous"/>
    </xf>
    <xf numFmtId="0" fontId="0" fillId="0" borderId="19" xfId="0" applyBorder="1" applyAlignment="1">
      <alignment horizontal="centerContinuous"/>
    </xf>
    <xf numFmtId="3" fontId="0" fillId="0" borderId="13" xfId="0" applyNumberFormat="1" applyBorder="1" applyAlignment="1">
      <alignment horizontal="center"/>
    </xf>
    <xf numFmtId="0" fontId="0" fillId="0" borderId="15" xfId="0" applyBorder="1"/>
    <xf numFmtId="3" fontId="0" fillId="0" borderId="2" xfId="0" applyNumberFormat="1" applyBorder="1" applyAlignment="1">
      <alignment horizontal="center"/>
    </xf>
    <xf numFmtId="164" fontId="0" fillId="0" borderId="0" xfId="1" applyNumberFormat="1" applyFont="1" applyAlignment="1">
      <alignment horizontal="center"/>
    </xf>
    <xf numFmtId="164" fontId="0" fillId="5" borderId="0" xfId="1" applyNumberFormat="1" applyFont="1" applyFill="1" applyAlignment="1">
      <alignment horizontal="center"/>
    </xf>
    <xf numFmtId="0" fontId="0" fillId="2" borderId="0" xfId="0" applyFill="1" applyAlignment="1" applyProtection="1">
      <alignment horizontal="left" indent="1"/>
      <protection locked="0"/>
    </xf>
    <xf numFmtId="0" fontId="0" fillId="2" borderId="10" xfId="0" applyFill="1" applyBorder="1" applyAlignment="1" applyProtection="1">
      <alignment horizontal="left" indent="1"/>
      <protection locked="0"/>
    </xf>
    <xf numFmtId="0" fontId="0" fillId="5" borderId="18" xfId="0" applyFill="1" applyBorder="1" applyAlignment="1">
      <alignment horizontal="center"/>
    </xf>
    <xf numFmtId="3" fontId="0" fillId="5" borderId="29" xfId="0" applyNumberFormat="1" applyFill="1" applyBorder="1" applyAlignment="1">
      <alignment horizontal="center"/>
    </xf>
    <xf numFmtId="3" fontId="0" fillId="5" borderId="20" xfId="0" applyNumberFormat="1" applyFill="1" applyBorder="1" applyAlignment="1">
      <alignment horizontal="center"/>
    </xf>
    <xf numFmtId="165" fontId="0" fillId="5" borderId="19" xfId="0" applyNumberFormat="1" applyFill="1" applyBorder="1" applyAlignment="1">
      <alignment horizontal="center"/>
    </xf>
    <xf numFmtId="165" fontId="0" fillId="5" borderId="14" xfId="0" applyNumberFormat="1" applyFill="1" applyBorder="1" applyAlignment="1">
      <alignment horizontal="center"/>
    </xf>
    <xf numFmtId="165" fontId="0" fillId="5" borderId="21" xfId="0" applyNumberFormat="1" applyFill="1" applyBorder="1" applyAlignment="1">
      <alignment horizontal="center"/>
    </xf>
    <xf numFmtId="0" fontId="0" fillId="5" borderId="0" xfId="0" applyFill="1" applyProtection="1">
      <protection locked="0"/>
    </xf>
    <xf numFmtId="164" fontId="0" fillId="5" borderId="0" xfId="1" applyNumberFormat="1" applyFont="1" applyFill="1" applyAlignment="1" applyProtection="1">
      <alignment horizontal="left"/>
      <protection locked="0"/>
    </xf>
    <xf numFmtId="164" fontId="0" fillId="5" borderId="0" xfId="0" applyNumberFormat="1" applyFill="1" applyProtection="1">
      <protection locked="0"/>
    </xf>
    <xf numFmtId="165" fontId="0" fillId="5" borderId="0" xfId="0" applyNumberFormat="1" applyFill="1" applyAlignment="1" applyProtection="1">
      <alignment horizontal="center"/>
      <protection locked="0"/>
    </xf>
    <xf numFmtId="6" fontId="0" fillId="0" borderId="16" xfId="0" applyNumberFormat="1" applyBorder="1" applyAlignment="1" applyProtection="1">
      <alignment horizontal="center"/>
      <protection locked="0"/>
    </xf>
    <xf numFmtId="6" fontId="0" fillId="0" borderId="17" xfId="0" applyNumberFormat="1" applyBorder="1" applyAlignment="1" applyProtection="1">
      <alignment horizontal="center"/>
      <protection locked="0"/>
    </xf>
    <xf numFmtId="8" fontId="0" fillId="5" borderId="0" xfId="0" applyNumberFormat="1" applyFill="1" applyProtection="1">
      <protection locked="0"/>
    </xf>
    <xf numFmtId="9" fontId="2" fillId="5" borderId="18" xfId="1" applyFont="1" applyFill="1" applyBorder="1" applyAlignment="1" applyProtection="1">
      <alignment horizontal="center"/>
      <protection locked="0"/>
    </xf>
    <xf numFmtId="9" fontId="2" fillId="5" borderId="29" xfId="1" applyFont="1" applyFill="1" applyBorder="1" applyAlignment="1" applyProtection="1">
      <alignment horizontal="center"/>
      <protection locked="0"/>
    </xf>
    <xf numFmtId="9" fontId="2" fillId="5" borderId="20" xfId="1" applyFont="1" applyFill="1" applyBorder="1" applyAlignment="1" applyProtection="1">
      <alignment horizontal="center"/>
      <protection locked="0"/>
    </xf>
    <xf numFmtId="165" fontId="2" fillId="5" borderId="19" xfId="0" applyNumberFormat="1" applyFont="1" applyFill="1" applyBorder="1" applyAlignment="1" applyProtection="1">
      <alignment horizontal="center"/>
      <protection locked="0"/>
    </xf>
    <xf numFmtId="165" fontId="2" fillId="5" borderId="14" xfId="0" applyNumberFormat="1" applyFont="1" applyFill="1" applyBorder="1" applyAlignment="1" applyProtection="1">
      <alignment horizontal="center"/>
      <protection locked="0"/>
    </xf>
    <xf numFmtId="165" fontId="0" fillId="5" borderId="14" xfId="0" applyNumberFormat="1" applyFill="1" applyBorder="1" applyAlignment="1" applyProtection="1">
      <alignment horizontal="center"/>
      <protection locked="0"/>
    </xf>
    <xf numFmtId="165" fontId="2" fillId="5" borderId="21" xfId="0" applyNumberFormat="1" applyFont="1" applyFill="1" applyBorder="1" applyAlignment="1" applyProtection="1">
      <alignment horizontal="center"/>
      <protection locked="0"/>
    </xf>
    <xf numFmtId="165" fontId="2" fillId="5" borderId="15" xfId="0" applyNumberFormat="1" applyFont="1" applyFill="1" applyBorder="1" applyAlignment="1" applyProtection="1">
      <alignment horizontal="center"/>
      <protection locked="0"/>
    </xf>
    <xf numFmtId="165" fontId="2" fillId="5" borderId="16" xfId="0" applyNumberFormat="1" applyFont="1" applyFill="1" applyBorder="1" applyAlignment="1" applyProtection="1">
      <alignment horizontal="center"/>
      <protection locked="0"/>
    </xf>
    <xf numFmtId="165" fontId="2" fillId="5" borderId="17" xfId="0" applyNumberFormat="1" applyFont="1" applyFill="1" applyBorder="1" applyAlignment="1" applyProtection="1">
      <alignment horizontal="center"/>
      <protection locked="0"/>
    </xf>
    <xf numFmtId="171" fontId="0" fillId="5" borderId="0" xfId="0" applyNumberFormat="1" applyFill="1" applyAlignment="1" applyProtection="1">
      <alignment horizontal="center"/>
      <protection locked="0"/>
    </xf>
    <xf numFmtId="168" fontId="0" fillId="5" borderId="14" xfId="0" applyNumberFormat="1" applyFill="1" applyBorder="1" applyAlignment="1" applyProtection="1">
      <alignment horizontal="center"/>
      <protection locked="0"/>
    </xf>
    <xf numFmtId="168" fontId="0" fillId="5" borderId="21" xfId="0" applyNumberFormat="1" applyFill="1" applyBorder="1" applyAlignment="1" applyProtection="1">
      <alignment horizontal="center"/>
      <protection locked="0"/>
    </xf>
    <xf numFmtId="165" fontId="0" fillId="5" borderId="15" xfId="0" applyNumberFormat="1" applyFill="1" applyBorder="1" applyAlignment="1" applyProtection="1">
      <alignment horizontal="center"/>
      <protection locked="0"/>
    </xf>
    <xf numFmtId="165" fontId="0" fillId="5" borderId="19" xfId="0" applyNumberFormat="1" applyFill="1" applyBorder="1" applyAlignment="1" applyProtection="1">
      <alignment horizontal="center"/>
      <protection locked="0"/>
    </xf>
    <xf numFmtId="165" fontId="0" fillId="5" borderId="16" xfId="0" applyNumberFormat="1" applyFill="1" applyBorder="1" applyAlignment="1" applyProtection="1">
      <alignment horizontal="center"/>
      <protection locked="0"/>
    </xf>
    <xf numFmtId="165" fontId="0" fillId="5" borderId="17" xfId="0" applyNumberFormat="1" applyFill="1" applyBorder="1" applyAlignment="1" applyProtection="1">
      <alignment horizontal="center"/>
      <protection locked="0"/>
    </xf>
    <xf numFmtId="165" fontId="0" fillId="5" borderId="21" xfId="0" applyNumberFormat="1" applyFill="1" applyBorder="1" applyAlignment="1" applyProtection="1">
      <alignment horizontal="center"/>
      <protection locked="0"/>
    </xf>
    <xf numFmtId="3" fontId="0" fillId="5" borderId="15" xfId="0" applyNumberFormat="1" applyFill="1" applyBorder="1" applyAlignment="1" applyProtection="1">
      <alignment horizontal="center"/>
      <protection locked="0"/>
    </xf>
    <xf numFmtId="3" fontId="0" fillId="5" borderId="17" xfId="0" applyNumberFormat="1" applyFill="1" applyBorder="1" applyAlignment="1" applyProtection="1">
      <alignment horizontal="center"/>
      <protection locked="0"/>
    </xf>
    <xf numFmtId="6" fontId="0" fillId="5" borderId="0" xfId="0" applyNumberFormat="1" applyFill="1" applyAlignment="1" applyProtection="1">
      <alignment horizontal="center"/>
      <protection locked="0"/>
    </xf>
    <xf numFmtId="165" fontId="0" fillId="5" borderId="2" xfId="0" applyNumberFormat="1" applyFill="1" applyBorder="1" applyAlignment="1" applyProtection="1">
      <alignment horizontal="center"/>
      <protection locked="0"/>
    </xf>
    <xf numFmtId="167" fontId="0" fillId="5" borderId="0" xfId="0" applyNumberFormat="1" applyFill="1" applyAlignment="1" applyProtection="1">
      <alignment horizontal="center"/>
      <protection locked="0"/>
    </xf>
    <xf numFmtId="169" fontId="0" fillId="5" borderId="0" xfId="0" applyNumberFormat="1" applyFill="1" applyAlignment="1" applyProtection="1">
      <alignment horizontal="center"/>
      <protection locked="0"/>
    </xf>
    <xf numFmtId="3" fontId="0" fillId="5" borderId="0" xfId="0" applyNumberFormat="1" applyFill="1" applyAlignment="1" applyProtection="1">
      <alignment horizontal="center"/>
      <protection locked="0"/>
    </xf>
    <xf numFmtId="0" fontId="0" fillId="5" borderId="0" xfId="0" applyFill="1" applyAlignment="1" applyProtection="1">
      <alignment horizontal="center"/>
      <protection locked="0"/>
    </xf>
    <xf numFmtId="0" fontId="0" fillId="5" borderId="2" xfId="0" applyFill="1" applyBorder="1" applyAlignment="1" applyProtection="1">
      <alignment horizontal="center"/>
      <protection locked="0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6" xfId="0" applyFill="1" applyBorder="1" applyAlignment="1" applyProtection="1">
      <alignment horizontal="center"/>
      <protection locked="0"/>
    </xf>
    <xf numFmtId="0" fontId="0" fillId="5" borderId="17" xfId="0" applyFill="1" applyBorder="1" applyAlignment="1" applyProtection="1">
      <alignment horizontal="center"/>
      <protection locked="0"/>
    </xf>
    <xf numFmtId="9" fontId="0" fillId="5" borderId="29" xfId="0" applyNumberFormat="1" applyFill="1" applyBorder="1" applyAlignment="1" applyProtection="1">
      <alignment horizontal="center"/>
      <protection locked="0"/>
    </xf>
    <xf numFmtId="168" fontId="0" fillId="5" borderId="16" xfId="0" applyNumberFormat="1" applyFill="1" applyBorder="1" applyAlignment="1" applyProtection="1">
      <alignment horizontal="center"/>
      <protection locked="0"/>
    </xf>
    <xf numFmtId="175" fontId="0" fillId="0" borderId="0" xfId="0" applyNumberFormat="1" applyProtection="1">
      <protection locked="0"/>
    </xf>
    <xf numFmtId="0" fontId="0" fillId="2" borderId="15" xfId="0" quotePrefix="1" applyFill="1" applyBorder="1" applyAlignment="1" applyProtection="1">
      <alignment horizontal="center"/>
      <protection locked="0"/>
    </xf>
    <xf numFmtId="0" fontId="0" fillId="2" borderId="17" xfId="0" quotePrefix="1" applyFill="1" applyBorder="1" applyAlignment="1">
      <alignment horizontal="center"/>
    </xf>
    <xf numFmtId="0" fontId="14" fillId="0" borderId="0" xfId="0" applyFont="1"/>
    <xf numFmtId="0" fontId="2" fillId="0" borderId="14" xfId="0" applyFont="1" applyBorder="1" applyAlignment="1">
      <alignment horizontal="center" wrapText="1"/>
    </xf>
    <xf numFmtId="0" fontId="2" fillId="0" borderId="21" xfId="0" applyFont="1" applyBorder="1" applyAlignment="1">
      <alignment horizontal="center" wrapText="1"/>
    </xf>
    <xf numFmtId="0" fontId="9" fillId="0" borderId="0" xfId="2" applyAlignment="1">
      <alignment horizontal="left"/>
    </xf>
    <xf numFmtId="0" fontId="9" fillId="2" borderId="5" xfId="2" applyFill="1" applyBorder="1" applyAlignment="1" applyProtection="1">
      <alignment horizontal="right"/>
    </xf>
    <xf numFmtId="0" fontId="9" fillId="2" borderId="6" xfId="2" applyFill="1" applyBorder="1" applyAlignment="1" applyProtection="1">
      <alignment horizontal="right"/>
    </xf>
    <xf numFmtId="0" fontId="0" fillId="2" borderId="15" xfId="0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9" fillId="2" borderId="0" xfId="2" applyFill="1" applyBorder="1" applyAlignment="1" applyProtection="1">
      <alignment horizontal="right"/>
    </xf>
    <xf numFmtId="0" fontId="9" fillId="2" borderId="8" xfId="2" applyFill="1" applyBorder="1" applyAlignment="1" applyProtection="1">
      <alignment horizontal="right"/>
    </xf>
    <xf numFmtId="0" fontId="0" fillId="2" borderId="0" xfId="0" applyFill="1" applyBorder="1"/>
    <xf numFmtId="0" fontId="0" fillId="2" borderId="12" xfId="0" applyFill="1" applyBorder="1" applyAlignment="1">
      <alignment horizontal="center" wrapText="1"/>
    </xf>
    <xf numFmtId="0" fontId="0" fillId="2" borderId="31" xfId="0" applyFill="1" applyBorder="1" applyAlignment="1">
      <alignment horizontal="center" wrapText="1"/>
    </xf>
    <xf numFmtId="0" fontId="0" fillId="2" borderId="13" xfId="0" applyFill="1" applyBorder="1" applyAlignment="1">
      <alignment horizontal="center" wrapText="1"/>
    </xf>
    <xf numFmtId="0" fontId="0" fillId="2" borderId="0" xfId="0" applyFill="1" applyBorder="1" applyAlignment="1">
      <alignment horizontal="center"/>
    </xf>
    <xf numFmtId="0" fontId="0" fillId="2" borderId="0" xfId="0" applyFill="1" applyBorder="1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78"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0" tint="-4.9989318521683403E-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'21'!$C$28</c:f>
              <c:strCache>
                <c:ptCount val="1"/>
                <c:pt idx="0">
                  <c:v>Exposures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'21'!$B$29:$B$33</c:f>
              <c:strCache>
                <c:ptCount val="5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</c:strCache>
            </c:strRef>
          </c:cat>
          <c:val>
            <c:numRef>
              <c:f>'21'!$C$29:$C$33</c:f>
              <c:numCache>
                <c:formatCode>#,##0</c:formatCode>
                <c:ptCount val="5"/>
                <c:pt idx="0">
                  <c:v>55000</c:v>
                </c:pt>
                <c:pt idx="1">
                  <c:v>175000</c:v>
                </c:pt>
                <c:pt idx="2">
                  <c:v>10000</c:v>
                </c:pt>
                <c:pt idx="3">
                  <c:v>48000</c:v>
                </c:pt>
                <c:pt idx="4">
                  <c:v>169000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0D-4FD6-93FD-9985BEE1C2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46235240"/>
        <c:axId val="646235600"/>
      </c:barChart>
      <c:lineChart>
        <c:grouping val="standard"/>
        <c:varyColors val="0"/>
        <c:ser>
          <c:idx val="1"/>
          <c:order val="1"/>
          <c:tx>
            <c:strRef>
              <c:f>'21'!$D$28</c:f>
              <c:strCache>
                <c:ptCount val="1"/>
                <c:pt idx="0">
                  <c:v>GLM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'21'!$B$29:$B$33</c:f>
              <c:strCache>
                <c:ptCount val="5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</c:strCache>
            </c:strRef>
          </c:cat>
          <c:val>
            <c:numRef>
              <c:f>'21'!$D$29:$D$33</c:f>
              <c:numCache>
                <c:formatCode>General</c:formatCode>
                <c:ptCount val="5"/>
                <c:pt idx="0">
                  <c:v>0.77200000000000002</c:v>
                </c:pt>
                <c:pt idx="1">
                  <c:v>1.952</c:v>
                </c:pt>
                <c:pt idx="2">
                  <c:v>1.1839999999999999</c:v>
                </c:pt>
                <c:pt idx="3">
                  <c:v>0.72299999999999998</c:v>
                </c:pt>
                <c:pt idx="4">
                  <c:v>0.70699999999999996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30D-4FD6-93FD-9985BEE1C220}"/>
            </c:ext>
          </c:extLst>
        </c:ser>
        <c:ser>
          <c:idx val="2"/>
          <c:order val="2"/>
          <c:tx>
            <c:strRef>
              <c:f>'21'!$E$28</c:f>
              <c:strCache>
                <c:ptCount val="1"/>
                <c:pt idx="0">
                  <c:v>Lasso Credibility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cat>
            <c:strRef>
              <c:f>'21'!$B$29:$B$33</c:f>
              <c:strCache>
                <c:ptCount val="5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</c:strCache>
            </c:strRef>
          </c:cat>
          <c:val>
            <c:numRef>
              <c:f>'21'!$E$29:$E$33</c:f>
              <c:numCache>
                <c:formatCode>General</c:formatCode>
                <c:ptCount val="5"/>
                <c:pt idx="0">
                  <c:v>1.036</c:v>
                </c:pt>
                <c:pt idx="1">
                  <c:v>1.881</c:v>
                </c:pt>
                <c:pt idx="2">
                  <c:v>1.1379999999999999</c:v>
                </c:pt>
                <c:pt idx="3">
                  <c:v>0.80100000000000005</c:v>
                </c:pt>
                <c:pt idx="4">
                  <c:v>0.70699999999999996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30D-4FD6-93FD-9985BEE1C220}"/>
            </c:ext>
          </c:extLst>
        </c:ser>
        <c:ser>
          <c:idx val="3"/>
          <c:order val="3"/>
          <c:tx>
            <c:strRef>
              <c:f>'21'!$F$28</c:f>
              <c:strCache>
                <c:ptCount val="1"/>
                <c:pt idx="0">
                  <c:v>Complement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'21'!$B$29:$B$33</c:f>
              <c:strCache>
                <c:ptCount val="5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</c:strCache>
            </c:strRef>
          </c:cat>
          <c:val>
            <c:numRef>
              <c:f>'21'!$F$29:$F$33</c:f>
              <c:numCache>
                <c:formatCode>General</c:formatCode>
                <c:ptCount val="5"/>
                <c:pt idx="0">
                  <c:v>1.095</c:v>
                </c:pt>
                <c:pt idx="1">
                  <c:v>1.881</c:v>
                </c:pt>
                <c:pt idx="2">
                  <c:v>1.1379999999999999</c:v>
                </c:pt>
                <c:pt idx="3">
                  <c:v>1.0429999999999999</c:v>
                </c:pt>
                <c:pt idx="4">
                  <c:v>0.95199999999999996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30D-4FD6-93FD-9985BEE1C2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4910608"/>
        <c:axId val="404911688"/>
      </c:lineChart>
      <c:catAx>
        <c:axId val="404910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4911688"/>
        <c:crosses val="autoZero"/>
        <c:auto val="1"/>
        <c:lblAlgn val="ctr"/>
        <c:lblOffset val="100"/>
        <c:noMultiLvlLbl val="0"/>
      </c:catAx>
      <c:valAx>
        <c:axId val="404911688"/>
        <c:scaling>
          <c:orientation val="minMax"/>
          <c:max val="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Relativity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4910608"/>
        <c:crosses val="autoZero"/>
        <c:crossBetween val="between"/>
      </c:valAx>
      <c:valAx>
        <c:axId val="646235600"/>
        <c:scaling>
          <c:orientation val="minMax"/>
          <c:max val="50000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Exposures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6235240"/>
        <c:crosses val="max"/>
        <c:crossBetween val="between"/>
        <c:majorUnit val="100000"/>
      </c:valAx>
      <c:catAx>
        <c:axId val="6462352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4623560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390525</xdr:colOff>
      <xdr:row>0</xdr:row>
      <xdr:rowOff>0</xdr:rowOff>
    </xdr:from>
    <xdr:to>
      <xdr:col>9</xdr:col>
      <xdr:colOff>111972</xdr:colOff>
      <xdr:row>4</xdr:row>
      <xdr:rowOff>32174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9325" y="0"/>
          <a:ext cx="3379047" cy="79417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9525</xdr:colOff>
      <xdr:row>3</xdr:row>
      <xdr:rowOff>85725</xdr:rowOff>
    </xdr:from>
    <xdr:ext cx="2385845" cy="3592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00000000-0008-0000-0F00-000002000000}"/>
                </a:ext>
              </a:extLst>
            </xdr:cNvPr>
            <xdr:cNvSpPr txBox="1"/>
          </xdr:nvSpPr>
          <xdr:spPr>
            <a:xfrm>
              <a:off x="5000625" y="666750"/>
              <a:ext cx="2385845" cy="359266"/>
            </a:xfrm>
            <a:prstGeom prst="rect">
              <a:avLst/>
            </a:prstGeom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bg2">
                  <a:lumMod val="75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Loss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 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Elimination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 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Ratio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[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𝐷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]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[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𝐴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]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E52687C5-E9E2-45E4-A36F-E445775E9D99}"/>
                </a:ext>
              </a:extLst>
            </xdr:cNvPr>
            <xdr:cNvSpPr txBox="1"/>
          </xdr:nvSpPr>
          <xdr:spPr>
            <a:xfrm>
              <a:off x="5000625" y="666750"/>
              <a:ext cx="2385845" cy="359266"/>
            </a:xfrm>
            <a:prstGeom prst="rect">
              <a:avLst/>
            </a:prstGeom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bg2">
                  <a:lumMod val="75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"Loss Elimination Ratio"=(𝐸[𝐴]−𝐸[𝐴_𝐷])/(𝐸[𝐴])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</xdr:colOff>
      <xdr:row>7</xdr:row>
      <xdr:rowOff>19050</xdr:rowOff>
    </xdr:from>
    <xdr:to>
      <xdr:col>5</xdr:col>
      <xdr:colOff>523875</xdr:colOff>
      <xdr:row>27</xdr:row>
      <xdr:rowOff>177862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2450" y="1362075"/>
          <a:ext cx="5495925" cy="3968812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30480</xdr:colOff>
      <xdr:row>1</xdr:row>
      <xdr:rowOff>167640</xdr:rowOff>
    </xdr:from>
    <xdr:ext cx="2504660" cy="32335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00000000-0008-0000-1400-000002000000}"/>
                </a:ext>
              </a:extLst>
            </xdr:cNvPr>
            <xdr:cNvSpPr txBox="1"/>
          </xdr:nvSpPr>
          <xdr:spPr>
            <a:xfrm>
              <a:off x="4945380" y="365760"/>
              <a:ext cx="2504660" cy="32335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𝐸𝑥𝑐𝑒𝑠𝑠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𝑅𝑎𝑡𝑖𝑜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𝑎𝑡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 </m:t>
                    </m:r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𝑖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𝑋𝑆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𝑥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𝑖</m:t>
                            </m:r>
                          </m:sub>
                        </m:sSub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sSup>
                      <m:sSup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1−</m:t>
                            </m:r>
                            <m:f>
                              <m:f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sSub>
                                  <m:sSubPr>
                                    <m:ctrlP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𝑥</m:t>
                                    </m:r>
                                  </m:e>
                                  <m:sub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𝑖</m:t>
                                    </m:r>
                                  </m:sub>
                                </m:sSub>
                              </m:num>
                              <m:den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𝑏</m:t>
                                </m:r>
                              </m:den>
                            </m:f>
                          </m:e>
                        </m:d>
                      </m:e>
                      <m:sup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53DA7DEC-BCD1-443A-8358-A3C536057683}"/>
                </a:ext>
              </a:extLst>
            </xdr:cNvPr>
            <xdr:cNvSpPr txBox="1"/>
          </xdr:nvSpPr>
          <xdr:spPr>
            <a:xfrm>
              <a:off x="4945380" y="365760"/>
              <a:ext cx="2504660" cy="32335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𝐸𝑥𝑐𝑒𝑠𝑠 𝑅𝑎𝑡𝑖𝑜 𝑎𝑡 𝑥_𝑖=𝑋𝑆(𝑥_𝑖 )=(1−𝑥_𝑖/𝑏)^2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66675</xdr:colOff>
      <xdr:row>0</xdr:row>
      <xdr:rowOff>77152</xdr:rowOff>
    </xdr:from>
    <xdr:ext cx="3748847" cy="61427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00000000-0008-0000-1600-000002000000}"/>
                </a:ext>
              </a:extLst>
            </xdr:cNvPr>
            <xdr:cNvSpPr txBox="1"/>
          </xdr:nvSpPr>
          <xdr:spPr>
            <a:xfrm>
              <a:off x="7381875" y="77152"/>
              <a:ext cx="3748847" cy="6142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𝐸</m:t>
                    </m:r>
                    <m:d>
                      <m:dPr>
                        <m:begChr m:val="["/>
                        <m:endChr m:val="]"/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𝑋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;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𝐿</m:t>
                        </m:r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𝛽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𝛼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−1</m:t>
                        </m:r>
                      </m:den>
                    </m:f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1−</m:t>
                        </m:r>
                        <m:sSup>
                          <m:sSup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d>
                              <m:d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f>
                                  <m:fPr>
                                    <m:ctrlP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fPr>
                                  <m:num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𝛽</m:t>
                                    </m:r>
                                  </m:num>
                                  <m:den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𝐿</m:t>
                                    </m:r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+</m:t>
                                    </m:r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𝛽</m:t>
                                    </m:r>
                                  </m:den>
                                </m:f>
                              </m:e>
                            </m:d>
                          </m:e>
                          <m:sup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𝛼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−1</m:t>
                            </m:r>
                          </m:sup>
                        </m:sSup>
                      </m:e>
                    </m:d>
                    <m:r>
                      <m:rPr>
                        <m:nor/>
                      </m:rPr>
                      <a:rPr lang="en-US" sz="1100" b="0">
                        <a:solidFill>
                          <a:schemeClr val="tx1"/>
                        </a:solidFill>
                        <a:effectLst/>
                        <a:latin typeface="+mn-lt"/>
                        <a:ea typeface="+mn-ea"/>
                        <a:cs typeface="+mn-cs"/>
                      </a:rPr>
                      <m:t>and</m:t>
                    </m:r>
                    <m:r>
                      <m:rPr>
                        <m:nor/>
                      </m:rPr>
                      <a:rPr lang="en-US" sz="1100" b="0">
                        <a:solidFill>
                          <a:schemeClr val="tx1"/>
                        </a:solidFill>
                        <a:effectLst/>
                        <a:latin typeface="+mn-lt"/>
                        <a:ea typeface="+mn-ea"/>
                        <a:cs typeface="+mn-cs"/>
                      </a:rPr>
                      <m:t> </m:t>
                    </m:r>
                    <m:sSub>
                      <m:sSubPr>
                        <m:ctrlPr>
                          <a:rPr lang="en-U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U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𝐹</m:t>
                        </m:r>
                      </m:e>
                      <m:sub>
                        <m:r>
                          <a:rPr lang="en-U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𝑋</m:t>
                        </m:r>
                      </m:sub>
                    </m:sSub>
                    <m:d>
                      <m:dPr>
                        <m:ctrlPr>
                          <a:rPr lang="en-U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lang="en-U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d>
                    <m:r>
                      <a:rPr lang="en-US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=1−</m:t>
                    </m:r>
                    <m:sSup>
                      <m:sSupPr>
                        <m:ctrlPr>
                          <a:rPr lang="en-U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n-U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fPr>
                              <m:num>
                                <m:r>
                                  <a:rPr 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𝛽</m:t>
                                </m:r>
                              </m:num>
                              <m:den>
                                <m:r>
                                  <a:rPr 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𝑥</m:t>
                                </m:r>
                                <m:r>
                                  <a:rPr 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+</m:t>
                                </m:r>
                                <m:r>
                                  <a:rPr 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𝛽</m:t>
                                </m:r>
                              </m:den>
                            </m:f>
                          </m:e>
                        </m:d>
                      </m:e>
                      <m:sup>
                        <m:r>
                          <a:rPr lang="en-U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𝛼</m:t>
                        </m:r>
                      </m:sup>
                    </m:sSup>
                  </m:oMath>
                </m:oMathPara>
              </a14:m>
              <a:endParaRPr lang="en-GB">
                <a:effectLst/>
              </a:endParaRPr>
            </a:p>
            <a:p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00000000-0008-0000-1600-000002000000}"/>
                </a:ext>
              </a:extLst>
            </xdr:cNvPr>
            <xdr:cNvSpPr txBox="1"/>
          </xdr:nvSpPr>
          <xdr:spPr>
            <a:xfrm>
              <a:off x="7381875" y="77152"/>
              <a:ext cx="3748847" cy="6142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n-US" sz="1100" b="0" i="0">
                  <a:latin typeface="Cambria Math" panose="02040503050406030204" pitchFamily="18" charset="0"/>
                </a:rPr>
                <a:t>𝐸[𝑋;𝐿]=𝛽/(𝛼−1) (1−(𝛽/(𝐿+𝛽))^(𝛼−1) )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"and " 𝐹_𝑋 (𝑥)=1−(𝛽/(𝑥+𝛽))^𝛼</a:t>
              </a:r>
              <a:endParaRPr lang="en-GB">
                <a:effectLst/>
              </a:endParaRPr>
            </a:p>
            <a:p>
              <a:endParaRPr lang="en-GB" sz="1100"/>
            </a:p>
          </xdr:txBody>
        </xdr:sp>
      </mc:Fallback>
    </mc:AlternateContent>
    <xdr:clientData/>
  </xdr:oneCellAnchor>
  <xdr:oneCellAnchor>
    <xdr:from>
      <xdr:col>12</xdr:col>
      <xdr:colOff>161925</xdr:colOff>
      <xdr:row>5</xdr:row>
      <xdr:rowOff>147637</xdr:rowOff>
    </xdr:from>
    <xdr:ext cx="1322413" cy="35650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00000000-0008-0000-1600-000003000000}"/>
                </a:ext>
              </a:extLst>
            </xdr:cNvPr>
            <xdr:cNvSpPr txBox="1"/>
          </xdr:nvSpPr>
          <xdr:spPr>
            <a:xfrm>
              <a:off x="7486650" y="1109662"/>
              <a:ext cx="1322413" cy="35650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;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+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;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</m:d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1−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𝐹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</m:sub>
                        </m:sSub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</m:d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15ACC2D9-8557-42FB-A064-2F4142921B4E}"/>
                </a:ext>
              </a:extLst>
            </xdr:cNvPr>
            <xdr:cNvSpPr txBox="1"/>
          </xdr:nvSpPr>
          <xdr:spPr>
            <a:xfrm>
              <a:off x="7486650" y="1109662"/>
              <a:ext cx="1322413" cy="35650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(𝐸[𝑋;𝐴+𝐿]−𝐸[𝑋;𝐴])/(1−𝐹_𝑋 (𝐴) 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13</xdr:col>
      <xdr:colOff>114300</xdr:colOff>
      <xdr:row>24</xdr:row>
      <xdr:rowOff>185737</xdr:rowOff>
    </xdr:from>
    <xdr:ext cx="595291" cy="45557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00000000-0008-0000-1600-000005000000}"/>
                </a:ext>
              </a:extLst>
            </xdr:cNvPr>
            <xdr:cNvSpPr txBox="1"/>
          </xdr:nvSpPr>
          <xdr:spPr>
            <a:xfrm>
              <a:off x="8048625" y="4824412"/>
              <a:ext cx="595291" cy="45557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𝑆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𝐿</m:t>
                                </m:r>
                              </m:num>
                              <m:den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𝜏</m:t>
                                </m:r>
                              </m:den>
                            </m:f>
                          </m:e>
                        </m:d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𝑆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</m:e>
                        </m:d>
                      </m:den>
                    </m:f>
                    <m:r>
                      <a:rPr lang="en-US" sz="1100" b="0" i="1">
                        <a:latin typeface="Cambria Math" panose="02040503050406030204" pitchFamily="18" charset="0"/>
                      </a:rPr>
                      <m:t>−1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A8B0074E-9F2C-4A3E-AEE1-F1145B186078}"/>
                </a:ext>
              </a:extLst>
            </xdr:cNvPr>
            <xdr:cNvSpPr txBox="1"/>
          </xdr:nvSpPr>
          <xdr:spPr>
            <a:xfrm>
              <a:off x="8048625" y="4824412"/>
              <a:ext cx="595291" cy="45557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𝑆(𝐿/𝜏)/𝑆(𝐿) −1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11</xdr:row>
      <xdr:rowOff>40957</xdr:rowOff>
    </xdr:from>
    <xdr:to>
      <xdr:col>7</xdr:col>
      <xdr:colOff>619125</xdr:colOff>
      <xdr:row>26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CF305AF-3F5F-2139-7078-9ED131F91A5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51646</xdr:colOff>
      <xdr:row>4</xdr:row>
      <xdr:rowOff>18627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375660" cy="75014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192828</xdr:colOff>
      <xdr:row>4</xdr:row>
      <xdr:rowOff>18627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311313" cy="78062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38100</xdr:colOff>
      <xdr:row>33</xdr:row>
      <xdr:rowOff>182880</xdr:rowOff>
    </xdr:from>
    <xdr:ext cx="1890709" cy="5096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00000000-0008-0000-0300-000002000000}"/>
                </a:ext>
              </a:extLst>
            </xdr:cNvPr>
            <xdr:cNvSpPr txBox="1"/>
          </xdr:nvSpPr>
          <xdr:spPr>
            <a:xfrm>
              <a:off x="10744200" y="6248400"/>
              <a:ext cx="1890709" cy="509627"/>
            </a:xfrm>
            <a:prstGeom prst="rect">
              <a:avLst/>
            </a:prstGeom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bg2">
                  <a:lumMod val="9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200" b="0" i="1">
                        <a:latin typeface="Cambria Math" panose="02040503050406030204" pitchFamily="18" charset="0"/>
                      </a:rPr>
                      <m:t>𝑚𝑠𝑒</m:t>
                    </m:r>
                    <m:r>
                      <a:rPr lang="en-US" sz="1200" b="0" i="1">
                        <a:latin typeface="Cambria Math" panose="02040503050406030204" pitchFamily="18" charset="0"/>
                      </a:rPr>
                      <m:t>=</m:t>
                    </m:r>
                    <m:nary>
                      <m:naryPr>
                        <m:chr m:val="∑"/>
                        <m:subHide m:val="on"/>
                        <m:supHide m:val="on"/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naryPr>
                      <m:sub/>
                      <m:sup/>
                      <m:e>
                        <m:f>
                          <m:fPr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sSup>
                              <m:sSupPr>
                                <m:ctrlP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d>
                                  <m:dPr>
                                    <m:ctrlPr>
                                      <a:rPr lang="en-US" sz="12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dPr>
                                  <m:e>
                                    <m:sSub>
                                      <m:sSubPr>
                                        <m:ctrlPr>
                                          <a:rPr lang="en-US" sz="1200" b="0" i="1"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lang="en-US" sz="1200" b="0" i="1">
                                            <a:latin typeface="Cambria Math" panose="02040503050406030204" pitchFamily="18" charset="0"/>
                                          </a:rPr>
                                          <m:t>𝑋</m:t>
                                        </m:r>
                                      </m:e>
                                      <m:sub>
                                        <m:r>
                                          <a:rPr lang="en-US" sz="1200" b="0" i="1">
                                            <a:latin typeface="Cambria Math" panose="02040503050406030204" pitchFamily="18" charset="0"/>
                                          </a:rPr>
                                          <m:t>𝐴𝑐𝑡</m:t>
                                        </m:r>
                                        <m:r>
                                          <a:rPr lang="en-US" sz="1200" b="0" i="1">
                                            <a:latin typeface="Cambria Math" panose="02040503050406030204" pitchFamily="18" charset="0"/>
                                          </a:rPr>
                                          <m:t>,</m:t>
                                        </m:r>
                                        <m:r>
                                          <a:rPr lang="en-US" sz="1200" b="0" i="1">
                                            <a:latin typeface="Cambria Math" panose="02040503050406030204" pitchFamily="18" charset="0"/>
                                          </a:rPr>
                                          <m:t>𝑖</m:t>
                                        </m:r>
                                      </m:sub>
                                    </m:sSub>
                                    <m:r>
                                      <a:rPr lang="en-US" sz="1200" b="0" i="1">
                                        <a:latin typeface="Cambria Math" panose="02040503050406030204" pitchFamily="18" charset="0"/>
                                      </a:rPr>
                                      <m:t>−</m:t>
                                    </m:r>
                                    <m:sSub>
                                      <m:sSubPr>
                                        <m:ctrlPr>
                                          <a:rPr lang="en-US" sz="1200" b="0" i="1"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lang="en-US" sz="1200" b="0" i="1">
                                            <a:latin typeface="Cambria Math" panose="02040503050406030204" pitchFamily="18" charset="0"/>
                                          </a:rPr>
                                          <m:t>𝑋</m:t>
                                        </m:r>
                                      </m:e>
                                      <m:sub>
                                        <m:r>
                                          <a:rPr lang="en-US" sz="1200" b="0" i="1">
                                            <a:latin typeface="Cambria Math" panose="02040503050406030204" pitchFamily="18" charset="0"/>
                                          </a:rPr>
                                          <m:t>𝐸𝑠𝑡</m:t>
                                        </m:r>
                                        <m:r>
                                          <a:rPr lang="en-US" sz="1200" b="0" i="1">
                                            <a:latin typeface="Cambria Math" panose="02040503050406030204" pitchFamily="18" charset="0"/>
                                          </a:rPr>
                                          <m:t>,</m:t>
                                        </m:r>
                                        <m:r>
                                          <a:rPr lang="en-US" sz="1200" b="0" i="1">
                                            <a:latin typeface="Cambria Math" panose="02040503050406030204" pitchFamily="18" charset="0"/>
                                          </a:rPr>
                                          <m:t>𝑖</m:t>
                                        </m:r>
                                      </m:sub>
                                    </m:sSub>
                                  </m:e>
                                </m:d>
                              </m:e>
                              <m:sup>
                                <m: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2</m:t>
                                </m:r>
                              </m:sup>
                            </m:sSup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</m:num>
                          <m:den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𝑛</m:t>
                            </m:r>
                          </m:den>
                        </m:f>
                      </m:e>
                    </m:nary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C7AAEB76-B1C9-736A-320F-4FA80B051609}"/>
                </a:ext>
              </a:extLst>
            </xdr:cNvPr>
            <xdr:cNvSpPr txBox="1"/>
          </xdr:nvSpPr>
          <xdr:spPr>
            <a:xfrm>
              <a:off x="10744200" y="6248400"/>
              <a:ext cx="1890709" cy="509627"/>
            </a:xfrm>
            <a:prstGeom prst="rect">
              <a:avLst/>
            </a:prstGeom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bg2">
                  <a:lumMod val="9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200" b="0" i="0">
                  <a:latin typeface="Cambria Math" panose="02040503050406030204" pitchFamily="18" charset="0"/>
                </a:rPr>
                <a:t>𝑚𝑠𝑒=∑▒((𝑋_(𝐴𝑐𝑡,𝑖)−𝑋_(𝐸𝑠𝑡,𝑖) )^2  )/𝑛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236220</xdr:colOff>
      <xdr:row>9</xdr:row>
      <xdr:rowOff>14287</xdr:rowOff>
    </xdr:from>
    <xdr:ext cx="152669" cy="19255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00000000-0008-0000-0600-000002000000}"/>
                </a:ext>
              </a:extLst>
            </xdr:cNvPr>
            <xdr:cNvSpPr txBox="1"/>
          </xdr:nvSpPr>
          <xdr:spPr>
            <a:xfrm>
              <a:off x="2712720" y="1675447"/>
              <a:ext cx="152669" cy="1925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 </m:t>
                    </m:r>
                    <m:acc>
                      <m:accPr>
                        <m:chr m:val="̂"/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𝛽</m:t>
                        </m:r>
                      </m:e>
                    </m:acc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00000000-0008-0000-0600-000002000000}"/>
                </a:ext>
              </a:extLst>
            </xdr:cNvPr>
            <xdr:cNvSpPr txBox="1"/>
          </xdr:nvSpPr>
          <xdr:spPr>
            <a:xfrm>
              <a:off x="2712720" y="1675447"/>
              <a:ext cx="152669" cy="1925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 𝛽 ̂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9</xdr:col>
      <xdr:colOff>28575</xdr:colOff>
      <xdr:row>1</xdr:row>
      <xdr:rowOff>14287</xdr:rowOff>
    </xdr:from>
    <xdr:ext cx="1314591" cy="31624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00000000-0008-0000-0600-000003000000}"/>
                </a:ext>
              </a:extLst>
            </xdr:cNvPr>
            <xdr:cNvSpPr txBox="1"/>
          </xdr:nvSpPr>
          <xdr:spPr>
            <a:xfrm>
              <a:off x="6457950" y="214312"/>
              <a:ext cx="1314591" cy="316240"/>
            </a:xfrm>
            <a:prstGeom prst="rect">
              <a:avLst/>
            </a:prstGeom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bg2">
                  <a:lumMod val="9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nor/>
                      </m:rPr>
                      <a:rPr lang="en-US" sz="1200" b="0" i="0">
                        <a:latin typeface="Cambria Math" panose="02040503050406030204" pitchFamily="18" charset="0"/>
                      </a:rPr>
                      <m:t>Odds</m:t>
                    </m:r>
                    <m:r>
                      <m:rPr>
                        <m:nor/>
                      </m:rPr>
                      <a:rPr lang="en-US" sz="1200" b="0" i="0">
                        <a:latin typeface="Cambria Math" panose="02040503050406030204" pitchFamily="18" charset="0"/>
                      </a:rPr>
                      <m:t> </m:t>
                    </m:r>
                    <m:r>
                      <m:rPr>
                        <m:nor/>
                      </m:rPr>
                      <a:rPr lang="en-US" sz="1200" b="0" i="0">
                        <a:latin typeface="Cambria Math" panose="02040503050406030204" pitchFamily="18" charset="0"/>
                      </a:rPr>
                      <m:t>Ratio</m:t>
                    </m:r>
                    <m:r>
                      <a:rPr lang="en-US" sz="12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𝑢</m:t>
                        </m:r>
                      </m:num>
                      <m:den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1−</m:t>
                        </m:r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𝑢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A4033B0D-621D-2E61-D473-7C2C313C6463}"/>
                </a:ext>
              </a:extLst>
            </xdr:cNvPr>
            <xdr:cNvSpPr txBox="1"/>
          </xdr:nvSpPr>
          <xdr:spPr>
            <a:xfrm>
              <a:off x="6457950" y="214312"/>
              <a:ext cx="1314591" cy="316240"/>
            </a:xfrm>
            <a:prstGeom prst="rect">
              <a:avLst/>
            </a:prstGeom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bg2">
                  <a:lumMod val="9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200" b="0" i="0">
                  <a:latin typeface="Cambria Math" panose="02040503050406030204" pitchFamily="18" charset="0"/>
                </a:rPr>
                <a:t>"Odds Ratio"=𝑢/(1−𝑢)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9</xdr:col>
      <xdr:colOff>38100</xdr:colOff>
      <xdr:row>3</xdr:row>
      <xdr:rowOff>23812</xdr:rowOff>
    </xdr:from>
    <xdr:ext cx="2102114" cy="31624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00000000-0008-0000-0600-000004000000}"/>
                </a:ext>
              </a:extLst>
            </xdr:cNvPr>
            <xdr:cNvSpPr txBox="1"/>
          </xdr:nvSpPr>
          <xdr:spPr>
            <a:xfrm>
              <a:off x="6467475" y="604837"/>
              <a:ext cx="2102114" cy="316240"/>
            </a:xfrm>
            <a:prstGeom prst="rect">
              <a:avLst/>
            </a:prstGeom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bg2">
                  <a:lumMod val="9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nor/>
                      </m:rPr>
                      <a:rPr lang="en-US" sz="1200" b="0" i="0">
                        <a:latin typeface="Cambria Math" panose="02040503050406030204" pitchFamily="18" charset="0"/>
                      </a:rPr>
                      <m:t>Logit</m:t>
                    </m:r>
                    <m:r>
                      <m:rPr>
                        <m:nor/>
                      </m:rPr>
                      <a:rPr lang="en-US" sz="1200" b="0" i="0">
                        <a:latin typeface="Cambria Math" panose="02040503050406030204" pitchFamily="18" charset="0"/>
                      </a:rPr>
                      <m:t> </m:t>
                    </m:r>
                    <m:r>
                      <m:rPr>
                        <m:nor/>
                      </m:rPr>
                      <a:rPr lang="en-US" sz="1200" b="0" i="0">
                        <a:latin typeface="Cambria Math" panose="02040503050406030204" pitchFamily="18" charset="0"/>
                      </a:rPr>
                      <m:t>link</m:t>
                    </m:r>
                    <m:r>
                      <m:rPr>
                        <m:nor/>
                      </m:rPr>
                      <a:rPr lang="en-US" sz="1200" b="0" i="0">
                        <a:latin typeface="Cambria Math" panose="02040503050406030204" pitchFamily="18" charset="0"/>
                      </a:rPr>
                      <m:t> </m:t>
                    </m:r>
                    <m:r>
                      <m:rPr>
                        <m:nor/>
                      </m:rPr>
                      <a:rPr lang="en-US" sz="1200" b="0" i="0">
                        <a:latin typeface="Cambria Math" panose="02040503050406030204" pitchFamily="18" charset="0"/>
                      </a:rPr>
                      <m:t>function</m:t>
                    </m:r>
                    <m:r>
                      <a:rPr lang="en-US" sz="1200" b="0" i="1">
                        <a:latin typeface="Cambria Math" panose="02040503050406030204" pitchFamily="18" charset="0"/>
                      </a:rPr>
                      <m:t>=</m:t>
                    </m:r>
                    <m:func>
                      <m:func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funcPr>
                      <m:fName>
                        <m:r>
                          <m:rPr>
                            <m:sty m:val="p"/>
                          </m:rPr>
                          <a:rPr lang="en-US" sz="1200" b="0" i="0">
                            <a:latin typeface="Cambria Math" panose="02040503050406030204" pitchFamily="18" charset="0"/>
                          </a:rPr>
                          <m:t>ln</m:t>
                        </m:r>
                      </m:fName>
                      <m:e>
                        <m:d>
                          <m:dPr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𝑢</m:t>
                                </m:r>
                              </m:num>
                              <m:den>
                                <m: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1−</m:t>
                                </m:r>
                                <m: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𝑢</m:t>
                                </m:r>
                              </m:den>
                            </m:f>
                          </m:e>
                        </m:d>
                      </m:e>
                    </m:func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10D405F8-AA2A-04D0-9D72-1A17EB0B5181}"/>
                </a:ext>
              </a:extLst>
            </xdr:cNvPr>
            <xdr:cNvSpPr txBox="1"/>
          </xdr:nvSpPr>
          <xdr:spPr>
            <a:xfrm>
              <a:off x="6467475" y="604837"/>
              <a:ext cx="2102114" cy="316240"/>
            </a:xfrm>
            <a:prstGeom prst="rect">
              <a:avLst/>
            </a:prstGeom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bg2">
                  <a:lumMod val="9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200" b="0" i="0">
                  <a:latin typeface="Cambria Math" panose="02040503050406030204" pitchFamily="18" charset="0"/>
                </a:rPr>
                <a:t>"Logit link function"=ln⁡(𝑢/(1−𝑢))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28575</xdr:colOff>
      <xdr:row>10</xdr:row>
      <xdr:rowOff>42862</xdr:rowOff>
    </xdr:from>
    <xdr:ext cx="2248885" cy="40959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00000000-0008-0000-0800-000002000000}"/>
                </a:ext>
              </a:extLst>
            </xdr:cNvPr>
            <xdr:cNvSpPr txBox="1"/>
          </xdr:nvSpPr>
          <xdr:spPr>
            <a:xfrm>
              <a:off x="6934200" y="1957387"/>
              <a:ext cx="2248885" cy="409599"/>
            </a:xfrm>
            <a:prstGeom prst="rect">
              <a:avLst/>
            </a:prstGeom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tx1">
                  <a:lumMod val="50000"/>
                  <a:lumOff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200" b="0" i="1">
                        <a:latin typeface="Cambria Math" panose="02040503050406030204" pitchFamily="18" charset="0"/>
                      </a:rPr>
                      <m:t>𝐸𝑃</m:t>
                    </m:r>
                    <m:sSub>
                      <m:sSub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𝑉</m:t>
                        </m:r>
                      </m:e>
                      <m:sub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𝑋</m:t>
                        </m:r>
                      </m:sub>
                    </m:sSub>
                    <m:r>
                      <a:rPr lang="en-US" sz="12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nary>
                          <m:naryPr>
                            <m:chr m:val="∑"/>
                            <m:limLoc m:val="subSup"/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naryPr>
                          <m:sub>
                            <m:r>
                              <m:rPr>
                                <m:brk m:alnAt="25"/>
                              </m:rPr>
                              <a:rPr lang="en-US" sz="1200" b="0" i="1">
                                <a:latin typeface="Cambria Math" panose="02040503050406030204" pitchFamily="18" charset="0"/>
                              </a:rPr>
                              <m:t>𝑖</m:t>
                            </m:r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=1</m:t>
                            </m:r>
                          </m:sub>
                          <m:sup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𝑅</m:t>
                            </m:r>
                          </m:sup>
                          <m:e>
                            <m:nary>
                              <m:naryPr>
                                <m:chr m:val="∑"/>
                                <m:limLoc m:val="subSup"/>
                                <m:ctrlP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</m:ctrlPr>
                              </m:naryPr>
                              <m:sub>
                                <m:r>
                                  <m:rPr>
                                    <m:brk m:alnAt="25"/>
                                  </m:rP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𝑡</m:t>
                                </m:r>
                                <m: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=1</m:t>
                                </m:r>
                              </m:sub>
                              <m:sup>
                                <m: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𝑁</m:t>
                                </m:r>
                              </m:sup>
                              <m:e>
                                <m:sSub>
                                  <m:sSubPr>
                                    <m:ctrlPr>
                                      <a:rPr lang="en-US" sz="12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r>
                                      <a:rPr lang="en-US" sz="1200" b="0" i="1">
                                        <a:latin typeface="Cambria Math" panose="02040503050406030204" pitchFamily="18" charset="0"/>
                                      </a:rPr>
                                      <m:t>𝑚</m:t>
                                    </m:r>
                                  </m:e>
                                  <m:sub>
                                    <m:r>
                                      <a:rPr lang="en-US" sz="1200" b="0" i="1">
                                        <a:latin typeface="Cambria Math" panose="02040503050406030204" pitchFamily="18" charset="0"/>
                                      </a:rPr>
                                      <m:t>𝑖𝑡</m:t>
                                    </m:r>
                                  </m:sub>
                                </m:sSub>
                              </m:e>
                            </m:nary>
                            <m:sSup>
                              <m:sSupPr>
                                <m:ctrlP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d>
                                  <m:dPr>
                                    <m:ctrlPr>
                                      <a:rPr lang="en-US" sz="12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dPr>
                                  <m:e>
                                    <m:sSub>
                                      <m:sSubPr>
                                        <m:ctrlPr>
                                          <a:rPr lang="en-US" sz="1200" b="0" i="1"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lang="en-US" sz="1200" b="0" i="1">
                                            <a:latin typeface="Cambria Math" panose="02040503050406030204" pitchFamily="18" charset="0"/>
                                          </a:rPr>
                                          <m:t>𝑋</m:t>
                                        </m:r>
                                      </m:e>
                                      <m:sub>
                                        <m:r>
                                          <a:rPr lang="en-US" sz="1200" b="0" i="1">
                                            <a:latin typeface="Cambria Math" panose="02040503050406030204" pitchFamily="18" charset="0"/>
                                          </a:rPr>
                                          <m:t>𝑖𝑡</m:t>
                                        </m:r>
                                      </m:sub>
                                    </m:sSub>
                                    <m:r>
                                      <a:rPr lang="en-US" sz="1200" b="0" i="1">
                                        <a:latin typeface="Cambria Math" panose="02040503050406030204" pitchFamily="18" charset="0"/>
                                      </a:rPr>
                                      <m:t>−</m:t>
                                    </m:r>
                                    <m:sSub>
                                      <m:sSubPr>
                                        <m:ctrlPr>
                                          <a:rPr lang="en-US" sz="1200" b="0" i="1"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lang="en-US" sz="1200" b="0" i="1">
                                            <a:latin typeface="Cambria Math" panose="02040503050406030204" pitchFamily="18" charset="0"/>
                                          </a:rPr>
                                          <m:t>𝑋</m:t>
                                        </m:r>
                                      </m:e>
                                      <m:sub>
                                        <m:r>
                                          <a:rPr lang="en-US" sz="1200" b="0" i="1">
                                            <a:latin typeface="Cambria Math" panose="02040503050406030204" pitchFamily="18" charset="0"/>
                                          </a:rPr>
                                          <m:t>𝑖</m:t>
                                        </m:r>
                                      </m:sub>
                                    </m:sSub>
                                  </m:e>
                                </m:d>
                              </m:e>
                              <m:sup>
                                <m: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2</m:t>
                                </m:r>
                              </m:sup>
                            </m:sSup>
                          </m:e>
                        </m:nary>
                      </m:num>
                      <m:den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𝑅</m:t>
                        </m:r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𝑁</m:t>
                        </m:r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−1)</m:t>
                        </m:r>
                      </m:den>
                    </m:f>
                  </m:oMath>
                </m:oMathPara>
              </a14:m>
              <a:endParaRPr lang="en-GB" sz="12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FB7F16DB-3A10-6657-D668-2371CC9A0DC0}"/>
                </a:ext>
              </a:extLst>
            </xdr:cNvPr>
            <xdr:cNvSpPr txBox="1"/>
          </xdr:nvSpPr>
          <xdr:spPr>
            <a:xfrm>
              <a:off x="6934200" y="1957387"/>
              <a:ext cx="2248885" cy="409599"/>
            </a:xfrm>
            <a:prstGeom prst="rect">
              <a:avLst/>
            </a:prstGeom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tx1">
                  <a:lumMod val="50000"/>
                  <a:lumOff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200" b="0" i="0">
                  <a:latin typeface="Cambria Math" panose="02040503050406030204" pitchFamily="18" charset="0"/>
                </a:rPr>
                <a:t>𝐸𝑃𝑉_𝑋=(∑26_(𝑖=1)^𝑅▒〖∑26_(𝑡=1)^𝑁▒𝑚_𝑖𝑡  (𝑋_𝑖𝑡−𝑋_𝑖 )^2 〗)/(𝑅(𝑁−1))</a:t>
              </a:r>
              <a:endParaRPr lang="en-GB" sz="1200"/>
            </a:p>
          </xdr:txBody>
        </xdr:sp>
      </mc:Fallback>
    </mc:AlternateContent>
    <xdr:clientData/>
  </xdr:oneCellAnchor>
  <xdr:oneCellAnchor>
    <xdr:from>
      <xdr:col>14</xdr:col>
      <xdr:colOff>19050</xdr:colOff>
      <xdr:row>26</xdr:row>
      <xdr:rowOff>33337</xdr:rowOff>
    </xdr:from>
    <xdr:ext cx="3077637" cy="52578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00000000-0008-0000-0800-000003000000}"/>
                </a:ext>
              </a:extLst>
            </xdr:cNvPr>
            <xdr:cNvSpPr txBox="1"/>
          </xdr:nvSpPr>
          <xdr:spPr>
            <a:xfrm>
              <a:off x="6924675" y="5119687"/>
              <a:ext cx="3077637" cy="525785"/>
            </a:xfrm>
            <a:prstGeom prst="rect">
              <a:avLst/>
            </a:prstGeom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tx1">
                  <a:lumMod val="50000"/>
                  <a:lumOff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200" b="0" i="1">
                        <a:latin typeface="Cambria Math" panose="02040503050406030204" pitchFamily="18" charset="0"/>
                      </a:rPr>
                      <m:t>𝑉𝐻</m:t>
                    </m:r>
                    <m:sSub>
                      <m:sSub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𝑀</m:t>
                        </m:r>
                      </m:e>
                      <m:sub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𝑋</m:t>
                        </m:r>
                      </m:sub>
                    </m:sSub>
                    <m:r>
                      <a:rPr lang="en-US" sz="12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nary>
                          <m:naryPr>
                            <m:chr m:val="∑"/>
                            <m:limLoc m:val="subSup"/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naryPr>
                          <m:sub>
                            <m:r>
                              <m:rPr>
                                <m:brk m:alnAt="25"/>
                              </m:rPr>
                              <a:rPr lang="en-US" sz="1200" b="0" i="1">
                                <a:latin typeface="Cambria Math" panose="02040503050406030204" pitchFamily="18" charset="0"/>
                              </a:rPr>
                              <m:t>𝑖</m:t>
                            </m:r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=1</m:t>
                            </m:r>
                          </m:sub>
                          <m:sup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𝑅</m:t>
                            </m:r>
                          </m:sup>
                          <m:e>
                            <m:sSub>
                              <m:sSubPr>
                                <m:ctrlP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𝑚</m:t>
                                </m:r>
                              </m:e>
                              <m:sub>
                                <m: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𝑖</m:t>
                                </m:r>
                              </m:sub>
                            </m:sSub>
                            <m:sSup>
                              <m:sSupPr>
                                <m:ctrlP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d>
                                  <m:dPr>
                                    <m:ctrlPr>
                                      <a:rPr lang="en-US" sz="12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dPr>
                                  <m:e>
                                    <m:sSub>
                                      <m:sSubPr>
                                        <m:ctrlPr>
                                          <a:rPr lang="en-US" sz="1200" b="0" i="1"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lang="en-US" sz="1200" b="0" i="1">
                                            <a:latin typeface="Cambria Math" panose="02040503050406030204" pitchFamily="18" charset="0"/>
                                          </a:rPr>
                                          <m:t>𝑋</m:t>
                                        </m:r>
                                      </m:e>
                                      <m:sub>
                                        <m:r>
                                          <a:rPr lang="en-US" sz="1200" b="0" i="1">
                                            <a:latin typeface="Cambria Math" panose="02040503050406030204" pitchFamily="18" charset="0"/>
                                          </a:rPr>
                                          <m:t>𝑖</m:t>
                                        </m:r>
                                      </m:sub>
                                    </m:sSub>
                                    <m:r>
                                      <a:rPr lang="en-US" sz="1200" b="0" i="1">
                                        <a:latin typeface="Cambria Math" panose="02040503050406030204" pitchFamily="18" charset="0"/>
                                      </a:rPr>
                                      <m:t>−</m:t>
                                    </m:r>
                                    <m:sSub>
                                      <m:sSubPr>
                                        <m:ctrlPr>
                                          <a:rPr lang="en-US" sz="1200" b="0" i="1"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lang="en-US" sz="1200" b="0" i="1">
                                            <a:latin typeface="Cambria Math" panose="02040503050406030204" pitchFamily="18" charset="0"/>
                                          </a:rPr>
                                          <m:t>𝑋</m:t>
                                        </m:r>
                                      </m:e>
                                      <m:sub>
                                        <m:r>
                                          <a:rPr lang="en-US" sz="1200" b="0" i="1">
                                            <a:latin typeface="Cambria Math" panose="02040503050406030204" pitchFamily="18" charset="0"/>
                                          </a:rPr>
                                          <m:t>h</m:t>
                                        </m:r>
                                      </m:sub>
                                    </m:sSub>
                                  </m:e>
                                </m:d>
                              </m:e>
                              <m:sup>
                                <m: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2</m:t>
                                </m:r>
                              </m:sup>
                            </m:sSup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  <m:d>
                              <m:dPr>
                                <m:ctrlP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𝑅</m:t>
                                </m:r>
                                <m: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−1</m:t>
                                </m:r>
                              </m:e>
                            </m:d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⋅</m:t>
                            </m:r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𝐸𝑃</m:t>
                            </m:r>
                            <m:sSub>
                              <m:sSubPr>
                                <m:ctrlP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𝑉</m:t>
                                </m:r>
                              </m:e>
                              <m:sub>
                                <m: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𝑋</m:t>
                                </m:r>
                              </m:sub>
                            </m:sSub>
                          </m:e>
                        </m:nary>
                      </m:num>
                      <m:den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𝑚</m:t>
                        </m:r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−</m:t>
                        </m:r>
                        <m:f>
                          <m:fPr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num>
                          <m:den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𝑚</m:t>
                            </m:r>
                          </m:den>
                        </m:f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⋅</m:t>
                        </m:r>
                        <m:nary>
                          <m:naryPr>
                            <m:chr m:val="∑"/>
                            <m:limLoc m:val="subSup"/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naryPr>
                          <m:sub>
                            <m:r>
                              <m:rPr>
                                <m:brk m:alnAt="25"/>
                              </m:rPr>
                              <a:rPr lang="en-US" sz="1200" b="0" i="1">
                                <a:latin typeface="Cambria Math" panose="02040503050406030204" pitchFamily="18" charset="0"/>
                              </a:rPr>
                              <m:t>𝑖</m:t>
                            </m:r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=1</m:t>
                            </m:r>
                          </m:sub>
                          <m:sup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𝑅</m:t>
                            </m:r>
                          </m:sup>
                          <m:e>
                            <m:sSubSup>
                              <m:sSubSupPr>
                                <m:ctrlP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</m:ctrlPr>
                              </m:sSubSupPr>
                              <m:e>
                                <m: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𝑚</m:t>
                                </m:r>
                              </m:e>
                              <m:sub>
                                <m: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𝑖</m:t>
                                </m:r>
                              </m:sub>
                              <m:sup>
                                <m: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2</m:t>
                                </m:r>
                              </m:sup>
                            </m:sSubSup>
                          </m:e>
                        </m:nary>
                      </m:den>
                    </m:f>
                  </m:oMath>
                </m:oMathPara>
              </a14:m>
              <a:endParaRPr lang="en-GB" sz="12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00000000-0008-0000-0800-000003000000}"/>
                </a:ext>
              </a:extLst>
            </xdr:cNvPr>
            <xdr:cNvSpPr txBox="1"/>
          </xdr:nvSpPr>
          <xdr:spPr>
            <a:xfrm>
              <a:off x="6924675" y="5119687"/>
              <a:ext cx="3077637" cy="525785"/>
            </a:xfrm>
            <a:prstGeom prst="rect">
              <a:avLst/>
            </a:prstGeom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tx1">
                  <a:lumMod val="50000"/>
                  <a:lumOff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200" b="0" i="0">
                  <a:latin typeface="Cambria Math" panose="02040503050406030204" pitchFamily="18" charset="0"/>
                </a:rPr>
                <a:t>𝑉𝐻𝑀_𝑋=(∑2_(𝑖=1)^𝑅▒〖𝑚_𝑖 (𝑋_𝑖−𝑋_ℎ )^2−(𝑅−1)⋅𝐸𝑃𝑉_𝑋 〗)/(𝑚−1/𝑚⋅∑2_(𝑖=1)^𝑅▒𝑚_𝑖^2 )</a:t>
              </a:r>
              <a:endParaRPr lang="en-GB" sz="1200"/>
            </a:p>
          </xdr:txBody>
        </xdr:sp>
      </mc:Fallback>
    </mc:AlternateContent>
    <xdr:clientData/>
  </xdr:oneCellAnchor>
  <xdr:oneCellAnchor>
    <xdr:from>
      <xdr:col>14</xdr:col>
      <xdr:colOff>9525</xdr:colOff>
      <xdr:row>36</xdr:row>
      <xdr:rowOff>61912</xdr:rowOff>
    </xdr:from>
    <xdr:ext cx="2964658" cy="40158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00000000-0008-0000-0800-000004000000}"/>
                </a:ext>
              </a:extLst>
            </xdr:cNvPr>
            <xdr:cNvSpPr txBox="1"/>
          </xdr:nvSpPr>
          <xdr:spPr>
            <a:xfrm>
              <a:off x="6915150" y="7158037"/>
              <a:ext cx="2964658" cy="401585"/>
            </a:xfrm>
            <a:prstGeom prst="rect">
              <a:avLst/>
            </a:prstGeom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tx1">
                  <a:lumMod val="50000"/>
                  <a:lumOff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200" b="0" i="1">
                        <a:latin typeface="Cambria Math" panose="02040503050406030204" pitchFamily="18" charset="0"/>
                      </a:rPr>
                      <m:t>𝐶𝑜𝑣</m:t>
                    </m:r>
                    <m:d>
                      <m:d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𝑉</m:t>
                            </m:r>
                          </m:e>
                          <m:sub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𝑖</m:t>
                            </m:r>
                          </m:sub>
                        </m:sSub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,</m:t>
                        </m:r>
                        <m:sSub>
                          <m:sSubPr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</m:e>
                          <m:sub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𝑖</m:t>
                            </m:r>
                          </m:sub>
                        </m:sSub>
                      </m:e>
                    </m:d>
                    <m:r>
                      <a:rPr lang="en-US" sz="1200" b="0" i="1">
                        <a:latin typeface="Cambria Math" panose="02040503050406030204" pitchFamily="18" charset="0"/>
                      </a:rPr>
                      <m:t>=</m:t>
                    </m:r>
                    <m:nary>
                      <m:naryPr>
                        <m:chr m:val="∑"/>
                        <m:limLoc m:val="subSup"/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m:rPr>
                            <m:brk m:alnAt="25"/>
                          </m:rPr>
                          <a:rPr lang="en-US" sz="1200" b="0" i="1">
                            <a:latin typeface="Cambria Math" panose="02040503050406030204" pitchFamily="18" charset="0"/>
                          </a:rPr>
                          <m:t>𝑖</m:t>
                        </m:r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=1</m:t>
                        </m:r>
                      </m:sub>
                      <m:sup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𝑅</m:t>
                        </m:r>
                      </m:sup>
                      <m:e>
                        <m:f>
                          <m:fPr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d>
                              <m:dPr>
                                <m:ctrlP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sSub>
                                  <m:sSubPr>
                                    <m:ctrlPr>
                                      <a:rPr lang="en-US" sz="12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r>
                                      <a:rPr lang="en-US" sz="1200" b="0" i="1">
                                        <a:latin typeface="Cambria Math" panose="02040503050406030204" pitchFamily="18" charset="0"/>
                                      </a:rPr>
                                      <m:t>𝑉</m:t>
                                    </m:r>
                                  </m:e>
                                  <m:sub>
                                    <m:r>
                                      <a:rPr lang="en-US" sz="1200" b="0" i="1">
                                        <a:latin typeface="Cambria Math" panose="02040503050406030204" pitchFamily="18" charset="0"/>
                                      </a:rPr>
                                      <m:t>𝑖</m:t>
                                    </m:r>
                                  </m:sub>
                                </m:sSub>
                                <m: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−</m:t>
                                </m:r>
                                <m:sSub>
                                  <m:sSubPr>
                                    <m:ctrlPr>
                                      <a:rPr lang="en-US" sz="12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r>
                                      <a:rPr lang="en-US" sz="1200" b="0" i="1">
                                        <a:latin typeface="Cambria Math" panose="02040503050406030204" pitchFamily="18" charset="0"/>
                                      </a:rPr>
                                      <m:t>𝑉</m:t>
                                    </m:r>
                                  </m:e>
                                  <m:sub>
                                    <m:r>
                                      <a:rPr lang="en-US" sz="1200" b="0" i="1">
                                        <a:latin typeface="Cambria Math" panose="02040503050406030204" pitchFamily="18" charset="0"/>
                                      </a:rPr>
                                      <m:t>h</m:t>
                                    </m:r>
                                  </m:sub>
                                </m:sSub>
                              </m:e>
                            </m:d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⋅</m:t>
                            </m:r>
                            <m:d>
                              <m:dPr>
                                <m:ctrlP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sSub>
                                  <m:sSubPr>
                                    <m:ctrlPr>
                                      <a:rPr lang="en-US" sz="12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r>
                                      <a:rPr lang="en-US" sz="1200" b="0" i="1">
                                        <a:latin typeface="Cambria Math" panose="02040503050406030204" pitchFamily="18" charset="0"/>
                                      </a:rPr>
                                      <m:t>𝑋</m:t>
                                    </m:r>
                                  </m:e>
                                  <m:sub>
                                    <m:r>
                                      <a:rPr lang="en-US" sz="1200" b="0" i="1">
                                        <a:latin typeface="Cambria Math" panose="02040503050406030204" pitchFamily="18" charset="0"/>
                                      </a:rPr>
                                      <m:t>𝑖</m:t>
                                    </m:r>
                                  </m:sub>
                                </m:sSub>
                                <m: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−</m:t>
                                </m:r>
                                <m:sSub>
                                  <m:sSubPr>
                                    <m:ctrlPr>
                                      <a:rPr lang="en-US" sz="12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r>
                                      <a:rPr lang="en-US" sz="1200" b="0" i="1">
                                        <a:latin typeface="Cambria Math" panose="02040503050406030204" pitchFamily="18" charset="0"/>
                                      </a:rPr>
                                      <m:t>𝑋</m:t>
                                    </m:r>
                                  </m:e>
                                  <m:sub>
                                    <m:r>
                                      <a:rPr lang="en-US" sz="1200" b="0" i="1">
                                        <a:latin typeface="Cambria Math" panose="02040503050406030204" pitchFamily="18" charset="0"/>
                                      </a:rPr>
                                      <m:t>h</m:t>
                                    </m:r>
                                  </m:sub>
                                </m:sSub>
                              </m:e>
                            </m:d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⋅</m:t>
                            </m:r>
                            <m:sSub>
                              <m:sSubPr>
                                <m:ctrlP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𝑚</m:t>
                                </m:r>
                              </m:e>
                              <m:sub>
                                <m: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𝑖</m:t>
                                </m:r>
                              </m:sub>
                            </m:sSub>
                          </m:num>
                          <m:den>
                            <m:sSub>
                              <m:sSubPr>
                                <m:ctrlP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𝑚</m:t>
                                </m:r>
                              </m:e>
                              <m:sub>
                                <m: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h</m:t>
                                </m:r>
                              </m:sub>
                            </m:sSub>
                          </m:den>
                        </m:f>
                      </m:e>
                    </m:nary>
                  </m:oMath>
                </m:oMathPara>
              </a14:m>
              <a:endParaRPr lang="en-GB" sz="12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E7C87A2E-93EF-4B87-A43F-5D396E4963BC}"/>
                </a:ext>
              </a:extLst>
            </xdr:cNvPr>
            <xdr:cNvSpPr txBox="1"/>
          </xdr:nvSpPr>
          <xdr:spPr>
            <a:xfrm>
              <a:off x="6915150" y="7158037"/>
              <a:ext cx="2964658" cy="401585"/>
            </a:xfrm>
            <a:prstGeom prst="rect">
              <a:avLst/>
            </a:prstGeom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tx1">
                  <a:lumMod val="50000"/>
                  <a:lumOff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200" b="0" i="0">
                  <a:latin typeface="Cambria Math" panose="02040503050406030204" pitchFamily="18" charset="0"/>
                </a:rPr>
                <a:t>𝐶𝑜𝑣(𝑉_𝑖,𝑋_𝑖 )=∑26_(𝑖=1)^𝑅▒((𝑉_𝑖−𝑉_ℎ )⋅(𝑋_𝑖−𝑋_ℎ )⋅𝑚_𝑖)/𝑚_ℎ </a:t>
              </a:r>
              <a:endParaRPr lang="en-GB" sz="1200"/>
            </a:p>
          </xdr:txBody>
        </xdr:sp>
      </mc:Fallback>
    </mc:AlternateContent>
    <xdr:clientData/>
  </xdr:oneCellAnchor>
  <xdr:oneCellAnchor>
    <xdr:from>
      <xdr:col>14</xdr:col>
      <xdr:colOff>9525</xdr:colOff>
      <xdr:row>47</xdr:row>
      <xdr:rowOff>52387</xdr:rowOff>
    </xdr:from>
    <xdr:ext cx="1719573" cy="37689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00000000-0008-0000-0800-000005000000}"/>
                </a:ext>
              </a:extLst>
            </xdr:cNvPr>
            <xdr:cNvSpPr txBox="1"/>
          </xdr:nvSpPr>
          <xdr:spPr>
            <a:xfrm>
              <a:off x="6915150" y="9339262"/>
              <a:ext cx="1719573" cy="376898"/>
            </a:xfrm>
            <a:prstGeom prst="rect">
              <a:avLst/>
            </a:prstGeom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tx1">
                  <a:lumMod val="50000"/>
                  <a:lumOff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200" b="0" i="1">
                        <a:latin typeface="Cambria Math" panose="02040503050406030204" pitchFamily="18" charset="0"/>
                      </a:rPr>
                      <m:t>𝑉𝑎𝑟</m:t>
                    </m:r>
                    <m:d>
                      <m:d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</m:e>
                          <m:sub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𝑖</m:t>
                            </m:r>
                          </m:sub>
                        </m:sSub>
                      </m:e>
                    </m:d>
                    <m:r>
                      <a:rPr lang="en-US" sz="12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𝐸𝑃</m:t>
                        </m:r>
                        <m:sSub>
                          <m:sSubPr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𝑉</m:t>
                            </m:r>
                          </m:e>
                          <m:sub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𝑚</m:t>
                            </m:r>
                          </m:e>
                          <m:sub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𝑖</m:t>
                            </m:r>
                          </m:sub>
                        </m:sSub>
                      </m:den>
                    </m:f>
                    <m:r>
                      <a:rPr lang="en-US" sz="1200" b="0" i="1">
                        <a:latin typeface="Cambria Math" panose="02040503050406030204" pitchFamily="18" charset="0"/>
                      </a:rPr>
                      <m:t>+</m:t>
                    </m:r>
                    <m:r>
                      <a:rPr lang="en-US" sz="1200" b="0" i="1">
                        <a:latin typeface="Cambria Math" panose="02040503050406030204" pitchFamily="18" charset="0"/>
                      </a:rPr>
                      <m:t>𝑉𝐻</m:t>
                    </m:r>
                    <m:sSub>
                      <m:sSub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𝑀</m:t>
                        </m:r>
                      </m:e>
                      <m:sub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𝑋</m:t>
                        </m:r>
                      </m:sub>
                    </m:sSub>
                  </m:oMath>
                </m:oMathPara>
              </a14:m>
              <a:endParaRPr lang="en-GB" sz="12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BC5BCF1F-3BB2-9DF8-C923-023277081945}"/>
                </a:ext>
              </a:extLst>
            </xdr:cNvPr>
            <xdr:cNvSpPr txBox="1"/>
          </xdr:nvSpPr>
          <xdr:spPr>
            <a:xfrm>
              <a:off x="6915150" y="9339262"/>
              <a:ext cx="1719573" cy="376898"/>
            </a:xfrm>
            <a:prstGeom prst="rect">
              <a:avLst/>
            </a:prstGeom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tx1">
                  <a:lumMod val="50000"/>
                  <a:lumOff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200" b="0" i="0">
                  <a:latin typeface="Cambria Math" panose="02040503050406030204" pitchFamily="18" charset="0"/>
                </a:rPr>
                <a:t>𝑉𝑎𝑟(𝑋_𝑖 )=(𝐸𝑃𝑉_𝑋)/𝑚_𝑖 +𝑉𝐻𝑀_𝑋</a:t>
              </a:r>
              <a:endParaRPr lang="en-GB" sz="1200"/>
            </a:p>
          </xdr:txBody>
        </xdr:sp>
      </mc:Fallback>
    </mc:AlternateContent>
    <xdr:clientData/>
  </xdr:oneCellAnchor>
  <xdr:oneCellAnchor>
    <xdr:from>
      <xdr:col>14</xdr:col>
      <xdr:colOff>28575</xdr:colOff>
      <xdr:row>54</xdr:row>
      <xdr:rowOff>4762</xdr:rowOff>
    </xdr:from>
    <xdr:ext cx="3609386" cy="41498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00000000-0008-0000-0800-000006000000}"/>
                </a:ext>
              </a:extLst>
            </xdr:cNvPr>
            <xdr:cNvSpPr txBox="1"/>
          </xdr:nvSpPr>
          <xdr:spPr>
            <a:xfrm>
              <a:off x="6934200" y="10625137"/>
              <a:ext cx="3609386" cy="414985"/>
            </a:xfrm>
            <a:prstGeom prst="rect">
              <a:avLst/>
            </a:prstGeom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tx1">
                  <a:lumMod val="50000"/>
                  <a:lumOff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ctrlPr>
                          <a:rPr lang="en-GB" sz="12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1"/>
                                  <m:mcJc m:val="center"/>
                                </m:mcPr>
                              </m:mc>
                            </m:mcs>
                            <m:ctrlPr>
                              <a:rPr lang="en-GB" sz="1200" i="1">
                                <a:latin typeface="Cambria Math" panose="02040503050406030204" pitchFamily="18" charset="0"/>
                              </a:rPr>
                            </m:ctrlPr>
                          </m:mPr>
                          <m:mr>
                            <m:e>
                              <m:r>
                                <m:rPr>
                                  <m:brk m:alnAt="7"/>
                                </m:rPr>
                                <a:rPr lang="en-US" sz="1200" b="0" i="1">
                                  <a:latin typeface="Cambria Math" panose="02040503050406030204" pitchFamily="18" charset="0"/>
                                </a:rPr>
                                <m:t>𝐶</m:t>
                              </m:r>
                              <m:r>
                                <a:rPr lang="en-US" sz="1200" b="0" i="1">
                                  <a:latin typeface="Cambria Math" panose="02040503050406030204" pitchFamily="18" charset="0"/>
                                </a:rPr>
                                <m:t>𝑜𝑣</m:t>
                              </m:r>
                              <m:r>
                                <a:rPr lang="en-US" sz="1200" b="0" i="1">
                                  <a:latin typeface="Cambria Math" panose="02040503050406030204" pitchFamily="18" charset="0"/>
                                </a:rPr>
                                <m:t>(</m:t>
                              </m:r>
                              <m:sSub>
                                <m:sSubPr>
                                  <m:ctrlPr>
                                    <a:rPr lang="en-US" sz="1200" b="0" i="1">
                                      <a:latin typeface="Cambria Math" panose="02040503050406030204" pitchFamily="18" charset="0"/>
                                    </a:rPr>
                                  </m:ctrlPr>
                                </m:sSubPr>
                                <m:e>
                                  <m:r>
                                    <m:rPr>
                                      <m:brk m:alnAt="7"/>
                                    </m:rPr>
                                    <a:rPr lang="en-US" sz="1200" b="0" i="1">
                                      <a:latin typeface="Cambria Math" panose="02040503050406030204" pitchFamily="18" charset="0"/>
                                    </a:rPr>
                                    <m:t>𝑉</m:t>
                                  </m:r>
                                </m:e>
                                <m:sub>
                                  <m:r>
                                    <m:rPr>
                                      <m:brk m:alnAt="7"/>
                                    </m:rPr>
                                    <a:rPr lang="en-US" sz="1200" b="0" i="1">
                                      <a:latin typeface="Cambria Math" panose="02040503050406030204" pitchFamily="18" charset="0"/>
                                    </a:rPr>
                                    <m:t>3</m:t>
                                  </m:r>
                                </m:sub>
                              </m:sSub>
                              <m:r>
                                <m:rPr>
                                  <m:brk m:alnAt="7"/>
                                </m:rPr>
                                <a:rPr lang="en-US" sz="1200" b="0" i="1">
                                  <a:latin typeface="Cambria Math" panose="02040503050406030204" pitchFamily="18" charset="0"/>
                                </a:rPr>
                                <m:t>,</m:t>
                              </m:r>
                              <m:sSub>
                                <m:sSubPr>
                                  <m:ctrlPr>
                                    <a:rPr lang="en-US" sz="1200" b="0" i="1">
                                      <a:latin typeface="Cambria Math" panose="02040503050406030204" pitchFamily="18" charset="0"/>
                                    </a:rPr>
                                  </m:ctrlPr>
                                </m:sSubPr>
                                <m:e>
                                  <m:r>
                                    <m:rPr>
                                      <m:brk m:alnAt="7"/>
                                    </m:rPr>
                                    <a:rPr lang="en-US" sz="1200" b="0" i="1">
                                      <a:latin typeface="Cambria Math" panose="02040503050406030204" pitchFamily="18" charset="0"/>
                                    </a:rPr>
                                    <m:t>𝑥</m:t>
                                  </m:r>
                                </m:e>
                                <m:sub>
                                  <m:r>
                                    <m:rPr>
                                      <m:brk m:alnAt="7"/>
                                    </m:rPr>
                                    <a:rPr lang="en-US" sz="1200" b="0" i="1">
                                      <a:latin typeface="Cambria Math" panose="02040503050406030204" pitchFamily="18" charset="0"/>
                                    </a:rPr>
                                    <m:t>3</m:t>
                                  </m:r>
                                </m:sub>
                              </m:sSub>
                              <m:r>
                                <m:rPr>
                                  <m:brk m:alnAt="7"/>
                                </m:rPr>
                                <a:rPr lang="en-US" sz="1200" b="0" i="1">
                                  <a:latin typeface="Cambria Math" panose="02040503050406030204" pitchFamily="18" charset="0"/>
                                </a:rPr>
                                <m:t>)</m:t>
                              </m:r>
                            </m:e>
                          </m:mr>
                          <m:mr>
                            <m:e>
                              <m:r>
                                <a:rPr lang="en-US" sz="1200" b="0" i="1">
                                  <a:latin typeface="Cambria Math" panose="02040503050406030204" pitchFamily="18" charset="0"/>
                                </a:rPr>
                                <m:t>𝐶𝑜𝑣</m:t>
                              </m:r>
                              <m:r>
                                <a:rPr lang="en-US" sz="1200" b="0" i="1">
                                  <a:latin typeface="Cambria Math" panose="02040503050406030204" pitchFamily="18" charset="0"/>
                                </a:rPr>
                                <m:t>(</m:t>
                              </m:r>
                              <m:sSub>
                                <m:sSubPr>
                                  <m:ctrlPr>
                                    <a:rPr lang="en-US" sz="1200" b="0" i="1">
                                      <a:latin typeface="Cambria Math" panose="02040503050406030204" pitchFamily="18" charset="0"/>
                                    </a:rPr>
                                  </m:ctrlPr>
                                </m:sSubPr>
                                <m:e>
                                  <m:r>
                                    <a:rPr lang="en-US" sz="1200" b="0" i="1">
                                      <a:latin typeface="Cambria Math" panose="02040503050406030204" pitchFamily="18" charset="0"/>
                                    </a:rPr>
                                    <m:t>𝑋</m:t>
                                  </m:r>
                                </m:e>
                                <m:sub>
                                  <m:r>
                                    <a:rPr lang="en-US" sz="1200" b="0" i="1">
                                      <a:latin typeface="Cambria Math" panose="02040503050406030204" pitchFamily="18" charset="0"/>
                                    </a:rPr>
                                    <m:t>3</m:t>
                                  </m:r>
                                </m:sub>
                              </m:sSub>
                              <m:r>
                                <a:rPr lang="en-US" sz="1200" b="0" i="1">
                                  <a:latin typeface="Cambria Math" panose="02040503050406030204" pitchFamily="18" charset="0"/>
                                </a:rPr>
                                <m:t>, </m:t>
                              </m:r>
                              <m:sSub>
                                <m:sSubPr>
                                  <m:ctrlPr>
                                    <a:rPr lang="en-US" sz="1200" b="0" i="1">
                                      <a:latin typeface="Cambria Math" panose="02040503050406030204" pitchFamily="18" charset="0"/>
                                    </a:rPr>
                                  </m:ctrlPr>
                                </m:sSubPr>
                                <m:e>
                                  <m:r>
                                    <a:rPr lang="en-US" sz="1200" b="0" i="1">
                                      <a:latin typeface="Cambria Math" panose="02040503050406030204" pitchFamily="18" charset="0"/>
                                    </a:rPr>
                                    <m:t>𝑥</m:t>
                                  </m:r>
                                </m:e>
                                <m:sub>
                                  <m:r>
                                    <a:rPr lang="en-US" sz="1200" b="0" i="1">
                                      <a:latin typeface="Cambria Math" panose="02040503050406030204" pitchFamily="18" charset="0"/>
                                    </a:rPr>
                                    <m:t>3</m:t>
                                  </m:r>
                                </m:sub>
                              </m:sSub>
                              <m:r>
                                <a:rPr lang="en-US" sz="1200" b="0" i="1">
                                  <a:latin typeface="Cambria Math" panose="02040503050406030204" pitchFamily="18" charset="0"/>
                                </a:rPr>
                                <m:t>)</m:t>
                              </m:r>
                            </m:e>
                          </m:mr>
                        </m:m>
                      </m:e>
                    </m:d>
                    <m:r>
                      <a:rPr lang="en-US" sz="1200" b="0" i="1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2"/>
                                  <m:mcJc m:val="center"/>
                                </m:mcPr>
                              </m:mc>
                            </m:mcs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mPr>
                          <m:mr>
                            <m:e>
                              <m:r>
                                <m:rPr>
                                  <m:brk m:alnAt="7"/>
                                </m:rPr>
                                <a:rPr lang="en-US" sz="1200" b="0" i="1">
                                  <a:latin typeface="Cambria Math" panose="02040503050406030204" pitchFamily="18" charset="0"/>
                                </a:rPr>
                                <m:t>𝑉</m:t>
                              </m:r>
                              <m:r>
                                <a:rPr lang="en-US" sz="1200" b="0" i="1">
                                  <a:latin typeface="Cambria Math" panose="02040503050406030204" pitchFamily="18" charset="0"/>
                                </a:rPr>
                                <m:t>𝑎𝑟</m:t>
                              </m:r>
                              <m:r>
                                <a:rPr lang="en-US" sz="1200" b="0" i="1">
                                  <a:latin typeface="Cambria Math" panose="02040503050406030204" pitchFamily="18" charset="0"/>
                                </a:rPr>
                                <m:t>(</m:t>
                              </m:r>
                              <m:sSub>
                                <m:sSubPr>
                                  <m:ctrlPr>
                                    <a:rPr lang="en-US" sz="1200" b="0" i="1">
                                      <a:latin typeface="Cambria Math" panose="02040503050406030204" pitchFamily="18" charset="0"/>
                                    </a:rPr>
                                  </m:ctrlPr>
                                </m:sSubPr>
                                <m:e>
                                  <m:r>
                                    <m:rPr>
                                      <m:brk m:alnAt="7"/>
                                    </m:rPr>
                                    <a:rPr lang="en-US" sz="1200" b="0" i="1">
                                      <a:latin typeface="Cambria Math" panose="02040503050406030204" pitchFamily="18" charset="0"/>
                                    </a:rPr>
                                    <m:t>𝑉</m:t>
                                  </m:r>
                                </m:e>
                                <m:sub>
                                  <m:r>
                                    <m:rPr>
                                      <m:brk m:alnAt="7"/>
                                    </m:rPr>
                                    <a:rPr lang="en-US" sz="1200" b="0" i="1">
                                      <a:latin typeface="Cambria Math" panose="02040503050406030204" pitchFamily="18" charset="0"/>
                                    </a:rPr>
                                    <m:t>3</m:t>
                                  </m:r>
                                </m:sub>
                              </m:sSub>
                              <m:r>
                                <m:rPr>
                                  <m:brk m:alnAt="7"/>
                                </m:rPr>
                                <a:rPr lang="en-US" sz="1200" b="0" i="1">
                                  <a:latin typeface="Cambria Math" panose="02040503050406030204" pitchFamily="18" charset="0"/>
                                </a:rPr>
                                <m:t>)</m:t>
                              </m:r>
                            </m:e>
                            <m:e>
                              <m:r>
                                <a:rPr lang="en-US" sz="1200" b="0" i="1">
                                  <a:latin typeface="Cambria Math" panose="02040503050406030204" pitchFamily="18" charset="0"/>
                                </a:rPr>
                                <m:t>𝐶𝑜𝑣</m:t>
                              </m:r>
                              <m:r>
                                <a:rPr lang="en-US" sz="1200" b="0" i="1">
                                  <a:latin typeface="Cambria Math" panose="02040503050406030204" pitchFamily="18" charset="0"/>
                                </a:rPr>
                                <m:t>(</m:t>
                              </m:r>
                              <m:sSub>
                                <m:sSubPr>
                                  <m:ctrlPr>
                                    <a:rPr lang="en-US" sz="1200" b="0" i="1">
                                      <a:latin typeface="Cambria Math" panose="02040503050406030204" pitchFamily="18" charset="0"/>
                                    </a:rPr>
                                  </m:ctrlPr>
                                </m:sSubPr>
                                <m:e>
                                  <m:r>
                                    <a:rPr lang="en-US" sz="1200" b="0" i="1">
                                      <a:latin typeface="Cambria Math" panose="02040503050406030204" pitchFamily="18" charset="0"/>
                                    </a:rPr>
                                    <m:t>𝑉</m:t>
                                  </m:r>
                                </m:e>
                                <m:sub>
                                  <m:r>
                                    <a:rPr lang="en-US" sz="1200" b="0" i="1">
                                      <a:latin typeface="Cambria Math" panose="02040503050406030204" pitchFamily="18" charset="0"/>
                                    </a:rPr>
                                    <m:t>3</m:t>
                                  </m:r>
                                </m:sub>
                              </m:sSub>
                              <m:r>
                                <a:rPr lang="en-US" sz="1200" b="0" i="1">
                                  <a:latin typeface="Cambria Math" panose="02040503050406030204" pitchFamily="18" charset="0"/>
                                </a:rPr>
                                <m:t>,</m:t>
                              </m:r>
                              <m:sSub>
                                <m:sSubPr>
                                  <m:ctrlPr>
                                    <a:rPr lang="en-US" sz="1200" b="0" i="1">
                                      <a:latin typeface="Cambria Math" panose="02040503050406030204" pitchFamily="18" charset="0"/>
                                    </a:rPr>
                                  </m:ctrlPr>
                                </m:sSubPr>
                                <m:e>
                                  <m:r>
                                    <a:rPr lang="en-US" sz="1200" b="0" i="1">
                                      <a:latin typeface="Cambria Math" panose="02040503050406030204" pitchFamily="18" charset="0"/>
                                    </a:rPr>
                                    <m:t>𝑋</m:t>
                                  </m:r>
                                </m:e>
                                <m:sub>
                                  <m:r>
                                    <a:rPr lang="en-US" sz="1200" b="0" i="1">
                                      <a:latin typeface="Cambria Math" panose="02040503050406030204" pitchFamily="18" charset="0"/>
                                    </a:rPr>
                                    <m:t>3</m:t>
                                  </m:r>
                                </m:sub>
                              </m:sSub>
                              <m:r>
                                <a:rPr lang="en-US" sz="1200" b="0" i="1">
                                  <a:latin typeface="Cambria Math" panose="02040503050406030204" pitchFamily="18" charset="0"/>
                                </a:rPr>
                                <m:t>)</m:t>
                              </m:r>
                            </m:e>
                          </m:mr>
                          <m:mr>
                            <m:e>
                              <m:r>
                                <a:rPr lang="en-US" sz="1200" b="0" i="1">
                                  <a:latin typeface="Cambria Math" panose="02040503050406030204" pitchFamily="18" charset="0"/>
                                </a:rPr>
                                <m:t>𝐶𝑜𝑣</m:t>
                              </m:r>
                              <m:r>
                                <a:rPr lang="en-US" sz="1200" b="0" i="1">
                                  <a:latin typeface="Cambria Math" panose="02040503050406030204" pitchFamily="18" charset="0"/>
                                </a:rPr>
                                <m:t>(</m:t>
                              </m:r>
                              <m:sSub>
                                <m:sSubPr>
                                  <m:ctrlPr>
                                    <a:rPr lang="en-US" sz="1200" b="0" i="1">
                                      <a:latin typeface="Cambria Math" panose="02040503050406030204" pitchFamily="18" charset="0"/>
                                    </a:rPr>
                                  </m:ctrlPr>
                                </m:sSubPr>
                                <m:e>
                                  <m:r>
                                    <a:rPr lang="en-US" sz="1200" b="0" i="1">
                                      <a:latin typeface="Cambria Math" panose="02040503050406030204" pitchFamily="18" charset="0"/>
                                    </a:rPr>
                                    <m:t>𝑋</m:t>
                                  </m:r>
                                </m:e>
                                <m:sub>
                                  <m:r>
                                    <a:rPr lang="en-US" sz="1200" b="0" i="1">
                                      <a:latin typeface="Cambria Math" panose="02040503050406030204" pitchFamily="18" charset="0"/>
                                    </a:rPr>
                                    <m:t>3</m:t>
                                  </m:r>
                                </m:sub>
                              </m:sSub>
                              <m:r>
                                <a:rPr lang="en-US" sz="1200" b="0" i="1">
                                  <a:latin typeface="Cambria Math" panose="02040503050406030204" pitchFamily="18" charset="0"/>
                                </a:rPr>
                                <m:t>,</m:t>
                              </m:r>
                              <m:sSub>
                                <m:sSubPr>
                                  <m:ctrlPr>
                                    <a:rPr lang="en-US" sz="1200" b="0" i="1">
                                      <a:latin typeface="Cambria Math" panose="02040503050406030204" pitchFamily="18" charset="0"/>
                                    </a:rPr>
                                  </m:ctrlPr>
                                </m:sSubPr>
                                <m:e>
                                  <m:r>
                                    <a:rPr lang="en-US" sz="1200" b="0" i="1">
                                      <a:latin typeface="Cambria Math" panose="02040503050406030204" pitchFamily="18" charset="0"/>
                                    </a:rPr>
                                    <m:t>𝑉</m:t>
                                  </m:r>
                                </m:e>
                                <m:sub>
                                  <m:r>
                                    <a:rPr lang="en-US" sz="1200" b="0" i="1">
                                      <a:latin typeface="Cambria Math" panose="02040503050406030204" pitchFamily="18" charset="0"/>
                                    </a:rPr>
                                    <m:t>3</m:t>
                                  </m:r>
                                </m:sub>
                              </m:sSub>
                              <m:r>
                                <a:rPr lang="en-US" sz="1200" b="0" i="1">
                                  <a:latin typeface="Cambria Math" panose="02040503050406030204" pitchFamily="18" charset="0"/>
                                </a:rPr>
                                <m:t>)</m:t>
                              </m:r>
                            </m:e>
                            <m:e>
                              <m:r>
                                <a:rPr lang="en-US" sz="1200" b="0" i="1">
                                  <a:latin typeface="Cambria Math" panose="02040503050406030204" pitchFamily="18" charset="0"/>
                                </a:rPr>
                                <m:t>𝑉𝑎𝑟</m:t>
                              </m:r>
                              <m:r>
                                <a:rPr lang="en-US" sz="1200" b="0" i="1">
                                  <a:latin typeface="Cambria Math" panose="02040503050406030204" pitchFamily="18" charset="0"/>
                                </a:rPr>
                                <m:t>(</m:t>
                              </m:r>
                              <m:sSub>
                                <m:sSubPr>
                                  <m:ctrlPr>
                                    <a:rPr lang="en-US" sz="1200" b="0" i="1">
                                      <a:latin typeface="Cambria Math" panose="02040503050406030204" pitchFamily="18" charset="0"/>
                                    </a:rPr>
                                  </m:ctrlPr>
                                </m:sSubPr>
                                <m:e>
                                  <m:r>
                                    <a:rPr lang="en-US" sz="1200" b="0" i="1">
                                      <a:latin typeface="Cambria Math" panose="02040503050406030204" pitchFamily="18" charset="0"/>
                                    </a:rPr>
                                    <m:t>𝑋</m:t>
                                  </m:r>
                                </m:e>
                                <m:sub>
                                  <m:r>
                                    <a:rPr lang="en-US" sz="1200" b="0" i="1">
                                      <a:latin typeface="Cambria Math" panose="02040503050406030204" pitchFamily="18" charset="0"/>
                                    </a:rPr>
                                    <m:t>3</m:t>
                                  </m:r>
                                </m:sub>
                              </m:sSub>
                              <m:r>
                                <a:rPr lang="en-US" sz="1200" b="0" i="1">
                                  <a:latin typeface="Cambria Math" panose="02040503050406030204" pitchFamily="18" charset="0"/>
                                </a:rPr>
                                <m:t>)</m:t>
                              </m:r>
                            </m:e>
                          </m:mr>
                        </m:m>
                      </m:e>
                    </m:d>
                    <m:r>
                      <a:rPr lang="en-US" sz="1200" b="0" i="1">
                        <a:latin typeface="Cambria Math" panose="02040503050406030204" pitchFamily="18" charset="0"/>
                      </a:rPr>
                      <m:t>⋅</m:t>
                    </m:r>
                    <m:d>
                      <m:d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1"/>
                                  <m:mcJc m:val="center"/>
                                </m:mcPr>
                              </m:mc>
                            </m:mcs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mPr>
                          <m:mr>
                            <m:e>
                              <m:sSub>
                                <m:sSubPr>
                                  <m:ctrlPr>
                                    <a:rPr lang="en-US" sz="1200" b="0" i="1">
                                      <a:latin typeface="Cambria Math" panose="02040503050406030204" pitchFamily="18" charset="0"/>
                                    </a:rPr>
                                  </m:ctrlPr>
                                </m:sSubPr>
                                <m:e>
                                  <m:r>
                                    <m:rPr>
                                      <m:brk m:alnAt="7"/>
                                    </m:rPr>
                                    <a:rPr lang="en-US" sz="1200" b="0" i="1">
                                      <a:latin typeface="Cambria Math" panose="02040503050406030204" pitchFamily="18" charset="0"/>
                                    </a:rPr>
                                    <m:t>𝑏</m:t>
                                  </m:r>
                                </m:e>
                                <m:sub>
                                  <m:sSub>
                                    <m:sSubPr>
                                      <m:ctrlPr>
                                        <a:rPr lang="en-US" sz="1200" b="0" i="1">
                                          <a:latin typeface="Cambria Math" panose="02040503050406030204" pitchFamily="18" charset="0"/>
                                        </a:rPr>
                                      </m:ctrlPr>
                                    </m:sSubPr>
                                    <m:e>
                                      <m:r>
                                        <m:rPr>
                                          <m:brk m:alnAt="7"/>
                                        </m:rPr>
                                        <a:rPr lang="en-US" sz="1200" b="0" i="1">
                                          <a:latin typeface="Cambria Math" panose="02040503050406030204" pitchFamily="18" charset="0"/>
                                        </a:rPr>
                                        <m:t>𝑉</m:t>
                                      </m:r>
                                    </m:e>
                                    <m:sub>
                                      <m:r>
                                        <m:rPr>
                                          <m:brk m:alnAt="7"/>
                                        </m:rPr>
                                        <a:rPr lang="en-US" sz="1200" b="0" i="1">
                                          <a:latin typeface="Cambria Math" panose="02040503050406030204" pitchFamily="18" charset="0"/>
                                        </a:rPr>
                                        <m:t>3</m:t>
                                      </m:r>
                                    </m:sub>
                                  </m:sSub>
                                </m:sub>
                              </m:sSub>
                            </m:e>
                          </m:mr>
                          <m:mr>
                            <m:e>
                              <m:sSub>
                                <m:sSubPr>
                                  <m:ctrlPr>
                                    <a:rPr lang="en-US" sz="1200" b="0" i="1">
                                      <a:latin typeface="Cambria Math" panose="02040503050406030204" pitchFamily="18" charset="0"/>
                                    </a:rPr>
                                  </m:ctrlPr>
                                </m:sSubPr>
                                <m:e>
                                  <m:r>
                                    <a:rPr lang="en-US" sz="1200" b="0" i="1">
                                      <a:latin typeface="Cambria Math" panose="02040503050406030204" pitchFamily="18" charset="0"/>
                                    </a:rPr>
                                    <m:t>𝑑</m:t>
                                  </m:r>
                                </m:e>
                                <m:sub>
                                  <m:sSub>
                                    <m:sSubPr>
                                      <m:ctrlPr>
                                        <a:rPr lang="en-US" sz="1200" b="0" i="1">
                                          <a:latin typeface="Cambria Math" panose="02040503050406030204" pitchFamily="18" charset="0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lang="en-US" sz="1200" b="0" i="1">
                                          <a:latin typeface="Cambria Math" panose="02040503050406030204" pitchFamily="18" charset="0"/>
                                        </a:rPr>
                                        <m:t>𝑋</m:t>
                                      </m:r>
                                    </m:e>
                                    <m:sub>
                                      <m:r>
                                        <a:rPr lang="en-US" sz="1200" b="0" i="1">
                                          <a:latin typeface="Cambria Math" panose="02040503050406030204" pitchFamily="18" charset="0"/>
                                        </a:rPr>
                                        <m:t>3</m:t>
                                      </m:r>
                                    </m:sub>
                                  </m:sSub>
                                </m:sub>
                              </m:sSub>
                            </m:e>
                          </m:mr>
                        </m:m>
                      </m:e>
                    </m:d>
                  </m:oMath>
                </m:oMathPara>
              </a14:m>
              <a:endParaRPr lang="en-GB" sz="120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25A30108-ECD3-6988-B493-B4472E87A7E5}"/>
                </a:ext>
              </a:extLst>
            </xdr:cNvPr>
            <xdr:cNvSpPr txBox="1"/>
          </xdr:nvSpPr>
          <xdr:spPr>
            <a:xfrm>
              <a:off x="6934200" y="10625137"/>
              <a:ext cx="3609386" cy="414985"/>
            </a:xfrm>
            <a:prstGeom prst="rect">
              <a:avLst/>
            </a:prstGeom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tx1">
                  <a:lumMod val="50000"/>
                  <a:lumOff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200" i="0">
                  <a:latin typeface="Cambria Math" panose="02040503050406030204" pitchFamily="18" charset="0"/>
                </a:rPr>
                <a:t>(■8(</a:t>
              </a:r>
              <a:r>
                <a:rPr lang="en-US" sz="1200" b="0" i="0">
                  <a:latin typeface="Cambria Math" panose="02040503050406030204" pitchFamily="18" charset="0"/>
                </a:rPr>
                <a:t>𝐶𝑜𝑣(𝑉_3,𝑥_3)</a:t>
              </a:r>
              <a:r>
                <a:rPr lang="en-GB" sz="1200" b="0" i="0">
                  <a:latin typeface="Cambria Math" panose="02040503050406030204" pitchFamily="18" charset="0"/>
                </a:rPr>
                <a:t>@</a:t>
              </a:r>
              <a:r>
                <a:rPr lang="en-US" sz="1200" b="0" i="0">
                  <a:latin typeface="Cambria Math" panose="02040503050406030204" pitchFamily="18" charset="0"/>
                </a:rPr>
                <a:t>𝐶𝑜𝑣(𝑋_3, 𝑥_3)</a:t>
              </a:r>
              <a:r>
                <a:rPr lang="en-GB" sz="1200" b="0" i="0">
                  <a:latin typeface="Cambria Math" panose="02040503050406030204" pitchFamily="18" charset="0"/>
                </a:rPr>
                <a:t>))</a:t>
              </a:r>
              <a:r>
                <a:rPr lang="en-US" sz="1200" b="0" i="0">
                  <a:latin typeface="Cambria Math" panose="02040503050406030204" pitchFamily="18" charset="0"/>
                </a:rPr>
                <a:t>=(■8(𝑉𝑎𝑟(𝑉_3)&amp;𝐶𝑜𝑣(𝑉_3,𝑋_3)@𝐶𝑜𝑣(𝑋_3,𝑉_3)&amp;𝑉𝑎𝑟(𝑋_3)))⋅(■8(𝑏_(𝑉_3 )@𝑑_(𝑋_3 ) ))</a:t>
              </a:r>
              <a:endParaRPr lang="en-GB" sz="1200"/>
            </a:p>
          </xdr:txBody>
        </xdr:sp>
      </mc:Fallback>
    </mc:AlternateContent>
    <xdr:clientData/>
  </xdr:oneCellAnchor>
  <xdr:oneCellAnchor>
    <xdr:from>
      <xdr:col>14</xdr:col>
      <xdr:colOff>276225</xdr:colOff>
      <xdr:row>70</xdr:row>
      <xdr:rowOff>185737</xdr:rowOff>
    </xdr:from>
    <xdr:ext cx="542777" cy="38036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00000000-0008-0000-0800-000007000000}"/>
                </a:ext>
              </a:extLst>
            </xdr:cNvPr>
            <xdr:cNvSpPr txBox="1"/>
          </xdr:nvSpPr>
          <xdr:spPr>
            <a:xfrm>
              <a:off x="7181850" y="13892212"/>
              <a:ext cx="542777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1"/>
                                  <m:mcJc m:val="center"/>
                                </m:mcPr>
                              </m:mc>
                            </m:mcs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mPr>
                          <m:mr>
                            <m:e>
                              <m:sSub>
                                <m:sSubPr>
                                  <m:ctrlPr>
                                    <a:rPr lang="en-US" sz="1100" b="0" i="1">
                                      <a:latin typeface="Cambria Math" panose="02040503050406030204" pitchFamily="18" charset="0"/>
                                    </a:rPr>
                                  </m:ctrlPr>
                                </m:sSubPr>
                                <m:e>
                                  <m:r>
                                    <m:rPr>
                                      <m:brk m:alnAt="7"/>
                                    </m:rPr>
                                    <a:rPr lang="en-US" sz="1100" b="0" i="1">
                                      <a:latin typeface="Cambria Math" panose="02040503050406030204" pitchFamily="18" charset="0"/>
                                    </a:rPr>
                                    <m:t>𝑏</m:t>
                                  </m:r>
                                </m:e>
                                <m:sub>
                                  <m:sSub>
                                    <m:sSubPr>
                                      <m:ctrlPr>
                                        <a:rPr lang="en-US" sz="1100" b="0" i="1">
                                          <a:latin typeface="Cambria Math" panose="02040503050406030204" pitchFamily="18" charset="0"/>
                                        </a:rPr>
                                      </m:ctrlPr>
                                    </m:sSubPr>
                                    <m:e>
                                      <m:r>
                                        <m:rPr>
                                          <m:brk m:alnAt="7"/>
                                        </m:rPr>
                                        <a:rPr lang="en-US" sz="1100" b="0" i="1">
                                          <a:latin typeface="Cambria Math" panose="02040503050406030204" pitchFamily="18" charset="0"/>
                                        </a:rPr>
                                        <m:t>𝑉</m:t>
                                      </m:r>
                                    </m:e>
                                    <m:sub>
                                      <m:r>
                                        <m:rPr>
                                          <m:brk m:alnAt="7"/>
                                        </m:rPr>
                                        <a:rPr lang="en-US" sz="1100" b="0" i="1">
                                          <a:latin typeface="Cambria Math" panose="02040503050406030204" pitchFamily="18" charset="0"/>
                                        </a:rPr>
                                        <m:t>3</m:t>
                                      </m:r>
                                    </m:sub>
                                  </m:sSub>
                                </m:sub>
                              </m:sSub>
                            </m:e>
                          </m:mr>
                          <m:mr>
                            <m:e>
                              <m:sSub>
                                <m:sSubPr>
                                  <m:ctrlPr>
                                    <a:rPr lang="en-US" sz="1100" b="0" i="1">
                                      <a:latin typeface="Cambria Math" panose="02040503050406030204" pitchFamily="18" charset="0"/>
                                    </a:rPr>
                                  </m:ctrlPr>
                                </m:sSubPr>
                                <m:e>
                                  <m:r>
                                    <a:rPr lang="en-US" sz="1100" b="0" i="1">
                                      <a:latin typeface="Cambria Math" panose="02040503050406030204" pitchFamily="18" charset="0"/>
                                    </a:rPr>
                                    <m:t>𝑑</m:t>
                                  </m:r>
                                </m:e>
                                <m:sub>
                                  <m:sSub>
                                    <m:sSubPr>
                                      <m:ctrlPr>
                                        <a:rPr lang="en-US" sz="1100" b="0" i="1">
                                          <a:latin typeface="Cambria Math" panose="02040503050406030204" pitchFamily="18" charset="0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lang="en-US" sz="1100" b="0" i="1">
                                          <a:latin typeface="Cambria Math" panose="02040503050406030204" pitchFamily="18" charset="0"/>
                                        </a:rPr>
                                        <m:t>𝑋</m:t>
                                      </m:r>
                                    </m:e>
                                    <m:sub>
                                      <m:r>
                                        <a:rPr lang="en-US" sz="1100" b="0" i="1">
                                          <a:latin typeface="Cambria Math" panose="02040503050406030204" pitchFamily="18" charset="0"/>
                                        </a:rPr>
                                        <m:t>3</m:t>
                                      </m:r>
                                    </m:sub>
                                  </m:sSub>
                                </m:sub>
                              </m:sSub>
                            </m:e>
                          </m:mr>
                        </m:m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8D19D4BD-ACCC-BDC3-B661-37DC9E3578B5}"/>
                </a:ext>
              </a:extLst>
            </xdr:cNvPr>
            <xdr:cNvSpPr txBox="1"/>
          </xdr:nvSpPr>
          <xdr:spPr>
            <a:xfrm>
              <a:off x="7181850" y="13892212"/>
              <a:ext cx="542777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i="0">
                  <a:latin typeface="Cambria Math" panose="02040503050406030204" pitchFamily="18" charset="0"/>
                </a:rPr>
                <a:t>(■8(</a:t>
              </a:r>
              <a:r>
                <a:rPr lang="en-US" sz="1100" b="0" i="0">
                  <a:latin typeface="Cambria Math" panose="02040503050406030204" pitchFamily="18" charset="0"/>
                </a:rPr>
                <a:t>𝑏_(𝑉_3 )</a:t>
              </a:r>
              <a:r>
                <a:rPr lang="en-GB" sz="1100" b="0" i="0">
                  <a:latin typeface="Cambria Math" panose="02040503050406030204" pitchFamily="18" charset="0"/>
                </a:rPr>
                <a:t>@</a:t>
              </a:r>
              <a:r>
                <a:rPr lang="en-US" sz="1100" b="0" i="0">
                  <a:latin typeface="Cambria Math" panose="02040503050406030204" pitchFamily="18" charset="0"/>
                </a:rPr>
                <a:t>𝑑_(𝑋_3 )</a:t>
              </a:r>
              <a:r>
                <a:rPr lang="en-GB" sz="1100" b="0" i="0">
                  <a:latin typeface="Cambria Math" panose="02040503050406030204" pitchFamily="18" charset="0"/>
                </a:rPr>
                <a:t> ))</a:t>
              </a:r>
              <a:r>
                <a:rPr lang="en-US" sz="1100" b="0" i="0">
                  <a:latin typeface="Cambria Math" panose="02040503050406030204" pitchFamily="18" charset="0"/>
                </a:rPr>
                <a:t>=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14</xdr:col>
      <xdr:colOff>28575</xdr:colOff>
      <xdr:row>75</xdr:row>
      <xdr:rowOff>33337</xdr:rowOff>
    </xdr:from>
    <xdr:ext cx="3087384" cy="20172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00000000-0008-0000-0800-000008000000}"/>
                </a:ext>
              </a:extLst>
            </xdr:cNvPr>
            <xdr:cNvSpPr txBox="1"/>
          </xdr:nvSpPr>
          <xdr:spPr>
            <a:xfrm>
              <a:off x="6934200" y="14692312"/>
              <a:ext cx="3087384" cy="201722"/>
            </a:xfrm>
            <a:prstGeom prst="rect">
              <a:avLst/>
            </a:prstGeom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tx1">
                  <a:lumMod val="50000"/>
                  <a:lumOff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200" b="0" i="1">
                        <a:latin typeface="Cambria Math" panose="02040503050406030204" pitchFamily="18" charset="0"/>
                      </a:rPr>
                      <m:t>𝐸</m:t>
                    </m:r>
                    <m:d>
                      <m:dPr>
                        <m:begChr m:val="["/>
                        <m:endChr m:val="]"/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</m:e>
                          <m:sub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3</m:t>
                            </m:r>
                          </m:sub>
                        </m:sSub>
                      </m:e>
                    </m:d>
                    <m:r>
                      <a:rPr lang="en-US" sz="12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𝑋</m:t>
                        </m:r>
                      </m:e>
                      <m:sub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h</m:t>
                        </m:r>
                      </m:sub>
                    </m:sSub>
                    <m:r>
                      <a:rPr lang="en-US" sz="1200" b="0" i="1">
                        <a:latin typeface="Cambria Math" panose="02040503050406030204" pitchFamily="18" charset="0"/>
                      </a:rPr>
                      <m:t>+</m:t>
                    </m:r>
                    <m:sSub>
                      <m:sSub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sSub>
                          <m:sSubPr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𝑉</m:t>
                            </m:r>
                          </m:e>
                          <m:sub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3</m:t>
                            </m:r>
                          </m:sub>
                        </m:sSub>
                      </m:sub>
                    </m:sSub>
                    <m:r>
                      <a:rPr lang="en-US" sz="1200" b="0" i="1">
                        <a:latin typeface="Cambria Math" panose="02040503050406030204" pitchFamily="18" charset="0"/>
                      </a:rPr>
                      <m:t>⋅</m:t>
                    </m:r>
                    <m:d>
                      <m:d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𝑉</m:t>
                            </m:r>
                          </m:e>
                          <m:sub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3</m:t>
                            </m:r>
                          </m:sub>
                        </m:sSub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−</m:t>
                        </m:r>
                        <m:sSub>
                          <m:sSubPr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𝑉</m:t>
                            </m:r>
                          </m:e>
                          <m:sub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h</m:t>
                            </m:r>
                          </m:sub>
                        </m:sSub>
                      </m:e>
                    </m:d>
                    <m:r>
                      <a:rPr lang="en-US" sz="1200" b="0" i="1">
                        <a:latin typeface="Cambria Math" panose="02040503050406030204" pitchFamily="18" charset="0"/>
                      </a:rPr>
                      <m:t>+</m:t>
                    </m:r>
                    <m:sSub>
                      <m:sSub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𝑑</m:t>
                        </m:r>
                      </m:e>
                      <m:sub>
                        <m:sSub>
                          <m:sSubPr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</m:e>
                          <m:sub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3</m:t>
                            </m:r>
                          </m:sub>
                        </m:sSub>
                      </m:sub>
                    </m:sSub>
                    <m:r>
                      <a:rPr lang="en-US" sz="1200" b="0" i="1">
                        <a:latin typeface="Cambria Math" panose="02040503050406030204" pitchFamily="18" charset="0"/>
                      </a:rPr>
                      <m:t>⋅(</m:t>
                    </m:r>
                    <m:sSub>
                      <m:sSub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𝑋</m:t>
                        </m:r>
                      </m:e>
                      <m:sub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3</m:t>
                        </m:r>
                      </m:sub>
                    </m:sSub>
                    <m:r>
                      <a:rPr lang="en-US" sz="1200" b="0" i="1">
                        <a:latin typeface="Cambria Math" panose="02040503050406030204" pitchFamily="18" charset="0"/>
                      </a:rPr>
                      <m:t>−</m:t>
                    </m:r>
                    <m:sSub>
                      <m:sSub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𝑋</m:t>
                        </m:r>
                      </m:e>
                      <m:sub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h</m:t>
                        </m:r>
                      </m:sub>
                    </m:sSub>
                    <m:r>
                      <a:rPr lang="en-US" sz="1200" b="0" i="1">
                        <a:latin typeface="Cambria Math" panose="02040503050406030204" pitchFamily="18" charset="0"/>
                      </a:rPr>
                      <m:t>) </m:t>
                    </m:r>
                  </m:oMath>
                </m:oMathPara>
              </a14:m>
              <a:endParaRPr lang="en-GB" sz="1200"/>
            </a:p>
          </xdr:txBody>
        </xdr:sp>
      </mc:Choice>
      <mc:Fallback xmlns="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9DC21759-2F25-A2D8-C569-639EE722AC30}"/>
                </a:ext>
              </a:extLst>
            </xdr:cNvPr>
            <xdr:cNvSpPr txBox="1"/>
          </xdr:nvSpPr>
          <xdr:spPr>
            <a:xfrm>
              <a:off x="6934200" y="14692312"/>
              <a:ext cx="3087384" cy="201722"/>
            </a:xfrm>
            <a:prstGeom prst="rect">
              <a:avLst/>
            </a:prstGeom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tx1">
                  <a:lumMod val="50000"/>
                  <a:lumOff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200" b="0" i="0">
                  <a:latin typeface="Cambria Math" panose="02040503050406030204" pitchFamily="18" charset="0"/>
                </a:rPr>
                <a:t>𝐸[𝑋_3 ]=𝑋_ℎ+𝑏_(𝑉_3 )⋅(𝑉_3−𝑉_ℎ )+𝑑_(𝑋_3 )⋅(𝑋_3−𝑋_ℎ) </a:t>
              </a:r>
              <a:endParaRPr lang="en-GB" sz="1200"/>
            </a:p>
          </xdr:txBody>
        </xdr:sp>
      </mc:Fallback>
    </mc:AlternateContent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607906</xdr:colOff>
      <xdr:row>16</xdr:row>
      <xdr:rowOff>179917</xdr:rowOff>
    </xdr:from>
    <xdr:to>
      <xdr:col>6</xdr:col>
      <xdr:colOff>706121</xdr:colOff>
      <xdr:row>21</xdr:row>
      <xdr:rowOff>179917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/>
      </xdr:nvSpPr>
      <xdr:spPr>
        <a:xfrm>
          <a:off x="5012266" y="3144097"/>
          <a:ext cx="730675" cy="9220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vert270" wrap="square" rtlCol="0" anchor="ctr"/>
        <a:lstStyle/>
        <a:p>
          <a:pPr algn="ctr"/>
          <a:r>
            <a:rPr lang="en-GB" sz="1100"/>
            <a:t>Occurrence</a:t>
          </a:r>
          <a:r>
            <a:rPr lang="en-GB" sz="1100" baseline="0"/>
            <a:t> Limit</a:t>
          </a:r>
          <a:endParaRPr lang="en-GB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38100</xdr:colOff>
      <xdr:row>26</xdr:row>
      <xdr:rowOff>119062</xdr:rowOff>
    </xdr:from>
    <xdr:ext cx="3157403" cy="37991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00000000-0008-0000-0C00-000002000000}"/>
                </a:ext>
              </a:extLst>
            </xdr:cNvPr>
            <xdr:cNvSpPr txBox="1"/>
          </xdr:nvSpPr>
          <xdr:spPr>
            <a:xfrm>
              <a:off x="7686675" y="5081587"/>
              <a:ext cx="3157403" cy="379912"/>
            </a:xfrm>
            <a:prstGeom prst="rect">
              <a:avLst/>
            </a:prstGeom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bg2">
                  <a:lumMod val="75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Experience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 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Mod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𝑝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1−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𝑊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⋅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𝐵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𝑊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⋅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𝑝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1−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𝑊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⋅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𝐵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𝑊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⋅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A24BBAD8-949C-F7B9-F697-B1E95FCF7118}"/>
                </a:ext>
              </a:extLst>
            </xdr:cNvPr>
            <xdr:cNvSpPr txBox="1"/>
          </xdr:nvSpPr>
          <xdr:spPr>
            <a:xfrm>
              <a:off x="7686675" y="5081587"/>
              <a:ext cx="3157403" cy="379912"/>
            </a:xfrm>
            <a:prstGeom prst="rect">
              <a:avLst/>
            </a:prstGeom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bg2">
                  <a:lumMod val="75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"Experience Mod"=(𝐴_𝑝+(1−𝑊)⋅𝐸_𝑒+𝐵+𝑊⋅𝐴_𝑒)/(𝐸_𝑝+(1−𝑊)⋅𝐸_𝑒+𝐵+𝑊⋅𝐸_𝑒 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9</xdr:col>
      <xdr:colOff>19050</xdr:colOff>
      <xdr:row>30</xdr:row>
      <xdr:rowOff>61912</xdr:rowOff>
    </xdr:from>
    <xdr:ext cx="3562898" cy="38036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00000000-0008-0000-0C00-000003000000}"/>
                </a:ext>
              </a:extLst>
            </xdr:cNvPr>
            <xdr:cNvSpPr txBox="1"/>
          </xdr:nvSpPr>
          <xdr:spPr>
            <a:xfrm>
              <a:off x="7667625" y="5786437"/>
              <a:ext cx="3562898" cy="380361"/>
            </a:xfrm>
            <a:prstGeom prst="rect">
              <a:avLst/>
            </a:prstGeom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bg2">
                  <a:lumMod val="75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Maximum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 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Debit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 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Mod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=1.10+0.0004⋅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m:rPr>
                                <m:nor/>
                              </m:rPr>
                              <a:rPr lang="en-US" sz="1100" b="0" i="0">
                                <a:latin typeface="Cambria Math" panose="02040503050406030204" pitchFamily="18" charset="0"/>
                              </a:rPr>
                              <m:t>Expected</m:t>
                            </m:r>
                            <m:r>
                              <m:rPr>
                                <m:nor/>
                              </m:rPr>
                              <a:rPr lang="en-US" sz="1100" b="0" i="0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m:rPr>
                                <m:nor/>
                              </m:rPr>
                              <a:rPr lang="en-US" sz="1100" b="0" i="0">
                                <a:latin typeface="Cambria Math" panose="02040503050406030204" pitchFamily="18" charset="0"/>
                              </a:rPr>
                              <m:t>Loss</m:t>
                            </m:r>
                          </m:num>
                          <m:den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𝐺</m:t>
                            </m:r>
                          </m:den>
                        </m:f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C2F5D444-6609-51C6-532C-4D48B360822D}"/>
                </a:ext>
              </a:extLst>
            </xdr:cNvPr>
            <xdr:cNvSpPr txBox="1"/>
          </xdr:nvSpPr>
          <xdr:spPr>
            <a:xfrm>
              <a:off x="7667625" y="5786437"/>
              <a:ext cx="3562898" cy="380361"/>
            </a:xfrm>
            <a:prstGeom prst="rect">
              <a:avLst/>
            </a:prstGeom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bg2">
                  <a:lumMod val="75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"Maximum Debit Mod"=1.10+0.0004⋅("Expected Loss" /𝐺)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9525</xdr:colOff>
      <xdr:row>2</xdr:row>
      <xdr:rowOff>33337</xdr:rowOff>
    </xdr:from>
    <xdr:ext cx="2422202" cy="38523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00000000-0008-0000-0E00-000002000000}"/>
                </a:ext>
              </a:extLst>
            </xdr:cNvPr>
            <xdr:cNvSpPr txBox="1"/>
          </xdr:nvSpPr>
          <xdr:spPr>
            <a:xfrm>
              <a:off x="5524500" y="423862"/>
              <a:ext cx="2422202" cy="385234"/>
            </a:xfrm>
            <a:prstGeom prst="rect">
              <a:avLst/>
            </a:prstGeom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bg2">
                  <a:lumMod val="75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200" b="0" i="1">
                        <a:latin typeface="Cambria Math" panose="02040503050406030204" pitchFamily="18" charset="0"/>
                      </a:rPr>
                      <m:t>𝜙</m:t>
                    </m:r>
                    <m:d>
                      <m:d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𝑟</m:t>
                            </m:r>
                          </m:e>
                          <m:sub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𝐻</m:t>
                            </m:r>
                          </m:sub>
                        </m:sSub>
                      </m:e>
                    </m:d>
                    <m:r>
                      <a:rPr lang="en-US" sz="1200" b="0" i="1">
                        <a:latin typeface="Cambria Math" panose="02040503050406030204" pitchFamily="18" charset="0"/>
                      </a:rPr>
                      <m:t>−</m:t>
                    </m:r>
                    <m:r>
                      <a:rPr lang="en-US" sz="1200" b="0" i="1">
                        <a:latin typeface="Cambria Math" panose="02040503050406030204" pitchFamily="18" charset="0"/>
                      </a:rPr>
                      <m:t>𝜙</m:t>
                    </m:r>
                    <m:d>
                      <m:d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𝑟</m:t>
                            </m:r>
                          </m:e>
                          <m:sub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𝐺</m:t>
                            </m:r>
                          </m:sub>
                        </m:sSub>
                      </m:e>
                    </m:d>
                    <m:r>
                      <a:rPr lang="en-US" sz="12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d>
                          <m:dPr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+</m:t>
                            </m:r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  <m:d>
                              <m:dPr>
                                <m:begChr m:val="["/>
                                <m:endChr m:val="]"/>
                                <m:ctrlP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𝐴</m:t>
                                </m:r>
                              </m:e>
                            </m:d>
                          </m:e>
                        </m:d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⋅</m:t>
                        </m:r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𝑇</m:t>
                        </m:r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 −</m:t>
                        </m:r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𝐻</m:t>
                        </m:r>
                      </m:num>
                      <m:den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𝑐</m:t>
                        </m:r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⋅</m:t>
                        </m:r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𝐸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</m:d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⋅</m:t>
                        </m:r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𝑇</m:t>
                        </m:r>
                      </m:den>
                    </m:f>
                  </m:oMath>
                </m:oMathPara>
              </a14:m>
              <a:endParaRPr lang="en-GB" sz="12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F028C0BC-2355-EF95-608F-4DAECA407A24}"/>
                </a:ext>
              </a:extLst>
            </xdr:cNvPr>
            <xdr:cNvSpPr txBox="1"/>
          </xdr:nvSpPr>
          <xdr:spPr>
            <a:xfrm>
              <a:off x="5524500" y="423862"/>
              <a:ext cx="2422202" cy="385234"/>
            </a:xfrm>
            <a:prstGeom prst="rect">
              <a:avLst/>
            </a:prstGeom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bg2">
                  <a:lumMod val="75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200" b="0" i="0">
                  <a:latin typeface="Cambria Math" panose="02040503050406030204" pitchFamily="18" charset="0"/>
                </a:rPr>
                <a:t>𝜙(𝑟_𝐻 )−𝜙(𝑟_𝐺 )=((𝑒+𝐸[𝐴])⋅𝑇 −𝐻)/(𝑐⋅𝐸[𝐴]⋅𝑇)</a:t>
              </a:r>
              <a:endParaRPr lang="en-GB" sz="1200"/>
            </a:p>
          </xdr:txBody>
        </xdr:sp>
      </mc:Fallback>
    </mc:AlternateContent>
    <xdr:clientData/>
  </xdr:oneCellAnchor>
  <xdr:oneCellAnchor>
    <xdr:from>
      <xdr:col>11</xdr:col>
      <xdr:colOff>0</xdr:colOff>
      <xdr:row>2</xdr:row>
      <xdr:rowOff>14287</xdr:rowOff>
    </xdr:from>
    <xdr:ext cx="1412759" cy="37337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00000000-0008-0000-0E00-000003000000}"/>
                </a:ext>
              </a:extLst>
            </xdr:cNvPr>
            <xdr:cNvSpPr txBox="1"/>
          </xdr:nvSpPr>
          <xdr:spPr>
            <a:xfrm>
              <a:off x="8553450" y="404812"/>
              <a:ext cx="1412759" cy="373372"/>
            </a:xfrm>
            <a:prstGeom prst="rect">
              <a:avLst/>
            </a:prstGeom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bg2">
                  <a:lumMod val="75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𝑟</m:t>
                        </m:r>
                      </m:e>
                      <m:sub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𝐺</m:t>
                        </m:r>
                      </m:sub>
                    </m:sSub>
                    <m:r>
                      <a:rPr lang="en-US" sz="1200" b="0" i="1">
                        <a:latin typeface="Cambria Math" panose="02040503050406030204" pitchFamily="18" charset="0"/>
                      </a:rPr>
                      <m:t>−</m:t>
                    </m:r>
                    <m:sSub>
                      <m:sSub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𝑟</m:t>
                        </m:r>
                      </m:e>
                      <m:sub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𝐻</m:t>
                        </m:r>
                      </m:sub>
                    </m:sSub>
                    <m:r>
                      <a:rPr lang="en-US" sz="12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𝐺</m:t>
                        </m:r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 −</m:t>
                        </m:r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𝐻</m:t>
                        </m:r>
                      </m:num>
                      <m:den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𝑐</m:t>
                        </m:r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⋅</m:t>
                        </m:r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𝐸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</m:d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⋅</m:t>
                        </m:r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𝑇</m:t>
                        </m:r>
                      </m:den>
                    </m:f>
                  </m:oMath>
                </m:oMathPara>
              </a14:m>
              <a:endParaRPr lang="en-GB" sz="12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A5899917-420D-D9CB-FEC4-67F9A7EFF85C}"/>
                </a:ext>
              </a:extLst>
            </xdr:cNvPr>
            <xdr:cNvSpPr txBox="1"/>
          </xdr:nvSpPr>
          <xdr:spPr>
            <a:xfrm>
              <a:off x="8553450" y="404812"/>
              <a:ext cx="1412759" cy="373372"/>
            </a:xfrm>
            <a:prstGeom prst="rect">
              <a:avLst/>
            </a:prstGeom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bg2">
                  <a:lumMod val="75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200" b="0" i="0">
                  <a:latin typeface="Cambria Math" panose="02040503050406030204" pitchFamily="18" charset="0"/>
                </a:rPr>
                <a:t>𝑟_𝐺−𝑟_𝐻=(𝐺 −𝐻)/(𝑐⋅𝐸[𝐴]⋅𝑇)</a:t>
              </a:r>
              <a:endParaRPr lang="en-GB" sz="1200"/>
            </a:p>
          </xdr:txBody>
        </xdr:sp>
      </mc:Fallback>
    </mc:AlternateContent>
    <xdr:clientData/>
  </xdr:oneCellAnchor>
  <xdr:oneCellAnchor>
    <xdr:from>
      <xdr:col>11</xdr:col>
      <xdr:colOff>533400</xdr:colOff>
      <xdr:row>5</xdr:row>
      <xdr:rowOff>14287</xdr:rowOff>
    </xdr:from>
    <xdr:ext cx="825932" cy="18787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00000000-0008-0000-0E00-000004000000}"/>
                </a:ext>
              </a:extLst>
            </xdr:cNvPr>
            <xdr:cNvSpPr txBox="1"/>
          </xdr:nvSpPr>
          <xdr:spPr>
            <a:xfrm>
              <a:off x="9258300" y="976312"/>
              <a:ext cx="825932" cy="187872"/>
            </a:xfrm>
            <a:prstGeom prst="rect">
              <a:avLst/>
            </a:prstGeom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bg2">
                  <a:lumMod val="75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200" b="0" i="1">
                        <a:latin typeface="Cambria Math" panose="02040503050406030204" pitchFamily="18" charset="0"/>
                      </a:rPr>
                      <m:t>𝑐</m:t>
                    </m:r>
                    <m:r>
                      <a:rPr lang="en-US" sz="1200" b="0" i="1">
                        <a:latin typeface="Cambria Math" panose="02040503050406030204" pitchFamily="18" charset="0"/>
                      </a:rPr>
                      <m:t>⋅</m:t>
                    </m:r>
                    <m:r>
                      <a:rPr lang="en-US" sz="1200" b="0" i="1">
                        <a:latin typeface="Cambria Math" panose="02040503050406030204" pitchFamily="18" charset="0"/>
                      </a:rPr>
                      <m:t>𝐸</m:t>
                    </m:r>
                    <m:d>
                      <m:dPr>
                        <m:begChr m:val="["/>
                        <m:endChr m:val="]"/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  <m:sub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𝐷</m:t>
                            </m:r>
                          </m:sub>
                        </m:sSub>
                      </m:e>
                    </m:d>
                    <m:r>
                      <a:rPr lang="en-US" sz="1200" b="0" i="1">
                        <a:latin typeface="Cambria Math" panose="02040503050406030204" pitchFamily="18" charset="0"/>
                      </a:rPr>
                      <m:t>⋅</m:t>
                    </m:r>
                    <m:r>
                      <a:rPr lang="en-US" sz="1200" b="0" i="1">
                        <a:latin typeface="Cambria Math" panose="02040503050406030204" pitchFamily="18" charset="0"/>
                      </a:rPr>
                      <m:t>𝑇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CD9750C7-FA16-536D-2436-C360C23040F1}"/>
                </a:ext>
              </a:extLst>
            </xdr:cNvPr>
            <xdr:cNvSpPr txBox="1"/>
          </xdr:nvSpPr>
          <xdr:spPr>
            <a:xfrm>
              <a:off x="9258300" y="976312"/>
              <a:ext cx="825932" cy="187872"/>
            </a:xfrm>
            <a:prstGeom prst="rect">
              <a:avLst/>
            </a:prstGeom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bg2">
                  <a:lumMod val="75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200" b="0" i="0">
                  <a:latin typeface="Cambria Math" panose="02040503050406030204" pitchFamily="18" charset="0"/>
                </a:rPr>
                <a:t>𝑐⋅𝐸[𝐴_𝐷 ]⋅𝑇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7</xdr:col>
      <xdr:colOff>0</xdr:colOff>
      <xdr:row>13</xdr:row>
      <xdr:rowOff>0</xdr:rowOff>
    </xdr:from>
    <xdr:ext cx="2486322" cy="64056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00000000-0008-0000-0E00-000005000000}"/>
                </a:ext>
              </a:extLst>
            </xdr:cNvPr>
            <xdr:cNvSpPr txBox="1"/>
          </xdr:nvSpPr>
          <xdr:spPr>
            <a:xfrm>
              <a:off x="5514975" y="2295525"/>
              <a:ext cx="2486322" cy="640560"/>
            </a:xfrm>
            <a:prstGeom prst="rect">
              <a:avLst/>
            </a:prstGeom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bg2">
                  <a:lumMod val="75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200" b="0" i="1">
                        <a:latin typeface="Cambria Math" panose="02040503050406030204" pitchFamily="18" charset="0"/>
                      </a:rPr>
                      <m:t>𝜙</m:t>
                    </m:r>
                    <m:d>
                      <m:d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𝑟</m:t>
                            </m:r>
                          </m:e>
                          <m:sub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𝐻</m:t>
                            </m:r>
                          </m:sub>
                        </m:sSub>
                      </m:e>
                    </m:d>
                    <m:r>
                      <a:rPr lang="en-US" sz="1200" b="0" i="1">
                        <a:latin typeface="Cambria Math" panose="02040503050406030204" pitchFamily="18" charset="0"/>
                      </a:rPr>
                      <m:t>−</m:t>
                    </m:r>
                    <m:r>
                      <a:rPr lang="en-US" sz="1200" b="0" i="1">
                        <a:latin typeface="Cambria Math" panose="02040503050406030204" pitchFamily="18" charset="0"/>
                      </a:rPr>
                      <m:t>𝜙</m:t>
                    </m:r>
                    <m:d>
                      <m:d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𝑟</m:t>
                            </m:r>
                          </m:e>
                          <m:sub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𝐺</m:t>
                            </m:r>
                          </m:sub>
                        </m:sSub>
                      </m:e>
                    </m:d>
                    <m:r>
                      <a:rPr lang="en-US" sz="12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f>
                          <m:fPr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d>
                              <m:dPr>
                                <m:ctrlP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𝑒</m:t>
                                </m:r>
                                <m: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+</m:t>
                                </m:r>
                                <m: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𝐸</m:t>
                                </m:r>
                                <m:d>
                                  <m:dPr>
                                    <m:begChr m:val="["/>
                                    <m:endChr m:val="]"/>
                                    <m:ctrlPr>
                                      <a:rPr lang="en-US" sz="12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dPr>
                                  <m:e>
                                    <m:r>
                                      <a:rPr lang="en-US" sz="1200" b="0" i="1">
                                        <a:latin typeface="Cambria Math" panose="02040503050406030204" pitchFamily="18" charset="0"/>
                                      </a:rPr>
                                      <m:t>𝐴</m:t>
                                    </m:r>
                                  </m:e>
                                </m:d>
                              </m:e>
                            </m:d>
                          </m:num>
                          <m:den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𝑆𝑃</m:t>
                            </m:r>
                          </m:den>
                        </m:f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⋅</m:t>
                        </m:r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𝑇</m:t>
                        </m:r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 −</m:t>
                        </m:r>
                        <m:f>
                          <m:fPr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𝐻</m:t>
                            </m:r>
                          </m:num>
                          <m:den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𝑆𝑃</m:t>
                            </m:r>
                          </m:den>
                        </m:f>
                      </m:num>
                      <m:den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𝑐</m:t>
                        </m:r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⋅</m:t>
                        </m:r>
                        <m:f>
                          <m:fPr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  <m:d>
                              <m:dPr>
                                <m:begChr m:val="["/>
                                <m:endChr m:val="]"/>
                                <m:ctrlP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𝐴</m:t>
                                </m:r>
                              </m:e>
                            </m:d>
                          </m:num>
                          <m:den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𝑆𝑃</m:t>
                            </m:r>
                          </m:den>
                        </m:f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⋅</m:t>
                        </m:r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𝑇</m:t>
                        </m:r>
                      </m:den>
                    </m:f>
                  </m:oMath>
                </m:oMathPara>
              </a14:m>
              <a:endParaRPr lang="en-GB" sz="12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1FB81A34-9146-487F-ADA3-214DCF89831C}"/>
                </a:ext>
              </a:extLst>
            </xdr:cNvPr>
            <xdr:cNvSpPr txBox="1"/>
          </xdr:nvSpPr>
          <xdr:spPr>
            <a:xfrm>
              <a:off x="5514975" y="2295525"/>
              <a:ext cx="2486322" cy="640560"/>
            </a:xfrm>
            <a:prstGeom prst="rect">
              <a:avLst/>
            </a:prstGeom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bg2">
                  <a:lumMod val="75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200" b="0" i="0">
                  <a:latin typeface="Cambria Math" panose="02040503050406030204" pitchFamily="18" charset="0"/>
                </a:rPr>
                <a:t>𝜙(𝑟_𝐻 )−𝜙(𝑟_𝐺 )=(((𝑒+𝐸[𝐴]))/𝑆𝑃⋅𝑇 −𝐻/𝑆𝑃)/(𝑐⋅𝐸[𝐴]/𝑆𝑃⋅𝑇)</a:t>
              </a:r>
              <a:endParaRPr lang="en-GB" sz="1200"/>
            </a:p>
          </xdr:txBody>
        </xdr:sp>
      </mc:Fallback>
    </mc:AlternateContent>
    <xdr:clientData/>
  </xdr:oneCellAnchor>
  <xdr:oneCellAnchor>
    <xdr:from>
      <xdr:col>11</xdr:col>
      <xdr:colOff>0</xdr:colOff>
      <xdr:row>13</xdr:row>
      <xdr:rowOff>0</xdr:rowOff>
    </xdr:from>
    <xdr:ext cx="1412758" cy="62869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00000000-0008-0000-0E00-000006000000}"/>
                </a:ext>
              </a:extLst>
            </xdr:cNvPr>
            <xdr:cNvSpPr txBox="1"/>
          </xdr:nvSpPr>
          <xdr:spPr>
            <a:xfrm>
              <a:off x="8724900" y="2295525"/>
              <a:ext cx="1412758" cy="628698"/>
            </a:xfrm>
            <a:prstGeom prst="rect">
              <a:avLst/>
            </a:prstGeom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bg2">
                  <a:lumMod val="75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𝑟</m:t>
                        </m:r>
                      </m:e>
                      <m:sub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𝐺</m:t>
                        </m:r>
                      </m:sub>
                    </m:sSub>
                    <m:r>
                      <a:rPr lang="en-US" sz="1200" b="0" i="1">
                        <a:latin typeface="Cambria Math" panose="02040503050406030204" pitchFamily="18" charset="0"/>
                      </a:rPr>
                      <m:t>−</m:t>
                    </m:r>
                    <m:sSub>
                      <m:sSub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𝑟</m:t>
                        </m:r>
                      </m:e>
                      <m:sub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𝐻</m:t>
                        </m:r>
                      </m:sub>
                    </m:sSub>
                    <m:r>
                      <a:rPr lang="en-US" sz="12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f>
                          <m:fPr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𝐺</m:t>
                            </m:r>
                          </m:num>
                          <m:den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𝑆𝑃</m:t>
                            </m:r>
                          </m:den>
                        </m:f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 −</m:t>
                        </m:r>
                        <m:f>
                          <m:fPr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𝐻</m:t>
                            </m:r>
                          </m:num>
                          <m:den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𝑆𝑃</m:t>
                            </m:r>
                          </m:den>
                        </m:f>
                      </m:num>
                      <m:den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𝑐</m:t>
                        </m:r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⋅</m:t>
                        </m:r>
                        <m:f>
                          <m:fPr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  <m:d>
                              <m:dPr>
                                <m:begChr m:val="["/>
                                <m:endChr m:val="]"/>
                                <m:ctrlP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𝐴</m:t>
                                </m:r>
                              </m:e>
                            </m:d>
                          </m:num>
                          <m:den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𝑆𝑃</m:t>
                            </m:r>
                          </m:den>
                        </m:f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⋅</m:t>
                        </m:r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𝑇</m:t>
                        </m:r>
                      </m:den>
                    </m:f>
                  </m:oMath>
                </m:oMathPara>
              </a14:m>
              <a:endParaRPr lang="en-GB" sz="120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04281892-AACE-42E0-BD89-EBBE08E64BAC}"/>
                </a:ext>
              </a:extLst>
            </xdr:cNvPr>
            <xdr:cNvSpPr txBox="1"/>
          </xdr:nvSpPr>
          <xdr:spPr>
            <a:xfrm>
              <a:off x="8724900" y="2295525"/>
              <a:ext cx="1412758" cy="628698"/>
            </a:xfrm>
            <a:prstGeom prst="rect">
              <a:avLst/>
            </a:prstGeom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bg2">
                  <a:lumMod val="75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200" b="0" i="0">
                  <a:latin typeface="Cambria Math" panose="02040503050406030204" pitchFamily="18" charset="0"/>
                </a:rPr>
                <a:t>𝑟_𝐺−𝑟_𝐻=(𝐺/𝑆𝑃  −𝐻/𝑆𝑃)/(𝑐⋅𝐸[𝐴]/𝑆𝑃⋅𝑇)</a:t>
              </a:r>
              <a:endParaRPr lang="en-GB" sz="1200"/>
            </a:p>
          </xdr:txBody>
        </xdr:sp>
      </mc:Fallback>
    </mc:AlternateContent>
    <xdr:clientData/>
  </xdr:oneCellAnchor>
  <xdr:oneCellAnchor>
    <xdr:from>
      <xdr:col>10</xdr:col>
      <xdr:colOff>504825</xdr:colOff>
      <xdr:row>21</xdr:row>
      <xdr:rowOff>147637</xdr:rowOff>
    </xdr:from>
    <xdr:ext cx="2385845" cy="3592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00000000-0008-0000-0E00-000007000000}"/>
                </a:ext>
              </a:extLst>
            </xdr:cNvPr>
            <xdr:cNvSpPr txBox="1"/>
          </xdr:nvSpPr>
          <xdr:spPr>
            <a:xfrm>
              <a:off x="8467725" y="4186237"/>
              <a:ext cx="2385845" cy="359266"/>
            </a:xfrm>
            <a:prstGeom prst="rect">
              <a:avLst/>
            </a:prstGeom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bg2">
                  <a:lumMod val="75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Loss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 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Elimination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 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Ratio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[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𝐷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]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[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𝐴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]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4567E3EB-406E-60BA-675A-772016538E1D}"/>
                </a:ext>
              </a:extLst>
            </xdr:cNvPr>
            <xdr:cNvSpPr txBox="1"/>
          </xdr:nvSpPr>
          <xdr:spPr>
            <a:xfrm>
              <a:off x="8467725" y="4186237"/>
              <a:ext cx="2385845" cy="359266"/>
            </a:xfrm>
            <a:prstGeom prst="rect">
              <a:avLst/>
            </a:prstGeom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bg2">
                  <a:lumMod val="75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"Loss Elimination Ratio"=(𝐸[𝐴]−𝐸[𝐴_𝐷])/(𝐸[𝐴])</a:t>
              </a:r>
              <a:endParaRPr lang="en-GB" sz="11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6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4BD9DB-C068-4322-AF54-257C50C10B4B}">
  <sheetPr codeName="Sheet1"/>
  <dimension ref="A6:M32"/>
  <sheetViews>
    <sheetView tabSelected="1" workbookViewId="0"/>
  </sheetViews>
  <sheetFormatPr defaultRowHeight="15" x14ac:dyDescent="0.25"/>
  <cols>
    <col min="12" max="12" width="7" customWidth="1"/>
    <col min="13" max="13" width="12.42578125" customWidth="1"/>
  </cols>
  <sheetData>
    <row r="6" spans="1:13" ht="21" x14ac:dyDescent="0.35">
      <c r="A6" s="27" t="s">
        <v>19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</row>
    <row r="8" spans="1:13" x14ac:dyDescent="0.25">
      <c r="A8" t="s">
        <v>20</v>
      </c>
    </row>
    <row r="10" spans="1:13" x14ac:dyDescent="0.25">
      <c r="A10" t="s">
        <v>34</v>
      </c>
    </row>
    <row r="12" spans="1:13" x14ac:dyDescent="0.25">
      <c r="A12" t="s">
        <v>21</v>
      </c>
    </row>
    <row r="14" spans="1:13" x14ac:dyDescent="0.25">
      <c r="A14" t="s">
        <v>22</v>
      </c>
    </row>
    <row r="15" spans="1:13" x14ac:dyDescent="0.25">
      <c r="A15" t="s">
        <v>23</v>
      </c>
    </row>
    <row r="17" spans="1:13" x14ac:dyDescent="0.25">
      <c r="A17" t="s">
        <v>24</v>
      </c>
    </row>
    <row r="18" spans="1:13" x14ac:dyDescent="0.25">
      <c r="A18" t="s">
        <v>28</v>
      </c>
    </row>
    <row r="19" spans="1:13" x14ac:dyDescent="0.25">
      <c r="A19" t="s">
        <v>29</v>
      </c>
    </row>
    <row r="20" spans="1:13" ht="15.75" thickBot="1" x14ac:dyDescent="0.3"/>
    <row r="21" spans="1:13" ht="15.75" thickBot="1" x14ac:dyDescent="0.3">
      <c r="A21" t="s">
        <v>27</v>
      </c>
      <c r="M21" s="4"/>
    </row>
    <row r="23" spans="1:13" x14ac:dyDescent="0.25">
      <c r="A23" t="s">
        <v>35</v>
      </c>
    </row>
    <row r="25" spans="1:13" x14ac:dyDescent="0.25">
      <c r="A25" t="s">
        <v>25</v>
      </c>
    </row>
    <row r="26" spans="1:13" x14ac:dyDescent="0.25">
      <c r="A26" t="s">
        <v>26</v>
      </c>
    </row>
    <row r="28" spans="1:13" x14ac:dyDescent="0.25">
      <c r="A28" t="s">
        <v>37</v>
      </c>
    </row>
    <row r="29" spans="1:13" x14ac:dyDescent="0.25">
      <c r="A29" t="s">
        <v>38</v>
      </c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</row>
    <row r="31" spans="1:13" x14ac:dyDescent="0.25">
      <c r="A31" t="s">
        <v>36</v>
      </c>
    </row>
    <row r="32" spans="1:13" ht="15.75" x14ac:dyDescent="0.25">
      <c r="A32" s="28" t="s">
        <v>30</v>
      </c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</row>
  </sheetData>
  <sheetProtection formatCells="0" formatColumns="0" formatRows="0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A54B44-705B-420B-B2D7-00C0BED5BEFA}">
  <dimension ref="A1:AC60"/>
  <sheetViews>
    <sheetView zoomScaleNormal="100" workbookViewId="0"/>
  </sheetViews>
  <sheetFormatPr defaultColWidth="9.140625" defaultRowHeight="15" x14ac:dyDescent="0.25"/>
  <cols>
    <col min="1" max="1" width="6.5703125" style="3" customWidth="1"/>
    <col min="2" max="2" width="17.140625" style="3" customWidth="1"/>
    <col min="3" max="3" width="17" style="3" customWidth="1"/>
    <col min="4" max="4" width="9.7109375" style="3" customWidth="1"/>
    <col min="5" max="5" width="10.7109375" style="3" customWidth="1"/>
    <col min="6" max="6" width="9.28515625" style="3" customWidth="1"/>
    <col min="7" max="7" width="11.85546875" style="3" customWidth="1"/>
    <col min="8" max="10" width="9.28515625" style="3" customWidth="1"/>
    <col min="11" max="11" width="5" style="3" customWidth="1"/>
    <col min="12" max="12" width="7" style="3" customWidth="1"/>
    <col min="13" max="13" width="3.7109375" style="3" customWidth="1"/>
    <col min="14" max="14" width="10.42578125" style="3" customWidth="1"/>
    <col min="15" max="15" width="9.5703125" style="3" customWidth="1"/>
    <col min="16" max="16" width="11.140625" style="3" bestFit="1" customWidth="1"/>
    <col min="17" max="17" width="9.28515625" style="3" customWidth="1"/>
    <col min="18" max="18" width="9.85546875" style="3" bestFit="1" customWidth="1"/>
    <col min="19" max="20" width="7.5703125" style="3" customWidth="1"/>
    <col min="21" max="21" width="13.7109375" style="3" customWidth="1"/>
    <col min="22" max="22" width="9.140625" style="3" customWidth="1"/>
    <col min="23" max="23" width="9.140625" style="3"/>
    <col min="24" max="24" width="9.140625" style="3" customWidth="1"/>
    <col min="25" max="25" width="15.28515625" style="3" customWidth="1"/>
    <col min="26" max="26" width="3.28515625" style="3" customWidth="1"/>
    <col min="27" max="16384" width="9.140625" style="3"/>
  </cols>
  <sheetData>
    <row r="1" spans="1:29" ht="15.75" x14ac:dyDescent="0.25">
      <c r="A1" s="8">
        <f ca="1">VALUE(MID(CELL("filename",A1),FIND("]",CELL("filename",A1))+1,LEN(CELL("filename",A1))-FIND("]",CELL("filename",A1))+1))</f>
        <v>7</v>
      </c>
      <c r="B1" s="57" t="s">
        <v>604</v>
      </c>
      <c r="C1" s="5"/>
      <c r="D1" s="286"/>
      <c r="E1" s="286"/>
      <c r="F1" s="286"/>
      <c r="G1" s="9"/>
      <c r="H1" s="9"/>
      <c r="I1" s="9"/>
      <c r="J1" s="9"/>
      <c r="K1" s="422" t="s">
        <v>41</v>
      </c>
      <c r="L1" s="423"/>
      <c r="M1" s="40"/>
      <c r="N1" s="58" t="s">
        <v>31</v>
      </c>
      <c r="AA1" s="40"/>
    </row>
    <row r="2" spans="1:29" x14ac:dyDescent="0.25">
      <c r="A2" s="10"/>
      <c r="B2" s="5"/>
      <c r="C2" s="5"/>
      <c r="D2" s="5"/>
      <c r="E2" s="5"/>
      <c r="F2" s="5"/>
      <c r="G2" s="5"/>
      <c r="H2" s="5"/>
      <c r="I2" s="5"/>
      <c r="J2" s="5"/>
      <c r="K2" s="5"/>
      <c r="L2" s="287"/>
      <c r="M2" s="40" t="s">
        <v>605</v>
      </c>
      <c r="N2" s="3" t="s">
        <v>740</v>
      </c>
      <c r="O2"/>
      <c r="P2"/>
      <c r="Q2"/>
      <c r="R2"/>
      <c r="S2"/>
      <c r="T2"/>
      <c r="U2"/>
      <c r="V2"/>
      <c r="W2"/>
      <c r="X2"/>
      <c r="Y2"/>
      <c r="Z2"/>
      <c r="AA2"/>
      <c r="AB2"/>
      <c r="AC2"/>
    </row>
    <row r="3" spans="1:29" x14ac:dyDescent="0.25">
      <c r="A3" s="12" t="s">
        <v>14</v>
      </c>
      <c r="B3" s="5" t="s">
        <v>690</v>
      </c>
      <c r="C3" s="5"/>
      <c r="D3" s="5"/>
      <c r="E3" s="5"/>
      <c r="F3" s="5"/>
      <c r="G3" s="5"/>
      <c r="H3" s="5"/>
      <c r="I3" s="5"/>
      <c r="J3" s="5"/>
      <c r="K3" s="5"/>
      <c r="L3" s="287"/>
      <c r="M3" s="40"/>
      <c r="N3" s="3" t="s">
        <v>741</v>
      </c>
      <c r="O3"/>
      <c r="P3"/>
      <c r="Q3"/>
      <c r="R3"/>
      <c r="S3"/>
      <c r="T3"/>
      <c r="U3"/>
      <c r="V3"/>
      <c r="W3"/>
      <c r="X3"/>
      <c r="Y3"/>
      <c r="Z3"/>
      <c r="AA3"/>
      <c r="AB3"/>
      <c r="AC3"/>
    </row>
    <row r="4" spans="1:29" x14ac:dyDescent="0.25">
      <c r="A4" s="13">
        <f ca="1">INDEX('Point Grid'!B:B,MATCH(A1,'Point Grid'!A:A,0))</f>
        <v>2.75</v>
      </c>
      <c r="B4" s="5"/>
      <c r="C4" s="5"/>
      <c r="D4" s="5"/>
      <c r="E4" s="5"/>
      <c r="F4" s="156"/>
      <c r="G4" s="289" t="s">
        <v>691</v>
      </c>
      <c r="H4" s="290"/>
      <c r="I4" s="290"/>
      <c r="J4" s="156"/>
      <c r="K4" s="156"/>
      <c r="L4" s="288"/>
      <c r="M4" s="124"/>
      <c r="N4" s="3" t="s">
        <v>742</v>
      </c>
      <c r="O4"/>
      <c r="P4"/>
      <c r="Q4"/>
      <c r="R4"/>
      <c r="S4"/>
      <c r="T4"/>
      <c r="U4"/>
      <c r="V4"/>
      <c r="W4"/>
      <c r="X4"/>
      <c r="Y4"/>
      <c r="Z4"/>
      <c r="AA4"/>
      <c r="AB4"/>
      <c r="AC4"/>
    </row>
    <row r="5" spans="1:29" ht="15" customHeight="1" x14ac:dyDescent="0.25">
      <c r="A5" s="10"/>
      <c r="B5" s="304">
        <f ca="1">DATE(YEAR(TODAY()),12,1)</f>
        <v>45992</v>
      </c>
      <c r="C5" s="63" t="s">
        <v>692</v>
      </c>
      <c r="D5" s="195"/>
      <c r="E5" s="5"/>
      <c r="F5" s="260"/>
      <c r="G5" s="55" t="s">
        <v>693</v>
      </c>
      <c r="H5" s="54" t="s">
        <v>694</v>
      </c>
      <c r="I5" s="59" t="s">
        <v>695</v>
      </c>
      <c r="J5" s="5"/>
      <c r="K5" s="5"/>
      <c r="L5" s="288"/>
      <c r="M5" s="124"/>
      <c r="N5" s="3" t="s">
        <v>743</v>
      </c>
      <c r="O5"/>
      <c r="P5"/>
      <c r="Q5"/>
      <c r="R5"/>
      <c r="S5"/>
      <c r="T5"/>
      <c r="U5"/>
      <c r="V5"/>
      <c r="W5"/>
      <c r="X5"/>
      <c r="Y5"/>
      <c r="Z5"/>
      <c r="AA5"/>
      <c r="AB5"/>
      <c r="AC5"/>
    </row>
    <row r="6" spans="1:29" x14ac:dyDescent="0.25">
      <c r="A6" s="260"/>
      <c r="B6" s="47" t="s">
        <v>696</v>
      </c>
      <c r="C6" s="65" t="s">
        <v>693</v>
      </c>
      <c r="D6" s="166"/>
      <c r="E6" s="5"/>
      <c r="F6" s="260"/>
      <c r="G6" s="64" t="s">
        <v>697</v>
      </c>
      <c r="H6" s="153" t="s">
        <v>698</v>
      </c>
      <c r="I6" s="64">
        <v>7.7</v>
      </c>
      <c r="J6" s="260"/>
      <c r="K6" s="156"/>
      <c r="L6" s="288"/>
      <c r="M6" s="124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</row>
    <row r="7" spans="1:29" ht="15" customHeight="1" x14ac:dyDescent="0.25">
      <c r="A7" s="260"/>
      <c r="B7" s="311">
        <v>0.72</v>
      </c>
      <c r="C7" s="67" t="s">
        <v>699</v>
      </c>
      <c r="D7" s="167"/>
      <c r="E7" s="5"/>
      <c r="F7" s="260"/>
      <c r="G7" s="49" t="s">
        <v>697</v>
      </c>
      <c r="H7" s="46" t="s">
        <v>700</v>
      </c>
      <c r="I7" s="49">
        <v>8.9</v>
      </c>
      <c r="J7" s="260"/>
      <c r="K7" s="156"/>
      <c r="L7" s="288"/>
      <c r="M7" s="124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</row>
    <row r="8" spans="1:29" ht="15" customHeight="1" x14ac:dyDescent="0.25">
      <c r="A8" s="260"/>
      <c r="B8" s="156"/>
      <c r="C8" s="260"/>
      <c r="D8" s="260"/>
      <c r="E8" s="260"/>
      <c r="F8" s="260"/>
      <c r="G8" s="48" t="s">
        <v>701</v>
      </c>
      <c r="H8" s="47" t="s">
        <v>698</v>
      </c>
      <c r="I8" s="48">
        <v>3.3</v>
      </c>
      <c r="J8" s="260"/>
      <c r="K8" s="291"/>
      <c r="L8" s="288"/>
      <c r="M8" s="124" t="s">
        <v>618</v>
      </c>
      <c r="N8" t="s">
        <v>737</v>
      </c>
      <c r="O8"/>
      <c r="P8"/>
      <c r="Q8"/>
      <c r="R8"/>
      <c r="S8"/>
      <c r="T8"/>
      <c r="U8"/>
      <c r="V8"/>
      <c r="W8"/>
      <c r="X8"/>
      <c r="Y8"/>
      <c r="Z8"/>
      <c r="AA8"/>
      <c r="AB8"/>
      <c r="AC8"/>
    </row>
    <row r="9" spans="1:29" x14ac:dyDescent="0.25">
      <c r="A9" s="260"/>
      <c r="B9" s="156"/>
      <c r="C9" s="260"/>
      <c r="D9" s="260"/>
      <c r="E9" s="260"/>
      <c r="F9" s="260"/>
      <c r="G9" s="48" t="s">
        <v>701</v>
      </c>
      <c r="H9" s="47" t="s">
        <v>700</v>
      </c>
      <c r="I9" s="48">
        <v>4.2</v>
      </c>
      <c r="J9" s="260"/>
      <c r="K9" s="291"/>
      <c r="L9" s="288"/>
      <c r="M9" s="124"/>
      <c r="N9" t="str">
        <f ca="1">"Thus, we are looking at years "&amp;N20&amp;" – "&amp;N15&amp;"."</f>
        <v>Thus, we are looking at years 2021 – 2023.</v>
      </c>
      <c r="O9"/>
      <c r="P9"/>
      <c r="Q9"/>
      <c r="R9"/>
      <c r="S9"/>
      <c r="T9"/>
      <c r="U9"/>
      <c r="V9"/>
      <c r="W9"/>
      <c r="X9"/>
      <c r="Y9"/>
      <c r="Z9"/>
      <c r="AA9"/>
      <c r="AB9"/>
      <c r="AC9"/>
    </row>
    <row r="10" spans="1:29" x14ac:dyDescent="0.25">
      <c r="A10" s="260"/>
      <c r="B10" s="156"/>
      <c r="C10" s="5"/>
      <c r="D10" s="5"/>
      <c r="E10" s="5"/>
      <c r="F10" s="5"/>
      <c r="G10" s="64" t="s">
        <v>702</v>
      </c>
      <c r="H10" s="153" t="s">
        <v>698</v>
      </c>
      <c r="I10" s="64">
        <v>1.8</v>
      </c>
      <c r="J10" s="260"/>
      <c r="K10" s="291"/>
      <c r="L10" s="261"/>
      <c r="M10" s="124"/>
      <c r="N10" t="str">
        <f ca="1">"Since "&amp;YEAR(B19)&amp;" is a 2nd-year claims made policy, we are pricing a 3rd-year claims made policy."</f>
        <v>Since 2024 is a 2nd-year claims made policy, we are pricing a 3rd-year claims made policy.</v>
      </c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</row>
    <row r="11" spans="1:29" x14ac:dyDescent="0.25">
      <c r="A11" s="260"/>
      <c r="B11" s="156"/>
      <c r="C11" s="5"/>
      <c r="D11" s="5"/>
      <c r="E11" s="5"/>
      <c r="F11" s="5"/>
      <c r="G11" s="49" t="s">
        <v>702</v>
      </c>
      <c r="H11" s="46" t="s">
        <v>700</v>
      </c>
      <c r="I11" s="49">
        <v>4.0999999999999996</v>
      </c>
      <c r="J11" s="260"/>
      <c r="K11" s="291"/>
      <c r="L11" s="261"/>
      <c r="M11" s="124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</row>
    <row r="12" spans="1:29" x14ac:dyDescent="0.25">
      <c r="A12" s="260"/>
      <c r="B12" s="156"/>
      <c r="C12" s="5"/>
      <c r="D12" s="5"/>
      <c r="E12" s="5"/>
      <c r="F12" s="5"/>
      <c r="G12" s="48" t="s">
        <v>703</v>
      </c>
      <c r="H12" s="47" t="s">
        <v>698</v>
      </c>
      <c r="I12" s="48">
        <v>7.9</v>
      </c>
      <c r="J12" s="260"/>
      <c r="K12" s="291"/>
      <c r="L12" s="261"/>
      <c r="M12" s="124"/>
      <c r="N12" s="115"/>
      <c r="O12" s="142"/>
      <c r="P12" s="203"/>
      <c r="Q12" s="142"/>
      <c r="R12" s="203"/>
      <c r="S12" s="142"/>
      <c r="T12" s="203"/>
      <c r="U12" s="142"/>
      <c r="V12" s="203"/>
      <c r="W12" s="203"/>
      <c r="X12" s="142"/>
      <c r="Y12" s="325" t="s">
        <v>752</v>
      </c>
      <c r="Z12"/>
      <c r="AA12"/>
      <c r="AB12"/>
      <c r="AC12"/>
    </row>
    <row r="13" spans="1:29" x14ac:dyDescent="0.25">
      <c r="A13" s="260"/>
      <c r="B13" s="156"/>
      <c r="C13" s="5"/>
      <c r="D13" s="5"/>
      <c r="E13" s="5"/>
      <c r="F13" s="5"/>
      <c r="G13" s="49" t="s">
        <v>703</v>
      </c>
      <c r="H13" s="46" t="s">
        <v>700</v>
      </c>
      <c r="I13" s="49">
        <v>5.4</v>
      </c>
      <c r="J13" s="260"/>
      <c r="K13" s="291"/>
      <c r="L13" s="261"/>
      <c r="M13" s="124"/>
      <c r="N13" s="317" t="s">
        <v>729</v>
      </c>
      <c r="O13" s="328"/>
      <c r="P13" s="1" t="s">
        <v>729</v>
      </c>
      <c r="Q13" s="328" t="s">
        <v>745</v>
      </c>
      <c r="R13" s="1" t="s">
        <v>746</v>
      </c>
      <c r="S13" s="328"/>
      <c r="T13" s="1"/>
      <c r="U13" s="328"/>
      <c r="V13" s="1"/>
      <c r="W13" s="1"/>
      <c r="X13" s="208"/>
      <c r="Y13" s="326" t="s">
        <v>753</v>
      </c>
      <c r="Z13"/>
      <c r="AA13"/>
      <c r="AB13"/>
      <c r="AC13"/>
    </row>
    <row r="14" spans="1:29" x14ac:dyDescent="0.25">
      <c r="A14" s="260"/>
      <c r="B14" s="156"/>
      <c r="C14" s="5"/>
      <c r="D14" s="5"/>
      <c r="E14" s="5"/>
      <c r="F14" s="5"/>
      <c r="G14" s="260"/>
      <c r="H14" s="260"/>
      <c r="I14" s="260"/>
      <c r="J14" s="260"/>
      <c r="K14" s="291"/>
      <c r="L14" s="288"/>
      <c r="M14" s="124"/>
      <c r="N14" s="321" t="s">
        <v>126</v>
      </c>
      <c r="O14" s="329" t="s">
        <v>694</v>
      </c>
      <c r="P14" s="322" t="s">
        <v>744</v>
      </c>
      <c r="Q14" s="329" t="s">
        <v>548</v>
      </c>
      <c r="R14" s="322" t="s">
        <v>695</v>
      </c>
      <c r="S14" s="329" t="s">
        <v>747</v>
      </c>
      <c r="T14" s="322" t="s">
        <v>748</v>
      </c>
      <c r="U14" s="329" t="s">
        <v>749</v>
      </c>
      <c r="V14" s="322" t="s">
        <v>750</v>
      </c>
      <c r="W14" s="322" t="s">
        <v>751</v>
      </c>
      <c r="X14" s="209" t="s">
        <v>756</v>
      </c>
      <c r="Y14" s="327" t="s">
        <v>754</v>
      </c>
      <c r="Z14"/>
      <c r="AA14"/>
      <c r="AB14"/>
      <c r="AC14"/>
    </row>
    <row r="15" spans="1:29" x14ac:dyDescent="0.25">
      <c r="A15" s="260"/>
      <c r="B15" s="292" t="s">
        <v>704</v>
      </c>
      <c r="C15" s="5"/>
      <c r="D15" s="5"/>
      <c r="E15" s="5"/>
      <c r="F15" s="5"/>
      <c r="G15" s="5"/>
      <c r="H15" s="260"/>
      <c r="I15" s="260"/>
      <c r="J15" s="260"/>
      <c r="K15" s="291"/>
      <c r="L15" s="288"/>
      <c r="M15" s="124"/>
      <c r="N15" s="313">
        <f ca="1">YEAR(B20)</f>
        <v>2023</v>
      </c>
      <c r="O15" s="330" t="s">
        <v>698</v>
      </c>
      <c r="P15" s="314" t="s">
        <v>755</v>
      </c>
      <c r="Q15" s="331">
        <f>F20</f>
        <v>72000</v>
      </c>
      <c r="R15" s="314">
        <v>1.8</v>
      </c>
      <c r="S15" s="334">
        <f>J19</f>
        <v>1.63</v>
      </c>
      <c r="T15" s="316">
        <f t="shared" ref="T15:T20" si="0">$B$7</f>
        <v>0.72</v>
      </c>
      <c r="U15" s="337">
        <f t="shared" ref="U15:U20" si="1">PRODUCT(Q15:T15)</f>
        <v>152098.56</v>
      </c>
      <c r="V15" s="315">
        <v>1</v>
      </c>
      <c r="W15" s="315">
        <v>1</v>
      </c>
      <c r="X15" s="334">
        <v>0.92600000000000005</v>
      </c>
      <c r="Y15" s="269">
        <f t="shared" ref="Y15:Y20" si="2">PRODUCT(U15:X15)</f>
        <v>140843.26656000002</v>
      </c>
      <c r="Z15"/>
      <c r="AA15"/>
      <c r="AB15"/>
      <c r="AC15"/>
    </row>
    <row r="16" spans="1:29" x14ac:dyDescent="0.25">
      <c r="A16" s="260"/>
      <c r="B16" s="173"/>
      <c r="C16" s="309"/>
      <c r="D16" s="309"/>
      <c r="E16" s="64" t="s">
        <v>729</v>
      </c>
      <c r="F16" s="235" t="s">
        <v>732</v>
      </c>
      <c r="G16" s="5"/>
      <c r="H16" s="289" t="s">
        <v>705</v>
      </c>
      <c r="I16" s="310"/>
      <c r="J16" s="289"/>
      <c r="K16" s="260"/>
      <c r="L16" s="288"/>
      <c r="M16" s="124"/>
      <c r="N16" s="317">
        <f ca="1">YEAR(B20)</f>
        <v>2023</v>
      </c>
      <c r="O16" s="328" t="s">
        <v>700</v>
      </c>
      <c r="P16" s="1" t="s">
        <v>755</v>
      </c>
      <c r="Q16" s="332">
        <f>F20</f>
        <v>72000</v>
      </c>
      <c r="R16" s="1">
        <v>4.0999999999999996</v>
      </c>
      <c r="S16" s="335">
        <f>J19</f>
        <v>1.63</v>
      </c>
      <c r="T16" s="319">
        <f t="shared" si="0"/>
        <v>0.72</v>
      </c>
      <c r="U16" s="338">
        <f t="shared" si="1"/>
        <v>346446.72</v>
      </c>
      <c r="V16" s="318">
        <v>1</v>
      </c>
      <c r="W16" s="318">
        <v>1</v>
      </c>
      <c r="X16" s="335">
        <v>0.90100000000000002</v>
      </c>
      <c r="Y16" s="320">
        <f t="shared" si="2"/>
        <v>312148.49471999996</v>
      </c>
      <c r="Z16"/>
      <c r="AA16"/>
      <c r="AB16"/>
      <c r="AC16"/>
    </row>
    <row r="17" spans="1:29" x14ac:dyDescent="0.25">
      <c r="A17" s="260"/>
      <c r="B17" s="176"/>
      <c r="C17" s="238"/>
      <c r="D17" s="238"/>
      <c r="E17" s="48" t="s">
        <v>730</v>
      </c>
      <c r="F17" s="66" t="s">
        <v>733</v>
      </c>
      <c r="G17" s="5"/>
      <c r="H17" s="290" t="s">
        <v>706</v>
      </c>
      <c r="I17" s="290"/>
      <c r="J17" s="156"/>
      <c r="K17" s="260"/>
      <c r="L17" s="288"/>
      <c r="M17" s="124"/>
      <c r="N17" s="313">
        <f ca="1">YEAR(B21)</f>
        <v>2022</v>
      </c>
      <c r="O17" s="330" t="s">
        <v>698</v>
      </c>
      <c r="P17" s="314" t="s">
        <v>717</v>
      </c>
      <c r="Q17" s="331">
        <f>F21</f>
        <v>33000</v>
      </c>
      <c r="R17" s="314">
        <v>7.9</v>
      </c>
      <c r="S17" s="334">
        <f>I19</f>
        <v>1.35</v>
      </c>
      <c r="T17" s="316">
        <f t="shared" si="0"/>
        <v>0.72</v>
      </c>
      <c r="U17" s="337">
        <f t="shared" si="1"/>
        <v>253400.4</v>
      </c>
      <c r="V17" s="315">
        <v>1</v>
      </c>
      <c r="W17" s="315">
        <v>1</v>
      </c>
      <c r="X17" s="334">
        <v>0.89200000000000002</v>
      </c>
      <c r="Y17" s="269">
        <f t="shared" si="2"/>
        <v>226033.1568</v>
      </c>
      <c r="Z17"/>
      <c r="AA17"/>
      <c r="AB17"/>
      <c r="AC17"/>
    </row>
    <row r="18" spans="1:29" x14ac:dyDescent="0.25">
      <c r="A18" s="260"/>
      <c r="B18" s="49" t="s">
        <v>692</v>
      </c>
      <c r="C18" s="70" t="s">
        <v>693</v>
      </c>
      <c r="D18" s="70"/>
      <c r="E18" s="308" t="s">
        <v>731</v>
      </c>
      <c r="F18" s="307" t="s">
        <v>734</v>
      </c>
      <c r="G18" s="5"/>
      <c r="H18" s="238" t="s">
        <v>708</v>
      </c>
      <c r="I18" s="238" t="s">
        <v>709</v>
      </c>
      <c r="J18" s="238" t="s">
        <v>710</v>
      </c>
      <c r="K18" s="260"/>
      <c r="L18" s="288"/>
      <c r="M18" s="124"/>
      <c r="N18" s="321">
        <f ca="1">YEAR(B21)</f>
        <v>2022</v>
      </c>
      <c r="O18" s="329" t="s">
        <v>700</v>
      </c>
      <c r="P18" s="322" t="s">
        <v>717</v>
      </c>
      <c r="Q18" s="333">
        <f>F21</f>
        <v>33000</v>
      </c>
      <c r="R18" s="322">
        <v>5.4</v>
      </c>
      <c r="S18" s="336">
        <f>I19</f>
        <v>1.35</v>
      </c>
      <c r="T18" s="324">
        <f t="shared" si="0"/>
        <v>0.72</v>
      </c>
      <c r="U18" s="339">
        <f t="shared" si="1"/>
        <v>173210.40000000002</v>
      </c>
      <c r="V18" s="323">
        <v>1</v>
      </c>
      <c r="W18" s="323">
        <v>1</v>
      </c>
      <c r="X18" s="336">
        <v>0.85399999999999998</v>
      </c>
      <c r="Y18" s="272">
        <f t="shared" si="2"/>
        <v>147921.68160000001</v>
      </c>
      <c r="Z18"/>
      <c r="AA18"/>
      <c r="AB18"/>
      <c r="AC18"/>
    </row>
    <row r="19" spans="1:29" x14ac:dyDescent="0.25">
      <c r="A19" s="260"/>
      <c r="B19" s="305">
        <f ca="1">DATE(YEAR(TODAY())-1,12,1)</f>
        <v>45627</v>
      </c>
      <c r="C19" s="65" t="s">
        <v>711</v>
      </c>
      <c r="D19" s="166"/>
      <c r="E19" s="66" t="s">
        <v>707</v>
      </c>
      <c r="F19" s="52">
        <v>108000</v>
      </c>
      <c r="G19" s="294" t="s">
        <v>713</v>
      </c>
      <c r="H19" s="295">
        <v>1</v>
      </c>
      <c r="I19" s="296">
        <v>1.35</v>
      </c>
      <c r="J19" s="182">
        <v>1.63</v>
      </c>
      <c r="K19" s="260"/>
      <c r="L19" s="288"/>
      <c r="M19" s="124"/>
      <c r="N19" s="317">
        <f ca="1">YEAR(B22)</f>
        <v>2021</v>
      </c>
      <c r="O19" s="328" t="s">
        <v>698</v>
      </c>
      <c r="P19" s="1" t="s">
        <v>717</v>
      </c>
      <c r="Q19" s="332">
        <f>F22</f>
        <v>16000</v>
      </c>
      <c r="R19" s="1">
        <v>7.9</v>
      </c>
      <c r="S19" s="335">
        <f>H19</f>
        <v>1</v>
      </c>
      <c r="T19" s="319">
        <f t="shared" si="0"/>
        <v>0.72</v>
      </c>
      <c r="U19" s="338">
        <f t="shared" si="1"/>
        <v>91008</v>
      </c>
      <c r="V19" s="318">
        <v>1</v>
      </c>
      <c r="W19" s="318">
        <v>1</v>
      </c>
      <c r="X19" s="335">
        <v>0.85799999999999998</v>
      </c>
      <c r="Y19" s="320">
        <f t="shared" si="2"/>
        <v>78084.864000000001</v>
      </c>
      <c r="Z19"/>
      <c r="AA19"/>
      <c r="AB19"/>
      <c r="AC19"/>
    </row>
    <row r="20" spans="1:29" x14ac:dyDescent="0.25">
      <c r="A20" s="260"/>
      <c r="B20" s="305">
        <f ca="1">DATE(YEAR(TODAY())-2,12,1)</f>
        <v>45261</v>
      </c>
      <c r="C20" s="65" t="s">
        <v>714</v>
      </c>
      <c r="D20" s="166"/>
      <c r="E20" s="66" t="s">
        <v>712</v>
      </c>
      <c r="F20" s="52">
        <v>72000</v>
      </c>
      <c r="G20" s="294" t="s">
        <v>716</v>
      </c>
      <c r="H20" s="297">
        <v>1.1499999999999999</v>
      </c>
      <c r="I20" s="253">
        <v>1.29</v>
      </c>
      <c r="J20" s="60">
        <v>1.81</v>
      </c>
      <c r="K20" s="260"/>
      <c r="L20" s="288"/>
      <c r="M20" s="124"/>
      <c r="N20" s="321">
        <f ca="1">YEAR(B22)</f>
        <v>2021</v>
      </c>
      <c r="O20" s="329" t="s">
        <v>700</v>
      </c>
      <c r="P20" s="322" t="s">
        <v>717</v>
      </c>
      <c r="Q20" s="333">
        <f>F22</f>
        <v>16000</v>
      </c>
      <c r="R20" s="322">
        <v>5.4</v>
      </c>
      <c r="S20" s="336">
        <f>H19</f>
        <v>1</v>
      </c>
      <c r="T20" s="324">
        <f t="shared" si="0"/>
        <v>0.72</v>
      </c>
      <c r="U20" s="339">
        <f t="shared" si="1"/>
        <v>62208</v>
      </c>
      <c r="V20" s="323">
        <v>1</v>
      </c>
      <c r="W20" s="323">
        <v>1</v>
      </c>
      <c r="X20" s="336">
        <v>0.81</v>
      </c>
      <c r="Y20" s="272">
        <f t="shared" si="2"/>
        <v>50388.480000000003</v>
      </c>
      <c r="Z20"/>
      <c r="AA20"/>
      <c r="AB20"/>
      <c r="AC20"/>
    </row>
    <row r="21" spans="1:29" ht="15" customHeight="1" x14ac:dyDescent="0.25">
      <c r="A21" s="260"/>
      <c r="B21" s="305">
        <f ca="1">DATE(YEAR(TODAY())-3,12,1)</f>
        <v>44896</v>
      </c>
      <c r="C21" s="65" t="s">
        <v>717</v>
      </c>
      <c r="D21" s="166"/>
      <c r="E21" s="66" t="s">
        <v>715</v>
      </c>
      <c r="F21" s="52">
        <v>33000</v>
      </c>
      <c r="G21" s="294" t="s">
        <v>709</v>
      </c>
      <c r="H21" s="298">
        <v>1.33</v>
      </c>
      <c r="I21" s="299">
        <v>1.46</v>
      </c>
      <c r="J21" s="61">
        <v>1.95</v>
      </c>
      <c r="K21" s="260"/>
      <c r="L21" s="288"/>
      <c r="M21" s="124"/>
      <c r="N21"/>
      <c r="O21"/>
      <c r="P21"/>
      <c r="Q21"/>
      <c r="R21"/>
      <c r="S21"/>
      <c r="T21"/>
      <c r="U21"/>
      <c r="V21"/>
      <c r="W21"/>
      <c r="X21" s="1" t="s">
        <v>757</v>
      </c>
      <c r="Y21" s="340">
        <f>SUM(Y15:Y20)</f>
        <v>955419.94368000003</v>
      </c>
      <c r="Z21"/>
      <c r="AA21"/>
      <c r="AB21"/>
      <c r="AC21"/>
    </row>
    <row r="22" spans="1:29" ht="15" customHeight="1" x14ac:dyDescent="0.25">
      <c r="A22" s="10"/>
      <c r="B22" s="306">
        <f ca="1">DATE(YEAR(TODAY())-4,12,1)</f>
        <v>44531</v>
      </c>
      <c r="C22" s="67" t="s">
        <v>717</v>
      </c>
      <c r="D22" s="167"/>
      <c r="E22" s="68" t="s">
        <v>718</v>
      </c>
      <c r="F22" s="53">
        <v>16000</v>
      </c>
      <c r="G22" s="260"/>
      <c r="H22" s="260"/>
      <c r="I22" s="260"/>
      <c r="J22" s="260"/>
      <c r="K22" s="260"/>
      <c r="L22" s="288"/>
      <c r="M22" s="124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</row>
    <row r="23" spans="1:29" x14ac:dyDescent="0.25">
      <c r="A23" s="10"/>
      <c r="B23" s="5"/>
      <c r="C23" s="260"/>
      <c r="D23" s="260"/>
      <c r="E23" s="260"/>
      <c r="F23" s="260"/>
      <c r="G23" s="260"/>
      <c r="H23" s="260"/>
      <c r="I23" s="260"/>
      <c r="J23" s="260"/>
      <c r="K23" s="260"/>
      <c r="L23" s="288"/>
      <c r="M23" s="124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</row>
    <row r="24" spans="1:29" x14ac:dyDescent="0.25">
      <c r="A24" s="10"/>
      <c r="B24" s="5"/>
      <c r="C24" s="260"/>
      <c r="D24" s="260"/>
      <c r="E24" s="260"/>
      <c r="F24" s="260"/>
      <c r="G24" s="260"/>
      <c r="H24" s="260"/>
      <c r="I24" s="260"/>
      <c r="J24" s="260"/>
      <c r="K24" s="260"/>
      <c r="L24" s="288"/>
      <c r="M24" s="1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</row>
    <row r="25" spans="1:29" x14ac:dyDescent="0.25">
      <c r="A25" s="14" t="s">
        <v>2</v>
      </c>
      <c r="B25" s="5" t="s">
        <v>738</v>
      </c>
      <c r="C25" s="5"/>
      <c r="D25" s="5"/>
      <c r="E25" s="5"/>
      <c r="F25" s="5"/>
      <c r="G25" s="5"/>
      <c r="H25" s="5"/>
      <c r="I25" s="5"/>
      <c r="J25" s="5"/>
      <c r="K25" s="5"/>
      <c r="L25" s="288"/>
      <c r="M25" s="124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</row>
    <row r="26" spans="1:29" ht="15.75" thickBot="1" x14ac:dyDescent="0.3">
      <c r="A26" s="13">
        <f ca="1">INDEX('Point Grid'!$C$8:$I$27,MATCH($A$1,'Point Grid'!$A$8:$A$27,0),MATCH(A25,'Point Grid'!$C$7:$I$7,0))</f>
        <v>0.75</v>
      </c>
      <c r="B26" s="5" t="s">
        <v>739</v>
      </c>
      <c r="C26" s="260"/>
      <c r="D26" s="5"/>
      <c r="E26" s="5"/>
      <c r="F26" s="5"/>
      <c r="G26" s="5"/>
      <c r="H26" s="5"/>
      <c r="I26" s="5"/>
      <c r="J26" s="5"/>
      <c r="K26" s="5"/>
      <c r="L26" s="288"/>
      <c r="M26" s="124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</row>
    <row r="27" spans="1:29" ht="15.75" thickBot="1" x14ac:dyDescent="0.3">
      <c r="A27" s="4">
        <v>0.75</v>
      </c>
      <c r="B27" s="5"/>
      <c r="C27" s="260"/>
      <c r="D27" s="5"/>
      <c r="E27" s="5"/>
      <c r="F27" s="5"/>
      <c r="G27" s="5"/>
      <c r="H27" s="5"/>
      <c r="I27" s="5"/>
      <c r="J27" s="5"/>
      <c r="K27" s="5"/>
      <c r="L27" s="288"/>
      <c r="M27" s="124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</row>
    <row r="28" spans="1:29" x14ac:dyDescent="0.25">
      <c r="A28" s="312"/>
      <c r="B28" s="5"/>
      <c r="C28" s="292"/>
      <c r="D28" s="5"/>
      <c r="E28" s="5"/>
      <c r="F28" s="5"/>
      <c r="G28" s="5"/>
      <c r="H28" s="5"/>
      <c r="I28" s="5"/>
      <c r="J28" s="5"/>
      <c r="K28" s="5"/>
      <c r="L28" s="288"/>
      <c r="M28" s="124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</row>
    <row r="29" spans="1:29" x14ac:dyDescent="0.25">
      <c r="A29" s="14" t="s">
        <v>3</v>
      </c>
      <c r="B29" s="5" t="s">
        <v>736</v>
      </c>
      <c r="C29" s="292"/>
      <c r="D29" s="5"/>
      <c r="E29" s="5"/>
      <c r="F29" s="5"/>
      <c r="G29" s="5"/>
      <c r="H29" s="5"/>
      <c r="I29" s="5"/>
      <c r="J29" s="5"/>
      <c r="K29" s="5"/>
      <c r="L29" s="288"/>
      <c r="M29" s="124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</row>
    <row r="30" spans="1:29" ht="15.75" thickBot="1" x14ac:dyDescent="0.3">
      <c r="A30" s="13">
        <f ca="1">INDEX('Point Grid'!$C$8:$I$27,MATCH($A$1,'Point Grid'!$A$8:$A$27,0),MATCH(A29,'Point Grid'!$C$7:$I$7,0))</f>
        <v>2</v>
      </c>
      <c r="B30" s="5" t="s">
        <v>735</v>
      </c>
      <c r="C30" s="292"/>
      <c r="D30" s="5"/>
      <c r="E30" s="5"/>
      <c r="F30" s="5"/>
      <c r="G30" s="5"/>
      <c r="H30" s="5"/>
      <c r="I30" s="5"/>
      <c r="J30" s="5"/>
      <c r="K30" s="5"/>
      <c r="L30" s="288"/>
      <c r="M30" s="124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</row>
    <row r="31" spans="1:29" ht="15.75" thickBot="1" x14ac:dyDescent="0.3">
      <c r="A31" s="4">
        <v>2</v>
      </c>
      <c r="B31" s="260"/>
      <c r="C31" s="292" t="s">
        <v>719</v>
      </c>
      <c r="D31" s="5"/>
      <c r="E31" s="5"/>
      <c r="F31" s="5"/>
      <c r="G31" s="5"/>
      <c r="H31" s="5"/>
      <c r="I31" s="5"/>
      <c r="J31" s="5"/>
      <c r="K31" s="5"/>
      <c r="L31" s="288"/>
      <c r="M31" s="124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</row>
    <row r="32" spans="1:29" x14ac:dyDescent="0.25">
      <c r="A32" s="10"/>
      <c r="B32" s="5"/>
      <c r="C32" s="55" t="s">
        <v>694</v>
      </c>
      <c r="D32" s="54" t="s">
        <v>717</v>
      </c>
      <c r="E32" s="54" t="s">
        <v>720</v>
      </c>
      <c r="F32" s="300" t="s">
        <v>697</v>
      </c>
      <c r="G32" s="54" t="s">
        <v>701</v>
      </c>
      <c r="H32" s="54" t="s">
        <v>702</v>
      </c>
      <c r="I32" s="5"/>
      <c r="J32" s="5"/>
      <c r="K32" s="5"/>
      <c r="L32" s="288"/>
      <c r="M32" s="124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</row>
    <row r="33" spans="1:29" ht="15" customHeight="1" x14ac:dyDescent="0.25">
      <c r="A33" s="260"/>
      <c r="B33" s="5"/>
      <c r="C33" s="47" t="s">
        <v>698</v>
      </c>
      <c r="D33" s="147">
        <v>1</v>
      </c>
      <c r="E33" s="147">
        <v>1.1399999999999999</v>
      </c>
      <c r="F33" s="301">
        <v>1.2</v>
      </c>
      <c r="G33" s="48">
        <v>1.32</v>
      </c>
      <c r="H33" s="48">
        <v>1.62</v>
      </c>
      <c r="I33" s="5"/>
      <c r="J33" s="5"/>
      <c r="K33" s="5"/>
      <c r="L33" s="288"/>
      <c r="M33" s="124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</row>
    <row r="34" spans="1:29" ht="15" customHeight="1" x14ac:dyDescent="0.25">
      <c r="A34" s="260"/>
      <c r="B34" s="5"/>
      <c r="C34" s="46" t="s">
        <v>700</v>
      </c>
      <c r="D34" s="151">
        <v>1</v>
      </c>
      <c r="E34" s="49">
        <v>1.51</v>
      </c>
      <c r="F34" s="70">
        <v>1.59</v>
      </c>
      <c r="G34" s="49">
        <v>2.0299999999999998</v>
      </c>
      <c r="H34" s="49">
        <v>2.39</v>
      </c>
      <c r="I34" s="5"/>
      <c r="J34" s="5"/>
      <c r="K34" s="5"/>
      <c r="L34" s="288"/>
      <c r="M34" s="12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</row>
    <row r="35" spans="1:29" ht="15" customHeight="1" x14ac:dyDescent="0.25">
      <c r="A35" s="260"/>
      <c r="B35" s="5"/>
      <c r="C35" s="260"/>
      <c r="D35" s="260"/>
      <c r="E35" s="260"/>
      <c r="F35" s="260"/>
      <c r="G35" s="260"/>
      <c r="H35" s="260"/>
      <c r="I35" s="260"/>
      <c r="J35" s="260"/>
      <c r="K35" s="5"/>
      <c r="L35" s="288"/>
      <c r="M35" s="124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</row>
    <row r="36" spans="1:29" ht="15" customHeight="1" x14ac:dyDescent="0.25">
      <c r="A36" s="5"/>
      <c r="B36" s="5"/>
      <c r="C36" s="302" t="s">
        <v>721</v>
      </c>
      <c r="D36" s="5"/>
      <c r="E36" s="5"/>
      <c r="F36" s="5"/>
      <c r="G36" s="5"/>
      <c r="H36" s="5"/>
      <c r="I36" s="260"/>
      <c r="J36" s="260"/>
      <c r="K36" s="5"/>
      <c r="L36" s="288"/>
      <c r="M36" s="124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</row>
    <row r="37" spans="1:29" ht="15" customHeight="1" x14ac:dyDescent="0.25">
      <c r="A37" s="5"/>
      <c r="B37" s="5"/>
      <c r="C37" s="55" t="s">
        <v>694</v>
      </c>
      <c r="D37" s="54" t="s">
        <v>717</v>
      </c>
      <c r="E37" s="54" t="s">
        <v>720</v>
      </c>
      <c r="F37" s="300" t="s">
        <v>697</v>
      </c>
      <c r="G37" s="54" t="s">
        <v>701</v>
      </c>
      <c r="H37" s="54" t="s">
        <v>702</v>
      </c>
      <c r="I37" s="260"/>
      <c r="J37" s="260"/>
      <c r="K37" s="5"/>
      <c r="L37" s="288"/>
      <c r="M37" s="124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</row>
    <row r="38" spans="1:29" ht="15" customHeight="1" x14ac:dyDescent="0.25">
      <c r="A38" s="5"/>
      <c r="B38" s="5"/>
      <c r="C38" s="47" t="s">
        <v>698</v>
      </c>
      <c r="D38" s="147">
        <v>1</v>
      </c>
      <c r="E38" s="48">
        <v>0.84</v>
      </c>
      <c r="F38" s="301">
        <v>0.78</v>
      </c>
      <c r="G38" s="48">
        <v>0.67</v>
      </c>
      <c r="H38" s="48">
        <v>0.47</v>
      </c>
      <c r="I38" s="5"/>
      <c r="J38" s="5"/>
      <c r="K38" s="5"/>
      <c r="L38" s="288"/>
      <c r="M38" s="124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</row>
    <row r="39" spans="1:29" x14ac:dyDescent="0.25">
      <c r="A39" s="5"/>
      <c r="B39" s="5"/>
      <c r="C39" s="46" t="s">
        <v>700</v>
      </c>
      <c r="D39" s="151">
        <v>1</v>
      </c>
      <c r="E39" s="49">
        <v>0.49</v>
      </c>
      <c r="F39" s="70">
        <v>0.43</v>
      </c>
      <c r="G39" s="49">
        <v>0.35</v>
      </c>
      <c r="H39" s="49">
        <v>0.22</v>
      </c>
      <c r="I39" s="5"/>
      <c r="J39" s="5"/>
      <c r="K39" s="5"/>
      <c r="L39" s="288"/>
      <c r="M39" s="124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</row>
    <row r="40" spans="1:29" x14ac:dyDescent="0.25">
      <c r="A40" s="5"/>
      <c r="B40" s="5"/>
      <c r="C40" s="260"/>
      <c r="D40" s="260"/>
      <c r="E40" s="260"/>
      <c r="F40" s="260"/>
      <c r="G40" s="260"/>
      <c r="H40" s="260"/>
      <c r="I40" s="260"/>
      <c r="J40" s="260"/>
      <c r="K40" s="5"/>
      <c r="L40" s="288"/>
      <c r="M40" s="124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</row>
    <row r="41" spans="1:29" x14ac:dyDescent="0.25">
      <c r="A41" s="5"/>
      <c r="B41" s="5"/>
      <c r="C41" s="302" t="s">
        <v>722</v>
      </c>
      <c r="D41" s="5"/>
      <c r="E41" s="5"/>
      <c r="F41" s="5"/>
      <c r="G41" s="260"/>
      <c r="H41" s="260"/>
      <c r="I41" s="260"/>
      <c r="J41" s="260"/>
      <c r="K41" s="5"/>
      <c r="L41" s="288"/>
      <c r="M41" s="124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</row>
    <row r="42" spans="1:29" ht="45" x14ac:dyDescent="0.25">
      <c r="A42" s="5"/>
      <c r="B42" s="5"/>
      <c r="C42" s="293" t="s">
        <v>723</v>
      </c>
      <c r="D42" s="55" t="s">
        <v>694</v>
      </c>
      <c r="E42" s="54" t="s">
        <v>724</v>
      </c>
      <c r="F42" s="59" t="s">
        <v>725</v>
      </c>
      <c r="G42" s="260"/>
      <c r="H42" s="260"/>
      <c r="I42" s="260"/>
      <c r="J42" s="260"/>
      <c r="K42" s="5"/>
      <c r="L42" s="288"/>
      <c r="M42" s="124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</row>
    <row r="43" spans="1:29" x14ac:dyDescent="0.25">
      <c r="A43" s="5"/>
      <c r="B43" s="5"/>
      <c r="C43" s="420" t="s">
        <v>726</v>
      </c>
      <c r="D43" s="153" t="s">
        <v>698</v>
      </c>
      <c r="E43" s="64">
        <v>0.90700000000000003</v>
      </c>
      <c r="F43" s="64">
        <v>0.92600000000000005</v>
      </c>
      <c r="G43" s="5"/>
      <c r="H43" s="5"/>
      <c r="I43" s="5"/>
      <c r="J43" s="5"/>
      <c r="K43" s="5"/>
      <c r="L43" s="288"/>
      <c r="M43" s="124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</row>
    <row r="44" spans="1:29" x14ac:dyDescent="0.25">
      <c r="A44" s="10"/>
      <c r="B44" s="5"/>
      <c r="C44" s="421"/>
      <c r="D44" s="46" t="s">
        <v>700</v>
      </c>
      <c r="E44" s="49">
        <v>0.88200000000000001</v>
      </c>
      <c r="F44" s="49">
        <v>0.90100000000000002</v>
      </c>
      <c r="G44" s="5"/>
      <c r="H44" s="5"/>
      <c r="I44" s="5"/>
      <c r="J44" s="5"/>
      <c r="K44" s="5"/>
      <c r="L44" s="288"/>
      <c r="M44" s="124"/>
      <c r="N44"/>
      <c r="S44"/>
      <c r="T44"/>
      <c r="U44"/>
      <c r="V44"/>
      <c r="W44"/>
      <c r="X44"/>
      <c r="Y44"/>
      <c r="Z44"/>
      <c r="AA44"/>
      <c r="AB44"/>
      <c r="AC44"/>
    </row>
    <row r="45" spans="1:29" x14ac:dyDescent="0.25">
      <c r="A45" s="10"/>
      <c r="B45" s="5"/>
      <c r="C45" s="420" t="s">
        <v>727</v>
      </c>
      <c r="D45" s="153" t="s">
        <v>698</v>
      </c>
      <c r="E45" s="64">
        <v>0.86399999999999999</v>
      </c>
      <c r="F45" s="64">
        <v>0.89200000000000002</v>
      </c>
      <c r="G45" s="260"/>
      <c r="H45" s="260"/>
      <c r="I45" s="5"/>
      <c r="J45" s="5"/>
      <c r="K45" s="5"/>
      <c r="L45" s="288"/>
      <c r="M45" s="124"/>
      <c r="N45"/>
      <c r="S45"/>
      <c r="T45"/>
      <c r="U45"/>
      <c r="V45"/>
      <c r="W45"/>
      <c r="X45"/>
      <c r="Y45"/>
      <c r="Z45"/>
      <c r="AA45"/>
      <c r="AB45"/>
      <c r="AC45"/>
    </row>
    <row r="46" spans="1:29" x14ac:dyDescent="0.25">
      <c r="A46" s="10"/>
      <c r="B46" s="5"/>
      <c r="C46" s="421"/>
      <c r="D46" s="46" t="s">
        <v>700</v>
      </c>
      <c r="E46" s="49">
        <v>0.82799999999999996</v>
      </c>
      <c r="F46" s="49">
        <v>0.85399999999999998</v>
      </c>
      <c r="G46" s="260"/>
      <c r="H46" s="260"/>
      <c r="I46" s="5"/>
      <c r="J46" s="5"/>
      <c r="K46" s="5"/>
      <c r="L46" s="288"/>
      <c r="M46" s="124"/>
      <c r="U46" s="157"/>
      <c r="V46" s="157"/>
      <c r="W46" s="157"/>
      <c r="X46" s="157"/>
      <c r="Y46" s="157"/>
      <c r="Z46" s="157"/>
      <c r="AA46" s="124"/>
      <c r="AB46" s="157"/>
    </row>
    <row r="47" spans="1:29" x14ac:dyDescent="0.25">
      <c r="A47" s="10"/>
      <c r="B47" s="5"/>
      <c r="C47" s="420" t="s">
        <v>728</v>
      </c>
      <c r="D47" s="47" t="s">
        <v>698</v>
      </c>
      <c r="E47" s="48">
        <v>0.82299999999999995</v>
      </c>
      <c r="F47" s="48">
        <v>0.85799999999999998</v>
      </c>
      <c r="G47" s="260"/>
      <c r="H47" s="260"/>
      <c r="I47" s="5"/>
      <c r="J47" s="5"/>
      <c r="K47" s="5"/>
      <c r="L47" s="288"/>
      <c r="M47" s="124"/>
      <c r="U47" s="157"/>
      <c r="V47" s="157"/>
      <c r="W47" s="157"/>
      <c r="X47" s="157"/>
      <c r="Y47" s="157"/>
      <c r="Z47" s="157"/>
      <c r="AA47" s="124"/>
      <c r="AB47" s="157"/>
    </row>
    <row r="48" spans="1:29" x14ac:dyDescent="0.25">
      <c r="A48" s="10"/>
      <c r="B48" s="5"/>
      <c r="C48" s="421"/>
      <c r="D48" s="46" t="s">
        <v>700</v>
      </c>
      <c r="E48" s="49">
        <v>0.77700000000000002</v>
      </c>
      <c r="F48" s="233">
        <v>0.81</v>
      </c>
      <c r="G48" s="260"/>
      <c r="H48" s="260"/>
      <c r="I48" s="5"/>
      <c r="J48" s="5"/>
      <c r="K48" s="5"/>
      <c r="L48" s="288"/>
      <c r="M48" s="124"/>
      <c r="U48" s="157"/>
      <c r="V48" s="157"/>
      <c r="W48" s="157"/>
      <c r="X48" s="157"/>
      <c r="Y48" s="157"/>
      <c r="Z48" s="157"/>
      <c r="AA48" s="124"/>
      <c r="AB48" s="157"/>
    </row>
    <row r="49" spans="1:28" ht="15.75" thickBot="1" x14ac:dyDescent="0.3">
      <c r="A49" s="15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303"/>
      <c r="M49" s="124"/>
      <c r="U49" s="157"/>
      <c r="V49" s="157"/>
      <c r="W49" s="157"/>
      <c r="X49" s="157"/>
      <c r="Y49" s="157"/>
      <c r="Z49" s="157"/>
      <c r="AA49" s="124"/>
      <c r="AB49" s="157"/>
    </row>
    <row r="50" spans="1:28" x14ac:dyDescent="0.25">
      <c r="L50" s="124"/>
      <c r="M50" s="124"/>
      <c r="U50" s="157"/>
      <c r="V50" s="157"/>
      <c r="W50" s="157"/>
      <c r="X50" s="157"/>
      <c r="Y50" s="157"/>
      <c r="Z50" s="157"/>
      <c r="AA50" s="124"/>
      <c r="AB50" s="157"/>
    </row>
    <row r="51" spans="1:28" x14ac:dyDescent="0.25">
      <c r="L51" s="124"/>
      <c r="M51" s="124"/>
      <c r="U51" s="157"/>
      <c r="V51" s="157"/>
      <c r="W51" s="157"/>
      <c r="X51" s="157"/>
      <c r="Y51" s="157"/>
      <c r="Z51" s="157"/>
      <c r="AA51" s="124"/>
      <c r="AB51" s="157"/>
    </row>
    <row r="52" spans="1:28" x14ac:dyDescent="0.25">
      <c r="L52" s="124"/>
      <c r="M52" s="124"/>
      <c r="U52" s="157"/>
      <c r="V52" s="157"/>
      <c r="W52" s="157"/>
      <c r="X52" s="157"/>
      <c r="Y52" s="157"/>
      <c r="Z52" s="157"/>
      <c r="AA52" s="124"/>
      <c r="AB52" s="157"/>
    </row>
    <row r="53" spans="1:28" x14ac:dyDescent="0.25">
      <c r="L53" s="124"/>
      <c r="M53" s="124"/>
      <c r="AA53" s="124"/>
    </row>
    <row r="54" spans="1:28" x14ac:dyDescent="0.25">
      <c r="L54" s="124"/>
      <c r="M54" s="124"/>
      <c r="AA54" s="124"/>
    </row>
    <row r="55" spans="1:28" x14ac:dyDescent="0.25">
      <c r="L55" s="124"/>
      <c r="M55" s="124"/>
      <c r="AA55" s="124"/>
    </row>
    <row r="56" spans="1:28" x14ac:dyDescent="0.25">
      <c r="L56" s="124"/>
      <c r="M56" s="124"/>
      <c r="AA56" s="124"/>
    </row>
    <row r="57" spans="1:28" x14ac:dyDescent="0.25">
      <c r="L57" s="124"/>
      <c r="M57" s="124"/>
      <c r="AA57" s="124"/>
    </row>
    <row r="58" spans="1:28" x14ac:dyDescent="0.25">
      <c r="L58" s="124"/>
      <c r="M58" s="124"/>
      <c r="AA58" s="124"/>
    </row>
    <row r="59" spans="1:28" x14ac:dyDescent="0.25">
      <c r="L59" s="124"/>
      <c r="M59" s="124"/>
      <c r="AA59" s="124"/>
    </row>
    <row r="60" spans="1:28" x14ac:dyDescent="0.25">
      <c r="L60" s="124"/>
      <c r="M60" s="124"/>
      <c r="AA60" s="124"/>
    </row>
  </sheetData>
  <sheetProtection formatCells="0" formatColumns="0" formatRows="0"/>
  <mergeCells count="4">
    <mergeCell ref="C43:C44"/>
    <mergeCell ref="C45:C46"/>
    <mergeCell ref="C47:C48"/>
    <mergeCell ref="K1:L1"/>
  </mergeCells>
  <conditionalFormatting sqref="B1">
    <cfRule type="cellIs" dxfId="44" priority="1" operator="equal">
      <formula>"Incomplete"</formula>
    </cfRule>
    <cfRule type="cellIs" dxfId="43" priority="2" operator="equal">
      <formula>"Flag for Review"</formula>
    </cfRule>
    <cfRule type="cellIs" dxfId="42" priority="3" operator="equal">
      <formula>"Finished"</formula>
    </cfRule>
  </conditionalFormatting>
  <dataValidations count="2">
    <dataValidation type="decimal" allowBlank="1" showInputMessage="1" showErrorMessage="1" sqref="A31 A27:A28" xr:uid="{EACA1458-302E-4B2C-9742-67AD247E5C8E}">
      <formula1>0</formula1>
      <formula2>A26</formula2>
    </dataValidation>
    <dataValidation type="list" allowBlank="1" showInputMessage="1" showErrorMessage="1" sqref="B1" xr:uid="{30F3C47B-294A-4D0B-A5E5-BEE7AEA7BC76}">
      <formula1>"Finished, Flag for Review, Incomplete"</formula1>
    </dataValidation>
  </dataValidations>
  <hyperlinks>
    <hyperlink ref="K1" location="Navigator!A1" display="Navigator" xr:uid="{08D67522-7DC4-4B9A-B80F-5B84FF774BAA}"/>
  </hyperlink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2CBC35-A01B-4CFF-AF2A-24F0425533F6}">
  <sheetPr codeName="Sheet10"/>
  <dimension ref="A1:T39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6" style="3" bestFit="1" customWidth="1"/>
    <col min="3" max="4" width="9.140625" style="3" customWidth="1"/>
    <col min="5" max="5" width="19.28515625" style="3" bestFit="1" customWidth="1"/>
    <col min="6" max="6" width="9.5703125" style="3" bestFit="1" customWidth="1"/>
    <col min="7" max="7" width="11.42578125" style="3" customWidth="1"/>
    <col min="8" max="8" width="3.7109375" style="40" customWidth="1"/>
    <col min="9" max="9" width="15.5703125" style="3" customWidth="1"/>
    <col min="10" max="10" width="10.28515625" style="3" customWidth="1"/>
    <col min="11" max="11" width="11.5703125" style="3" bestFit="1" customWidth="1"/>
    <col min="12" max="12" width="15.85546875" style="3" customWidth="1"/>
    <col min="13" max="13" width="9" style="3" customWidth="1"/>
    <col min="14" max="14" width="12.85546875" style="3" bestFit="1" customWidth="1"/>
    <col min="15" max="15" width="10" style="3" bestFit="1" customWidth="1"/>
    <col min="16" max="17" width="10.5703125" style="3" customWidth="1"/>
    <col min="18" max="16384" width="9.140625" style="3"/>
  </cols>
  <sheetData>
    <row r="1" spans="1:20" ht="15.75" x14ac:dyDescent="0.25">
      <c r="A1" s="8">
        <f ca="1">VALUE(MID(CELL("filename",A1),FIND("]",CELL("filename",A1))+1,LEN(CELL("filename",A1))-FIND("]",CELL("filename",A1))+1))</f>
        <v>8</v>
      </c>
      <c r="B1" s="57" t="s">
        <v>604</v>
      </c>
      <c r="C1" s="144"/>
      <c r="D1" s="144"/>
      <c r="E1" s="9"/>
      <c r="F1" s="418" t="s">
        <v>41</v>
      </c>
      <c r="G1" s="419"/>
      <c r="I1" s="58" t="s">
        <v>31</v>
      </c>
    </row>
    <row r="2" spans="1:20" x14ac:dyDescent="0.25">
      <c r="A2" s="10"/>
      <c r="B2" s="5"/>
      <c r="C2" s="5"/>
      <c r="D2" s="5"/>
      <c r="E2" s="5"/>
      <c r="F2" s="5"/>
      <c r="G2" s="11"/>
      <c r="H2" s="3" t="s">
        <v>605</v>
      </c>
      <c r="I2" s="3" t="s">
        <v>165</v>
      </c>
    </row>
    <row r="3" spans="1:20" x14ac:dyDescent="0.25">
      <c r="A3" s="12" t="s">
        <v>14</v>
      </c>
      <c r="B3" s="5" t="s">
        <v>156</v>
      </c>
      <c r="C3" s="5"/>
      <c r="D3" s="5"/>
      <c r="E3" s="5"/>
      <c r="F3" s="5"/>
      <c r="G3" s="11"/>
      <c r="H3" s="3"/>
      <c r="I3" s="3" t="s">
        <v>166</v>
      </c>
    </row>
    <row r="4" spans="1:20" x14ac:dyDescent="0.25">
      <c r="A4" s="13">
        <f ca="1">INDEX('Point Grid'!B:B,MATCH('8'!A1,'Point Grid'!A:A,0))</f>
        <v>3.5</v>
      </c>
      <c r="B4" s="72"/>
      <c r="C4" s="145" t="s">
        <v>157</v>
      </c>
      <c r="D4" s="146"/>
      <c r="E4" s="145" t="s">
        <v>160</v>
      </c>
      <c r="F4" s="146"/>
      <c r="G4" s="11"/>
      <c r="H4" s="3"/>
      <c r="N4" s="114" t="s">
        <v>179</v>
      </c>
      <c r="O4" s="113"/>
      <c r="Q4" s="114" t="s">
        <v>174</v>
      </c>
      <c r="R4" s="113"/>
    </row>
    <row r="5" spans="1:20" x14ac:dyDescent="0.25">
      <c r="A5" s="10"/>
      <c r="B5" s="46" t="s">
        <v>163</v>
      </c>
      <c r="C5" s="54" t="s">
        <v>158</v>
      </c>
      <c r="D5" s="54" t="s">
        <v>159</v>
      </c>
      <c r="E5" s="54" t="s">
        <v>161</v>
      </c>
      <c r="F5" s="54" t="s">
        <v>162</v>
      </c>
      <c r="G5" s="11"/>
      <c r="H5" s="3"/>
      <c r="I5" s="112" t="s">
        <v>167</v>
      </c>
      <c r="J5" s="114" t="s">
        <v>170</v>
      </c>
      <c r="K5" s="113"/>
      <c r="L5" s="112" t="s">
        <v>171</v>
      </c>
      <c r="M5" s="112" t="s">
        <v>173</v>
      </c>
      <c r="N5" s="112" t="s">
        <v>158</v>
      </c>
      <c r="O5" s="112" t="s">
        <v>159</v>
      </c>
      <c r="P5" s="112" t="s">
        <v>172</v>
      </c>
      <c r="Q5" s="112" t="s">
        <v>158</v>
      </c>
      <c r="R5" s="112" t="s">
        <v>159</v>
      </c>
    </row>
    <row r="6" spans="1:20" x14ac:dyDescent="0.25">
      <c r="A6" s="10"/>
      <c r="B6" s="64">
        <v>1</v>
      </c>
      <c r="C6" s="147">
        <v>0.62</v>
      </c>
      <c r="D6" s="147">
        <v>0.66</v>
      </c>
      <c r="E6" s="148">
        <v>100000</v>
      </c>
      <c r="F6" s="149">
        <v>65000</v>
      </c>
      <c r="G6" s="11"/>
      <c r="H6" s="3"/>
      <c r="I6" s="115" t="s">
        <v>16</v>
      </c>
      <c r="J6" s="115">
        <v>1</v>
      </c>
      <c r="K6" s="116">
        <v>2</v>
      </c>
      <c r="L6" s="117">
        <f>SUMIFS($E$6:$E$15,$B$6:$B$15,J6)+SUMIFS($E$6:$E$15,$B$6:$B$15,K6)</f>
        <v>180000</v>
      </c>
      <c r="M6" s="118">
        <f>SUMIFS($F$6:$F$15,$B$6:$B$15,J6)+SUMIFS($F$6:$F$15,$B$6:$B$15,K6)</f>
        <v>145000</v>
      </c>
      <c r="N6" s="119">
        <f>(SUMIFS($E$6:$E$15,$B$6:$B$15,J6)*SUMIFS($C$6:$C$15,$B$6:$B$15,J6)+SUMIFS($E$6:$E$15,$B$6:$B$15,K6)*SUMIFS($C$6:$C$15,$B$6:$B$15,K6))/(SUMIFS($E$6:$E$15,$B$6:$B$15,J6)+SUMIFS($E$6:$E$15,$B$6:$B$15,K6))</f>
        <v>0.68666666666666665</v>
      </c>
      <c r="O6" s="120">
        <f>(SUMIFS($E$6:$E$15,$B$6:$B$15,J6)*SUMIFS($D$6:$D$15,$B$6:$B$15,J6)+SUMIFS($E$6:$E$15,$B$6:$B$15,K6)*SUMIFS($D$6:$D$15,$B$6:$B$15,K6))/(SUMIFS($E$6:$E$15,$B$6:$B$15,J6)+SUMIFS($E$6:$E$15,$B$6:$B$15,K6))</f>
        <v>0.72666666666666668</v>
      </c>
      <c r="P6" s="119">
        <f>M6/L6</f>
        <v>0.80555555555555558</v>
      </c>
      <c r="Q6" s="392">
        <f>M6/(N6*L6)</f>
        <v>1.1731391585760518</v>
      </c>
      <c r="R6" s="393">
        <f>M6/(O6*L6)</f>
        <v>1.1085626911314985</v>
      </c>
      <c r="S6" s="121"/>
      <c r="T6" s="121"/>
    </row>
    <row r="7" spans="1:20" x14ac:dyDescent="0.25">
      <c r="A7" s="10"/>
      <c r="B7" s="48">
        <v>2</v>
      </c>
      <c r="C7" s="147">
        <v>0.77</v>
      </c>
      <c r="D7" s="147">
        <v>0.81</v>
      </c>
      <c r="E7" s="149">
        <v>80000</v>
      </c>
      <c r="F7" s="149">
        <v>80000</v>
      </c>
      <c r="G7" s="150"/>
      <c r="H7" s="3"/>
      <c r="I7" s="122" t="s">
        <v>17</v>
      </c>
      <c r="J7" s="122">
        <v>3</v>
      </c>
      <c r="K7" s="123">
        <v>4</v>
      </c>
      <c r="L7" s="124">
        <f>SUMIFS($E$6:$E$15,$B$6:$B$15,J7)+SUMIFS($E$6:$E$15,$B$6:$B$15,K7)</f>
        <v>180000</v>
      </c>
      <c r="M7" s="110">
        <f>SUMIFS($F$6:$F$15,$B$6:$B$15,J7)+SUMIFS($F$6:$F$15,$B$6:$B$15,K7)</f>
        <v>191000</v>
      </c>
      <c r="N7" s="121">
        <f>(SUMIFS($E$6:$E$15,$B$6:$B$15,J7)*SUMIFS($C$6:$C$15,$B$6:$B$15,J7)+SUMIFS($E$6:$E$15,$B$6:$B$15,K7)*SUMIFS($C$6:$C$15,$B$6:$B$15,K7))/(SUMIFS($E$6:$E$15,$B$6:$B$15,J7)+SUMIFS($E$6:$E$15,$B$6:$B$15,K7))</f>
        <v>0.93777777777777782</v>
      </c>
      <c r="O7" s="125">
        <f>(SUMIFS($E$6:$E$15,$B$6:$B$15,J7)*SUMIFS($D$6:$D$15,$B$6:$B$15,J7)+SUMIFS($E$6:$E$15,$B$6:$B$15,K7)*SUMIFS($D$6:$D$15,$B$6:$B$15,K7))/(SUMIFS($E$6:$E$15,$B$6:$B$15,J7)+SUMIFS($E$6:$E$15,$B$6:$B$15,K7))</f>
        <v>0.96</v>
      </c>
      <c r="P7" s="121">
        <f>M7/L7</f>
        <v>1.0611111111111111</v>
      </c>
      <c r="Q7" s="394">
        <f>M7/(N7*L7)</f>
        <v>1.1315165876777251</v>
      </c>
      <c r="R7" s="384">
        <f>M7/(O7*L7)</f>
        <v>1.1053240740740742</v>
      </c>
      <c r="S7" s="121"/>
      <c r="T7" s="121"/>
    </row>
    <row r="8" spans="1:20" x14ac:dyDescent="0.25">
      <c r="A8" s="10"/>
      <c r="B8" s="48">
        <v>3</v>
      </c>
      <c r="C8" s="147">
        <v>0.92</v>
      </c>
      <c r="D8" s="147">
        <v>0.96</v>
      </c>
      <c r="E8" s="149">
        <v>100000</v>
      </c>
      <c r="F8" s="149">
        <v>95000</v>
      </c>
      <c r="G8" s="150"/>
      <c r="H8" s="3"/>
      <c r="I8" s="122" t="s">
        <v>18</v>
      </c>
      <c r="J8" s="122">
        <v>5</v>
      </c>
      <c r="K8" s="123">
        <v>6</v>
      </c>
      <c r="L8" s="124">
        <f>SUMIFS($E$6:$E$15,$B$6:$B$15,J8)+SUMIFS($E$6:$E$15,$B$6:$B$15,K8)</f>
        <v>180000</v>
      </c>
      <c r="M8" s="110">
        <f>SUMIFS($F$6:$F$15,$B$6:$B$15,J8)+SUMIFS($F$6:$F$15,$B$6:$B$15,K8)</f>
        <v>199000</v>
      </c>
      <c r="N8" s="121">
        <f>(SUMIFS($E$6:$E$15,$B$6:$B$15,J8)*SUMIFS($C$6:$C$15,$B$6:$B$15,J8)+SUMIFS($E$6:$E$15,$B$6:$B$15,K8)*SUMIFS($C$6:$C$15,$B$6:$B$15,K8))/(SUMIFS($E$6:$E$15,$B$6:$B$15,J8)+SUMIFS($E$6:$E$15,$B$6:$B$15,K8))</f>
        <v>1.0133333333333334</v>
      </c>
      <c r="O8" s="125">
        <f>(SUMIFS($E$6:$E$15,$B$6:$B$15,J8)*SUMIFS($D$6:$D$15,$B$6:$B$15,J8)+SUMIFS($E$6:$E$15,$B$6:$B$15,K8)*SUMIFS($D$6:$D$15,$B$6:$B$15,K8))/(SUMIFS($E$6:$E$15,$B$6:$B$15,J8)+SUMIFS($E$6:$E$15,$B$6:$B$15,K8))</f>
        <v>0.99222222222222223</v>
      </c>
      <c r="P8" s="121">
        <f>M8/L8</f>
        <v>1.1055555555555556</v>
      </c>
      <c r="Q8" s="394">
        <f>M8/(N8*L8)</f>
        <v>1.0910087719298245</v>
      </c>
      <c r="R8" s="384">
        <f>M8/(O8*L8)</f>
        <v>1.1142217245240762</v>
      </c>
      <c r="S8" s="121"/>
      <c r="T8" s="121"/>
    </row>
    <row r="9" spans="1:20" x14ac:dyDescent="0.25">
      <c r="A9" s="10"/>
      <c r="B9" s="48">
        <v>4</v>
      </c>
      <c r="C9" s="147">
        <v>0.96</v>
      </c>
      <c r="D9" s="147">
        <v>0.96</v>
      </c>
      <c r="E9" s="149">
        <v>80000</v>
      </c>
      <c r="F9" s="149">
        <v>96000</v>
      </c>
      <c r="G9" s="150"/>
      <c r="H9" s="3"/>
      <c r="I9" s="122" t="s">
        <v>168</v>
      </c>
      <c r="J9" s="122">
        <v>7</v>
      </c>
      <c r="K9" s="123">
        <v>8</v>
      </c>
      <c r="L9" s="124">
        <f>SUMIFS($E$6:$E$15,$B$6:$B$15,J9)+SUMIFS($E$6:$E$15,$B$6:$B$15,K9)</f>
        <v>180000</v>
      </c>
      <c r="M9" s="110">
        <f>SUMIFS($F$6:$F$15,$B$6:$B$15,J9)+SUMIFS($F$6:$F$15,$B$6:$B$15,K9)</f>
        <v>215500</v>
      </c>
      <c r="N9" s="121">
        <f>(SUMIFS($E$6:$E$15,$B$6:$B$15,J9)*SUMIFS($C$6:$C$15,$B$6:$B$15,J9)+SUMIFS($E$6:$E$15,$B$6:$B$15,K9)*SUMIFS($C$6:$C$15,$B$6:$B$15,K9))/(SUMIFS($E$6:$E$15,$B$6:$B$15,J9)+SUMIFS($E$6:$E$15,$B$6:$B$15,K9))</f>
        <v>1.0777777777777777</v>
      </c>
      <c r="O9" s="125">
        <f>(SUMIFS($E$6:$E$15,$B$6:$B$15,J9)*SUMIFS($D$6:$D$15,$B$6:$B$15,J9)+SUMIFS($E$6:$E$15,$B$6:$B$15,K9)*SUMIFS($D$6:$D$15,$B$6:$B$15,K9))/(SUMIFS($E$6:$E$15,$B$6:$B$15,J9)+SUMIFS($E$6:$E$15,$B$6:$B$15,K9))</f>
        <v>1.0644444444444445</v>
      </c>
      <c r="P9" s="121">
        <f>M9/L9</f>
        <v>1.1972222222222222</v>
      </c>
      <c r="Q9" s="394">
        <f>M9/(N9*L9)</f>
        <v>1.1108247422680413</v>
      </c>
      <c r="R9" s="384">
        <f>M9/(O9*L9)</f>
        <v>1.1247390396659707</v>
      </c>
      <c r="S9" s="121"/>
      <c r="T9" s="121"/>
    </row>
    <row r="10" spans="1:20" x14ac:dyDescent="0.25">
      <c r="A10" s="10"/>
      <c r="B10" s="48">
        <v>5</v>
      </c>
      <c r="C10" s="147">
        <v>1</v>
      </c>
      <c r="D10" s="147">
        <v>0.97</v>
      </c>
      <c r="E10" s="149">
        <v>100000</v>
      </c>
      <c r="F10" s="149">
        <v>97000</v>
      </c>
      <c r="G10" s="150"/>
      <c r="H10" s="3"/>
      <c r="I10" s="126" t="s">
        <v>169</v>
      </c>
      <c r="J10" s="126">
        <v>9</v>
      </c>
      <c r="K10" s="127">
        <v>10</v>
      </c>
      <c r="L10" s="128">
        <f>SUMIFS($E$6:$E$15,$B$6:$B$15,J10)+SUMIFS($E$6:$E$15,$B$6:$B$15,K10)</f>
        <v>180000</v>
      </c>
      <c r="M10" s="111">
        <f>SUMIFS($F$6:$F$15,$B$6:$B$15,J10)+SUMIFS($F$6:$F$15,$B$6:$B$15,K10)</f>
        <v>225000</v>
      </c>
      <c r="N10" s="129">
        <f>(SUMIFS($E$6:$E$15,$B$6:$B$15,J10)*SUMIFS($C$6:$C$15,$B$6:$B$15,J10)+SUMIFS($E$6:$E$15,$B$6:$B$15,K10)*SUMIFS($C$6:$C$15,$B$6:$B$15,K10))/(SUMIFS($E$6:$E$15,$B$6:$B$15,J10)+SUMIFS($E$6:$E$15,$B$6:$B$15,K10))</f>
        <v>1.1622222222222223</v>
      </c>
      <c r="O10" s="130">
        <f>(SUMIFS($E$6:$E$15,$B$6:$B$15,J10)*SUMIFS($D$6:$D$15,$B$6:$B$15,J10)+SUMIFS($E$6:$E$15,$B$6:$B$15,K10)*SUMIFS($D$6:$D$15,$B$6:$B$15,K10))/(SUMIFS($E$6:$E$15,$B$6:$B$15,J10)+SUMIFS($E$6:$E$15,$B$6:$B$15,K10))</f>
        <v>1.0977777777777777</v>
      </c>
      <c r="P10" s="129">
        <f>M10/L10</f>
        <v>1.25</v>
      </c>
      <c r="Q10" s="395">
        <f>M10/(N10*L10)</f>
        <v>1.0755258126195029</v>
      </c>
      <c r="R10" s="396">
        <f>M10/(O10*L10)</f>
        <v>1.1386639676113359</v>
      </c>
      <c r="S10" s="121"/>
      <c r="T10" s="121"/>
    </row>
    <row r="11" spans="1:20" x14ac:dyDescent="0.25">
      <c r="A11" s="10"/>
      <c r="B11" s="48">
        <v>6</v>
      </c>
      <c r="C11" s="147">
        <v>1.03</v>
      </c>
      <c r="D11" s="147">
        <v>1.02</v>
      </c>
      <c r="E11" s="149">
        <v>80000</v>
      </c>
      <c r="F11" s="149">
        <v>102000</v>
      </c>
      <c r="G11" s="11"/>
      <c r="H11" s="3"/>
      <c r="M11" s="124"/>
    </row>
    <row r="12" spans="1:20" x14ac:dyDescent="0.25">
      <c r="A12" s="10"/>
      <c r="B12" s="48">
        <v>7</v>
      </c>
      <c r="C12" s="147">
        <v>1.06</v>
      </c>
      <c r="D12" s="147">
        <v>1.06</v>
      </c>
      <c r="E12" s="149">
        <v>100000</v>
      </c>
      <c r="F12" s="149">
        <v>107000</v>
      </c>
      <c r="G12" s="11"/>
      <c r="H12" s="3"/>
      <c r="I12" s="131" t="s">
        <v>180</v>
      </c>
      <c r="J12" s="132"/>
      <c r="K12" s="132"/>
      <c r="L12" s="132"/>
      <c r="M12" s="133"/>
      <c r="N12" s="132"/>
      <c r="O12" s="132"/>
      <c r="P12" s="134">
        <f>SUMPRODUCT(P6:P10,L6:L10)/SUM(L6:L10)</f>
        <v>1.0838888888888889</v>
      </c>
      <c r="Q12" s="134">
        <f>SUMPRODUCT(Q6:Q10,L6:L10)/SUM(L6:L10)</f>
        <v>1.116403014614229</v>
      </c>
      <c r="R12" s="135">
        <f>SUMPRODUCT(R6:R10,L6:L10)/SUM(L6:L10)</f>
        <v>1.1183022994013911</v>
      </c>
    </row>
    <row r="13" spans="1:20" x14ac:dyDescent="0.25">
      <c r="A13" s="10"/>
      <c r="B13" s="48">
        <v>8</v>
      </c>
      <c r="C13" s="147">
        <v>1.1000000000000001</v>
      </c>
      <c r="D13" s="147">
        <v>1.07</v>
      </c>
      <c r="E13" s="149">
        <v>80000</v>
      </c>
      <c r="F13" s="149">
        <v>108500</v>
      </c>
      <c r="G13" s="11"/>
      <c r="H13" s="3"/>
      <c r="M13" s="124"/>
    </row>
    <row r="14" spans="1:20" x14ac:dyDescent="0.25">
      <c r="A14" s="10"/>
      <c r="B14" s="48">
        <v>9</v>
      </c>
      <c r="C14" s="147">
        <v>1.1399999999999999</v>
      </c>
      <c r="D14" s="147">
        <v>1.08</v>
      </c>
      <c r="E14" s="149">
        <v>100000</v>
      </c>
      <c r="F14" s="149">
        <v>110000</v>
      </c>
      <c r="G14" s="11"/>
      <c r="H14" s="3"/>
      <c r="I14" s="3" t="s">
        <v>181</v>
      </c>
      <c r="M14" s="124"/>
    </row>
    <row r="15" spans="1:20" ht="18.75" x14ac:dyDescent="0.35">
      <c r="A15" s="10"/>
      <c r="B15" s="49">
        <v>10</v>
      </c>
      <c r="C15" s="49">
        <v>1.19</v>
      </c>
      <c r="D15" s="151">
        <v>1.1200000000000001</v>
      </c>
      <c r="E15" s="152">
        <v>80000</v>
      </c>
      <c r="F15" s="152">
        <v>115000</v>
      </c>
      <c r="G15" s="11"/>
      <c r="H15" s="3"/>
      <c r="I15" s="112" t="s">
        <v>167</v>
      </c>
      <c r="J15" s="137" t="s">
        <v>853</v>
      </c>
      <c r="K15" s="137" t="s">
        <v>852</v>
      </c>
      <c r="L15" s="138" t="s">
        <v>854</v>
      </c>
      <c r="M15" s="124"/>
      <c r="N15" s="109" t="s">
        <v>186</v>
      </c>
    </row>
    <row r="16" spans="1:20" x14ac:dyDescent="0.25">
      <c r="A16" s="10"/>
      <c r="B16" s="5"/>
      <c r="C16" s="5"/>
      <c r="D16" s="5"/>
      <c r="E16" s="5"/>
      <c r="F16" s="5"/>
      <c r="G16" s="11"/>
      <c r="H16" s="3"/>
      <c r="I16" s="208" t="s">
        <v>16</v>
      </c>
      <c r="J16" s="121">
        <f>(P6-$P$12)^2</f>
        <v>7.7469444444444438E-2</v>
      </c>
      <c r="K16" s="121">
        <f>(Q6-$Q$12)^2</f>
        <v>3.2189900316566822E-3</v>
      </c>
      <c r="L16" s="139">
        <f>(R6-$R$12)^2</f>
        <v>9.4859969250960695E-5</v>
      </c>
      <c r="N16" s="109" t="s">
        <v>187</v>
      </c>
    </row>
    <row r="17" spans="1:15" x14ac:dyDescent="0.25">
      <c r="A17" s="10"/>
      <c r="B17" s="5" t="s">
        <v>164</v>
      </c>
      <c r="C17" s="5"/>
      <c r="D17" s="5"/>
      <c r="E17" s="5"/>
      <c r="F17" s="5"/>
      <c r="G17" s="11"/>
      <c r="H17" s="3"/>
      <c r="I17" s="208" t="s">
        <v>17</v>
      </c>
      <c r="J17" s="121">
        <f>(P7-$P$12)^2</f>
        <v>5.1882716049382756E-4</v>
      </c>
      <c r="K17" s="121">
        <f>(Q7-$Q$12)^2</f>
        <v>2.2842009074563622E-4</v>
      </c>
      <c r="L17" s="139">
        <f>(R7-$R$12)^2</f>
        <v>1.6843433264661145E-4</v>
      </c>
    </row>
    <row r="18" spans="1:15" x14ac:dyDescent="0.25">
      <c r="A18" s="10"/>
      <c r="B18" s="5"/>
      <c r="C18" s="5"/>
      <c r="D18" s="5"/>
      <c r="E18" s="5"/>
      <c r="F18" s="5"/>
      <c r="G18" s="11"/>
      <c r="H18" s="3"/>
      <c r="I18" s="208" t="s">
        <v>18</v>
      </c>
      <c r="J18" s="121">
        <f>(P8-$P$12)^2</f>
        <v>4.6944444444444686E-4</v>
      </c>
      <c r="K18" s="121">
        <f>(Q8-$Q$12)^2</f>
        <v>6.448675615144309E-4</v>
      </c>
      <c r="L18" s="139">
        <f>(R8-$R$12)^2</f>
        <v>1.665109132937389E-5</v>
      </c>
    </row>
    <row r="19" spans="1:15" x14ac:dyDescent="0.25">
      <c r="A19" s="14" t="s">
        <v>2</v>
      </c>
      <c r="B19" s="5" t="s">
        <v>175</v>
      </c>
      <c r="C19" s="5"/>
      <c r="D19" s="5"/>
      <c r="E19" s="5"/>
      <c r="F19" s="5"/>
      <c r="G19" s="11"/>
      <c r="H19" s="3"/>
      <c r="I19" s="208" t="s">
        <v>168</v>
      </c>
      <c r="J19" s="121">
        <f>(P9-$P$12)^2</f>
        <v>1.2844444444444434E-2</v>
      </c>
      <c r="K19" s="121">
        <f>(Q9-$Q$12)^2</f>
        <v>3.1117122368242255E-5</v>
      </c>
      <c r="L19" s="139">
        <f>(R9-$R$12)^2</f>
        <v>4.1431625233659249E-5</v>
      </c>
    </row>
    <row r="20" spans="1:15" ht="15.75" thickBot="1" x14ac:dyDescent="0.3">
      <c r="A20" s="13">
        <f ca="1">INDEX('Point Grid'!$C$8:$I$27,MATCH($A$1,'Point Grid'!$A$8:$A$27,0),MATCH(A19,'Point Grid'!$C$7:$I$7,0))</f>
        <v>3</v>
      </c>
      <c r="B20" s="5" t="s">
        <v>177</v>
      </c>
      <c r="C20" s="5"/>
      <c r="D20" s="5"/>
      <c r="E20" s="5"/>
      <c r="F20" s="5"/>
      <c r="G20" s="11"/>
      <c r="H20" s="3"/>
      <c r="I20" s="209" t="s">
        <v>169</v>
      </c>
      <c r="J20" s="129">
        <f>(P10-$P$12)^2</f>
        <v>2.7592901234567896E-2</v>
      </c>
      <c r="K20" s="129">
        <f>(Q10-$Q$12)^2</f>
        <v>1.6709456429176402E-3</v>
      </c>
      <c r="L20" s="140">
        <f>(R10-$R$12)^2</f>
        <v>4.14597532291876E-4</v>
      </c>
    </row>
    <row r="21" spans="1:15" ht="15.75" thickBot="1" x14ac:dyDescent="0.3">
      <c r="A21" s="4">
        <v>3</v>
      </c>
      <c r="B21" s="5" t="s">
        <v>176</v>
      </c>
      <c r="C21" s="5"/>
      <c r="D21" s="5"/>
      <c r="E21" s="5"/>
      <c r="F21" s="5"/>
      <c r="G21" s="11"/>
      <c r="H21" s="3"/>
    </row>
    <row r="22" spans="1:15" x14ac:dyDescent="0.25">
      <c r="A22" s="10"/>
      <c r="B22" s="5"/>
      <c r="C22" s="5"/>
      <c r="D22" s="5"/>
      <c r="E22" s="5"/>
      <c r="F22" s="5"/>
      <c r="G22" s="11"/>
      <c r="H22" s="3"/>
      <c r="J22" s="136" t="s">
        <v>172</v>
      </c>
      <c r="K22" s="112" t="s">
        <v>183</v>
      </c>
      <c r="L22" s="138" t="s">
        <v>184</v>
      </c>
    </row>
    <row r="23" spans="1:15" x14ac:dyDescent="0.25">
      <c r="A23" s="14" t="s">
        <v>3</v>
      </c>
      <c r="B23" s="5" t="s">
        <v>178</v>
      </c>
      <c r="C23" s="5"/>
      <c r="D23" s="5"/>
      <c r="E23" s="5"/>
      <c r="F23" s="5"/>
      <c r="G23" s="11"/>
      <c r="H23" s="3"/>
      <c r="I23" s="112" t="s">
        <v>182</v>
      </c>
      <c r="J23" s="141">
        <f>SUM(J16:J20)/(COUNTA(I16:I20)-1)</f>
        <v>2.9723765432098762E-2</v>
      </c>
      <c r="K23" s="134">
        <f>SUM(K16:K20)/(COUNTA(I16:I20)-1)</f>
        <v>1.448585112300658E-3</v>
      </c>
      <c r="L23" s="135">
        <f>SUM(L16:L20)/(COUNTA(I16:I20)-1)</f>
        <v>1.8399363768812032E-4</v>
      </c>
    </row>
    <row r="24" spans="1:15" ht="15.75" thickBot="1" x14ac:dyDescent="0.3">
      <c r="A24" s="13">
        <f ca="1">INDEX('Point Grid'!$C$8:$I$27,MATCH($A$1,'Point Grid'!$A$8:$A$27,0),MATCH(A23,'Point Grid'!$C$7:$I$7,0))</f>
        <v>0.5</v>
      </c>
      <c r="B24" s="5"/>
      <c r="C24" s="5"/>
      <c r="D24" s="5"/>
      <c r="E24" s="5"/>
      <c r="F24" s="5"/>
      <c r="G24" s="11"/>
      <c r="H24" s="3"/>
    </row>
    <row r="25" spans="1:15" ht="15.75" thickBot="1" x14ac:dyDescent="0.3">
      <c r="A25" s="4">
        <v>0.5</v>
      </c>
      <c r="B25" s="5"/>
      <c r="C25" s="5"/>
      <c r="D25" s="5"/>
      <c r="E25" s="5"/>
      <c r="F25" s="5"/>
      <c r="G25" s="11"/>
      <c r="H25" s="3"/>
      <c r="J25" s="142" t="s">
        <v>158</v>
      </c>
      <c r="K25" s="142" t="s">
        <v>159</v>
      </c>
    </row>
    <row r="26" spans="1:15" ht="15.75" thickBot="1" x14ac:dyDescent="0.3">
      <c r="A26" s="15"/>
      <c r="B26" s="16"/>
      <c r="C26" s="16"/>
      <c r="D26" s="16"/>
      <c r="E26" s="16"/>
      <c r="F26" s="16"/>
      <c r="G26" s="17"/>
      <c r="H26" s="3"/>
      <c r="I26" s="143" t="s">
        <v>185</v>
      </c>
      <c r="J26" s="400">
        <f>K23/J23</f>
        <v>4.873491266137929E-2</v>
      </c>
      <c r="K26" s="400">
        <f>L23/J23</f>
        <v>6.1901187488656861E-3</v>
      </c>
    </row>
    <row r="27" spans="1:15" x14ac:dyDescent="0.25">
      <c r="A27"/>
      <c r="B27"/>
      <c r="C27"/>
      <c r="D27"/>
      <c r="E27"/>
      <c r="F27"/>
      <c r="G27"/>
      <c r="H27" s="3"/>
      <c r="N27" s="40" t="s">
        <v>158</v>
      </c>
      <c r="O27" s="40" t="s">
        <v>159</v>
      </c>
    </row>
    <row r="28" spans="1:15" x14ac:dyDescent="0.25">
      <c r="A28"/>
      <c r="B28"/>
      <c r="C28"/>
      <c r="D28"/>
      <c r="E28"/>
      <c r="F28"/>
      <c r="G28"/>
      <c r="H28" s="3"/>
      <c r="I28" s="3" t="s">
        <v>188</v>
      </c>
      <c r="N28" s="121">
        <f>MAX(Q6:Q10)-MIN(Q6:Q10)</f>
        <v>9.7613345956548914E-2</v>
      </c>
      <c r="O28" s="121">
        <f>MAX(R6:R10)-MIN(R6:R10)</f>
        <v>3.3339893537261744E-2</v>
      </c>
    </row>
    <row r="29" spans="1:15" x14ac:dyDescent="0.25">
      <c r="A29"/>
      <c r="B29"/>
      <c r="C29"/>
      <c r="D29"/>
      <c r="E29"/>
      <c r="F29"/>
      <c r="G29"/>
      <c r="H29" s="3"/>
    </row>
    <row r="30" spans="1:15" x14ac:dyDescent="0.25">
      <c r="A30"/>
      <c r="B30"/>
      <c r="C30"/>
      <c r="D30"/>
      <c r="E30"/>
      <c r="F30"/>
      <c r="G30"/>
      <c r="H30" s="3"/>
      <c r="I30" s="3" t="s">
        <v>189</v>
      </c>
    </row>
    <row r="31" spans="1:15" x14ac:dyDescent="0.25">
      <c r="A31"/>
      <c r="B31"/>
      <c r="C31"/>
      <c r="D31"/>
      <c r="E31"/>
      <c r="F31"/>
      <c r="G31"/>
      <c r="H31" s="3"/>
      <c r="I31" s="3" t="s">
        <v>190</v>
      </c>
    </row>
    <row r="32" spans="1:15" x14ac:dyDescent="0.25">
      <c r="A32"/>
      <c r="B32"/>
      <c r="C32"/>
      <c r="D32"/>
      <c r="E32"/>
      <c r="F32"/>
      <c r="G32"/>
      <c r="H32" s="3"/>
    </row>
    <row r="33" spans="1:9" x14ac:dyDescent="0.25">
      <c r="A33"/>
      <c r="B33"/>
      <c r="C33"/>
      <c r="D33"/>
      <c r="E33"/>
      <c r="F33"/>
      <c r="G33"/>
      <c r="I33" s="3" t="s">
        <v>191</v>
      </c>
    </row>
    <row r="34" spans="1:9" x14ac:dyDescent="0.25">
      <c r="A34"/>
      <c r="B34"/>
      <c r="C34"/>
      <c r="D34"/>
      <c r="E34"/>
      <c r="F34"/>
      <c r="G34"/>
    </row>
    <row r="35" spans="1:9" x14ac:dyDescent="0.25">
      <c r="A35"/>
      <c r="B35"/>
      <c r="C35"/>
      <c r="D35"/>
      <c r="E35"/>
      <c r="F35"/>
      <c r="G35"/>
      <c r="H35" s="40" t="s">
        <v>618</v>
      </c>
      <c r="I35" s="3" t="s">
        <v>192</v>
      </c>
    </row>
    <row r="36" spans="1:9" x14ac:dyDescent="0.25">
      <c r="A36"/>
      <c r="B36"/>
      <c r="C36"/>
      <c r="D36"/>
      <c r="E36"/>
      <c r="F36"/>
      <c r="G36"/>
    </row>
    <row r="37" spans="1:9" x14ac:dyDescent="0.25">
      <c r="A37"/>
      <c r="B37"/>
      <c r="C37"/>
      <c r="D37"/>
      <c r="E37"/>
      <c r="F37"/>
      <c r="G37"/>
    </row>
    <row r="38" spans="1:9" x14ac:dyDescent="0.25">
      <c r="A38"/>
      <c r="B38"/>
      <c r="C38"/>
      <c r="D38"/>
      <c r="E38"/>
      <c r="F38"/>
      <c r="G38"/>
    </row>
    <row r="39" spans="1:9" x14ac:dyDescent="0.25">
      <c r="A39"/>
      <c r="B39"/>
      <c r="C39"/>
      <c r="D39"/>
      <c r="E39"/>
      <c r="F39"/>
      <c r="G39"/>
    </row>
  </sheetData>
  <sheetProtection formatCells="0" formatColumns="0" formatRows="0"/>
  <sortState xmlns:xlrd2="http://schemas.microsoft.com/office/spreadsheetml/2017/richdata2" ref="I34:I49">
    <sortCondition ref="I34:I49"/>
  </sortState>
  <mergeCells count="1">
    <mergeCell ref="F1:G1"/>
  </mergeCells>
  <conditionalFormatting sqref="B1:D1">
    <cfRule type="cellIs" dxfId="41" priority="1" operator="equal">
      <formula>"Incomplete"</formula>
    </cfRule>
    <cfRule type="cellIs" dxfId="40" priority="2" operator="equal">
      <formula>"Flag for Review"</formula>
    </cfRule>
    <cfRule type="cellIs" dxfId="39" priority="3" operator="equal">
      <formula>"Finished"</formula>
    </cfRule>
  </conditionalFormatting>
  <dataValidations count="2">
    <dataValidation type="decimal" allowBlank="1" showInputMessage="1" showErrorMessage="1" sqref="A21 A25" xr:uid="{3D6138EB-1F11-482F-91AD-929986C48A70}">
      <formula1>0</formula1>
      <formula2>A20</formula2>
    </dataValidation>
    <dataValidation type="list" allowBlank="1" showInputMessage="1" showErrorMessage="1" sqref="B1:D1" xr:uid="{E30F0E99-54A8-47AE-BF7C-220709EDA985}">
      <formula1>"Finished, Flag for Review, Incomplete"</formula1>
    </dataValidation>
  </dataValidations>
  <hyperlinks>
    <hyperlink ref="F1" location="Navigator!A1" display="Navigator" xr:uid="{6FCEEC6F-9F77-43D4-81A1-1A79217BECF5}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31AB0-FD86-41DA-A15C-B457059CF58A}">
  <sheetPr codeName="Sheet11"/>
  <dimension ref="A1:I53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6" style="3" bestFit="1" customWidth="1"/>
    <col min="3" max="3" width="10.5703125" style="3" bestFit="1" customWidth="1"/>
    <col min="4" max="4" width="15.140625" style="3" bestFit="1" customWidth="1"/>
    <col min="5" max="5" width="16.28515625" style="3" bestFit="1" customWidth="1"/>
    <col min="6" max="6" width="8.28515625" style="3" customWidth="1"/>
    <col min="7" max="7" width="10.28515625" style="3" customWidth="1"/>
    <col min="8" max="8" width="3.7109375" style="40" customWidth="1"/>
    <col min="9" max="9" width="9.140625" style="3"/>
    <col min="10" max="10" width="11.28515625" style="3" bestFit="1" customWidth="1"/>
    <col min="11" max="16384" width="9.140625" style="3"/>
  </cols>
  <sheetData>
    <row r="1" spans="1:9" ht="15.75" x14ac:dyDescent="0.25">
      <c r="A1" s="8">
        <f ca="1">VALUE(MID(CELL("filename",A1),FIND("]",CELL("filename",A1))+1,LEN(CELL("filename",A1))-FIND("]",CELL("filename",A1))+1))</f>
        <v>9</v>
      </c>
      <c r="B1" s="57" t="s">
        <v>604</v>
      </c>
      <c r="C1" s="9"/>
      <c r="D1" s="9"/>
      <c r="E1" s="9"/>
      <c r="F1" s="418" t="s">
        <v>41</v>
      </c>
      <c r="G1" s="419"/>
      <c r="I1" s="58" t="s">
        <v>31</v>
      </c>
    </row>
    <row r="2" spans="1:9" x14ac:dyDescent="0.25">
      <c r="A2" s="10"/>
      <c r="B2" s="5"/>
      <c r="C2" s="5"/>
      <c r="D2" s="5"/>
      <c r="E2" s="5"/>
      <c r="F2" s="5"/>
      <c r="G2" s="11"/>
      <c r="H2" s="3" t="s">
        <v>605</v>
      </c>
      <c r="I2" s="3" t="s">
        <v>205</v>
      </c>
    </row>
    <row r="3" spans="1:9" x14ac:dyDescent="0.25">
      <c r="A3" s="12" t="s">
        <v>14</v>
      </c>
      <c r="B3" s="5"/>
      <c r="C3" s="5"/>
      <c r="D3" s="5"/>
      <c r="E3" s="5"/>
      <c r="F3" s="5"/>
      <c r="G3" s="11"/>
      <c r="H3" s="3"/>
      <c r="I3" s="3" t="s">
        <v>206</v>
      </c>
    </row>
    <row r="4" spans="1:9" x14ac:dyDescent="0.25">
      <c r="A4" s="13">
        <f ca="1">INDEX('Point Grid'!B:B,MATCH('9'!A1,'Point Grid'!A:A,0))</f>
        <v>3.5</v>
      </c>
      <c r="B4" s="5"/>
      <c r="C4" s="5"/>
      <c r="D4" s="5"/>
      <c r="E4" s="5"/>
      <c r="F4" s="5"/>
      <c r="G4" s="11"/>
      <c r="H4" s="3"/>
      <c r="I4" s="3" t="s">
        <v>207</v>
      </c>
    </row>
    <row r="5" spans="1:9" x14ac:dyDescent="0.25">
      <c r="A5" s="10"/>
      <c r="B5" s="5"/>
      <c r="C5" s="5"/>
      <c r="D5" s="5"/>
      <c r="E5" s="5"/>
      <c r="F5" s="5"/>
      <c r="G5" s="11"/>
      <c r="H5" s="3"/>
    </row>
    <row r="6" spans="1:9" x14ac:dyDescent="0.25">
      <c r="A6" s="14" t="s">
        <v>2</v>
      </c>
      <c r="B6" s="5" t="s">
        <v>193</v>
      </c>
      <c r="C6" s="5"/>
      <c r="D6" s="5"/>
      <c r="E6" s="5"/>
      <c r="F6" s="5"/>
      <c r="G6" s="11"/>
      <c r="H6" s="3" t="s">
        <v>618</v>
      </c>
      <c r="I6" s="3" t="s">
        <v>208</v>
      </c>
    </row>
    <row r="7" spans="1:9" ht="15.75" thickBot="1" x14ac:dyDescent="0.3">
      <c r="A7" s="13">
        <f ca="1">INDEX('Point Grid'!$C$8:$I$27,MATCH($A$1,'Point Grid'!$A$8:$A$27,0),MATCH(A6,'Point Grid'!$C$7:$I$7,0))</f>
        <v>1</v>
      </c>
      <c r="B7" s="5"/>
      <c r="C7" s="5"/>
      <c r="D7" s="5"/>
      <c r="E7" s="5"/>
      <c r="F7" s="5"/>
      <c r="G7" s="11"/>
      <c r="H7" s="3"/>
      <c r="I7" s="3" t="s">
        <v>209</v>
      </c>
    </row>
    <row r="8" spans="1:9" ht="15.75" thickBot="1" x14ac:dyDescent="0.3">
      <c r="A8" s="4">
        <v>1</v>
      </c>
      <c r="B8" s="5"/>
      <c r="C8" s="5"/>
      <c r="D8" s="5"/>
      <c r="E8" s="5"/>
      <c r="F8" s="5"/>
      <c r="G8" s="11"/>
      <c r="H8" s="3"/>
      <c r="I8" s="3" t="s">
        <v>211</v>
      </c>
    </row>
    <row r="9" spans="1:9" x14ac:dyDescent="0.25">
      <c r="A9" s="10"/>
      <c r="B9" s="5"/>
      <c r="C9" s="5"/>
      <c r="D9" s="5"/>
      <c r="E9" s="5"/>
      <c r="F9" s="5"/>
      <c r="G9" s="11"/>
      <c r="H9" s="3"/>
      <c r="I9" s="3" t="s">
        <v>210</v>
      </c>
    </row>
    <row r="10" spans="1:9" x14ac:dyDescent="0.25">
      <c r="A10" s="14" t="s">
        <v>3</v>
      </c>
      <c r="B10" s="5" t="s">
        <v>201</v>
      </c>
      <c r="C10" s="5"/>
      <c r="D10" s="5"/>
      <c r="E10" s="5"/>
      <c r="F10" s="5"/>
      <c r="G10" s="11"/>
      <c r="H10" s="3"/>
      <c r="I10" s="3" t="s">
        <v>212</v>
      </c>
    </row>
    <row r="11" spans="1:9" ht="15.75" thickBot="1" x14ac:dyDescent="0.3">
      <c r="A11" s="13">
        <f ca="1">INDEX('Point Grid'!$C$8:$I$27,MATCH($A$1,'Point Grid'!$A$8:$A$27,0),MATCH(A10,'Point Grid'!$C$7:$I$7,0))</f>
        <v>1</v>
      </c>
      <c r="B11" s="5"/>
      <c r="C11" s="5"/>
      <c r="D11" s="5"/>
      <c r="E11" s="5"/>
      <c r="F11" s="5"/>
      <c r="G11" s="11"/>
      <c r="H11" s="3"/>
      <c r="I11" s="3" t="s">
        <v>213</v>
      </c>
    </row>
    <row r="12" spans="1:9" ht="15.75" thickBot="1" x14ac:dyDescent="0.3">
      <c r="A12" s="4">
        <v>1</v>
      </c>
      <c r="B12" s="5"/>
      <c r="C12" s="55" t="s">
        <v>194</v>
      </c>
      <c r="D12" s="54" t="s">
        <v>195</v>
      </c>
      <c r="E12" s="59" t="s">
        <v>171</v>
      </c>
      <c r="F12" s="5"/>
      <c r="G12" s="11"/>
      <c r="H12" s="3"/>
    </row>
    <row r="13" spans="1:9" x14ac:dyDescent="0.25">
      <c r="A13" s="10"/>
      <c r="B13" s="5"/>
      <c r="C13" s="153">
        <v>2017</v>
      </c>
      <c r="D13" s="148">
        <v>1000000</v>
      </c>
      <c r="E13" s="154">
        <v>500000</v>
      </c>
      <c r="F13" s="5"/>
      <c r="G13" s="11"/>
      <c r="H13" s="3" t="s">
        <v>658</v>
      </c>
      <c r="I13" s="3" t="s">
        <v>673</v>
      </c>
    </row>
    <row r="14" spans="1:9" x14ac:dyDescent="0.25">
      <c r="A14" s="10"/>
      <c r="B14" s="5"/>
      <c r="C14" s="47">
        <v>2018</v>
      </c>
      <c r="D14" s="149">
        <v>1100000</v>
      </c>
      <c r="E14" s="77">
        <v>800000</v>
      </c>
      <c r="F14" s="5"/>
      <c r="G14" s="11"/>
      <c r="H14" s="3"/>
      <c r="I14" s="3" t="s">
        <v>215</v>
      </c>
    </row>
    <row r="15" spans="1:9" x14ac:dyDescent="0.25">
      <c r="A15" s="10"/>
      <c r="B15" s="5"/>
      <c r="C15" s="46">
        <v>2019</v>
      </c>
      <c r="D15" s="152">
        <v>1400000</v>
      </c>
      <c r="E15" s="155">
        <v>1200000</v>
      </c>
      <c r="F15" s="5"/>
      <c r="G15" s="11"/>
      <c r="H15" s="3"/>
    </row>
    <row r="16" spans="1:9" x14ac:dyDescent="0.25">
      <c r="A16" s="10"/>
      <c r="B16" s="5"/>
      <c r="C16" s="5"/>
      <c r="D16" s="5"/>
      <c r="E16" s="5"/>
      <c r="F16" s="5"/>
      <c r="G16" s="11"/>
      <c r="H16" s="3"/>
      <c r="I16" s="3" t="s">
        <v>674</v>
      </c>
    </row>
    <row r="17" spans="1:9" x14ac:dyDescent="0.25">
      <c r="A17" s="10"/>
      <c r="B17" s="5" t="s">
        <v>196</v>
      </c>
      <c r="C17" s="5"/>
      <c r="D17" s="5"/>
      <c r="E17" s="5"/>
      <c r="F17" s="5"/>
      <c r="G17" s="11"/>
      <c r="H17" s="3"/>
      <c r="I17" s="3" t="s">
        <v>216</v>
      </c>
    </row>
    <row r="18" spans="1:9" x14ac:dyDescent="0.25">
      <c r="A18" s="10"/>
      <c r="B18" s="5" t="s">
        <v>197</v>
      </c>
      <c r="C18" s="5"/>
      <c r="D18" s="5"/>
      <c r="E18" s="5"/>
      <c r="F18" s="5"/>
      <c r="G18" s="11"/>
      <c r="H18" s="3"/>
    </row>
    <row r="19" spans="1:9" x14ac:dyDescent="0.25">
      <c r="A19" s="10"/>
      <c r="B19" s="5"/>
      <c r="C19" s="5"/>
      <c r="D19" s="5"/>
      <c r="E19" s="5"/>
      <c r="F19" s="5"/>
      <c r="G19" s="11"/>
      <c r="H19" s="3"/>
      <c r="I19" s="3" t="s">
        <v>675</v>
      </c>
    </row>
    <row r="20" spans="1:9" x14ac:dyDescent="0.25">
      <c r="A20" s="10"/>
      <c r="B20" s="148">
        <v>1100000</v>
      </c>
      <c r="C20" s="63" t="s">
        <v>198</v>
      </c>
      <c r="D20" s="169"/>
      <c r="E20" s="195"/>
      <c r="F20" s="5"/>
      <c r="G20" s="11"/>
      <c r="H20" s="3"/>
      <c r="I20" s="3" t="s">
        <v>218</v>
      </c>
    </row>
    <row r="21" spans="1:9" x14ac:dyDescent="0.25">
      <c r="A21" s="10"/>
      <c r="B21" s="49">
        <v>1.25</v>
      </c>
      <c r="C21" s="67" t="s">
        <v>199</v>
      </c>
      <c r="D21" s="69"/>
      <c r="E21" s="167"/>
      <c r="F21" s="5"/>
      <c r="G21" s="11"/>
      <c r="H21" s="3"/>
      <c r="I21" s="3" t="s">
        <v>219</v>
      </c>
    </row>
    <row r="22" spans="1:9" x14ac:dyDescent="0.25">
      <c r="A22" s="10"/>
      <c r="B22" s="5"/>
      <c r="C22" s="5"/>
      <c r="D22" s="5"/>
      <c r="E22" s="5"/>
      <c r="F22" s="5"/>
      <c r="G22" s="11"/>
      <c r="H22" s="3"/>
    </row>
    <row r="23" spans="1:9" x14ac:dyDescent="0.25">
      <c r="A23" s="10"/>
      <c r="B23" s="5" t="s">
        <v>200</v>
      </c>
      <c r="C23" s="5"/>
      <c r="D23" s="5"/>
      <c r="E23" s="5"/>
      <c r="F23" s="5"/>
      <c r="G23" s="11"/>
      <c r="H23" s="3"/>
    </row>
    <row r="24" spans="1:9" x14ac:dyDescent="0.25">
      <c r="A24" s="10"/>
      <c r="B24" s="5"/>
      <c r="C24" s="5"/>
      <c r="D24" s="5"/>
      <c r="E24" s="5"/>
      <c r="F24" s="5"/>
      <c r="G24" s="11"/>
      <c r="H24" s="3"/>
    </row>
    <row r="25" spans="1:9" x14ac:dyDescent="0.25">
      <c r="A25" s="14" t="s">
        <v>4</v>
      </c>
      <c r="B25" s="5" t="s">
        <v>202</v>
      </c>
      <c r="C25" s="5"/>
      <c r="D25" s="5"/>
      <c r="E25" s="5"/>
      <c r="F25" s="5"/>
      <c r="G25" s="11"/>
      <c r="H25" s="3"/>
    </row>
    <row r="26" spans="1:9" ht="15.75" thickBot="1" x14ac:dyDescent="0.3">
      <c r="A26" s="13">
        <f ca="1">INDEX('Point Grid'!$C$8:$I$27,MATCH($A$1,'Point Grid'!$A$8:$A$27,0),MATCH(A25,'Point Grid'!$C$7:$I$7,0))</f>
        <v>1.5</v>
      </c>
      <c r="B26" s="5" t="s">
        <v>203</v>
      </c>
      <c r="C26" s="5"/>
      <c r="D26" s="5"/>
      <c r="E26" s="5"/>
      <c r="F26" s="5"/>
      <c r="G26" s="11"/>
      <c r="H26" s="3"/>
    </row>
    <row r="27" spans="1:9" ht="15.75" thickBot="1" x14ac:dyDescent="0.3">
      <c r="A27" s="4">
        <v>1.5</v>
      </c>
      <c r="B27" s="5" t="s">
        <v>204</v>
      </c>
      <c r="C27" s="5"/>
      <c r="D27" s="5"/>
      <c r="E27" s="5"/>
      <c r="F27" s="5"/>
      <c r="G27" s="11"/>
      <c r="H27" s="3"/>
    </row>
    <row r="28" spans="1:9" x14ac:dyDescent="0.25">
      <c r="A28" s="10"/>
      <c r="B28" s="5" t="s">
        <v>214</v>
      </c>
      <c r="C28" s="5"/>
      <c r="D28" s="5"/>
      <c r="E28" s="5"/>
      <c r="F28" s="5"/>
      <c r="G28" s="11"/>
      <c r="H28" s="3"/>
    </row>
    <row r="29" spans="1:9" ht="15.75" thickBot="1" x14ac:dyDescent="0.3">
      <c r="A29" s="15"/>
      <c r="B29" s="16" t="s">
        <v>217</v>
      </c>
      <c r="C29" s="16"/>
      <c r="D29" s="16"/>
      <c r="E29" s="16"/>
      <c r="F29" s="16"/>
      <c r="G29" s="17"/>
      <c r="H29" s="3"/>
    </row>
    <row r="30" spans="1:9" x14ac:dyDescent="0.25">
      <c r="H30" s="3"/>
    </row>
    <row r="31" spans="1:9" x14ac:dyDescent="0.25">
      <c r="H31" s="3"/>
    </row>
    <row r="32" spans="1:9" x14ac:dyDescent="0.25">
      <c r="H32" s="3"/>
    </row>
    <row r="33" spans="8:8" x14ac:dyDescent="0.25">
      <c r="H33" s="3"/>
    </row>
    <row r="34" spans="8:8" x14ac:dyDescent="0.25">
      <c r="H34" s="3"/>
    </row>
    <row r="35" spans="8:8" x14ac:dyDescent="0.25">
      <c r="H35" s="3"/>
    </row>
    <row r="36" spans="8:8" x14ac:dyDescent="0.25">
      <c r="H36" s="3"/>
    </row>
    <row r="37" spans="8:8" x14ac:dyDescent="0.25">
      <c r="H37" s="3"/>
    </row>
    <row r="38" spans="8:8" x14ac:dyDescent="0.25">
      <c r="H38" s="3"/>
    </row>
    <row r="39" spans="8:8" x14ac:dyDescent="0.25">
      <c r="H39" s="3"/>
    </row>
    <row r="40" spans="8:8" x14ac:dyDescent="0.25">
      <c r="H40" s="3"/>
    </row>
    <row r="41" spans="8:8" x14ac:dyDescent="0.25">
      <c r="H41" s="3"/>
    </row>
    <row r="42" spans="8:8" x14ac:dyDescent="0.25">
      <c r="H42" s="3"/>
    </row>
    <row r="43" spans="8:8" x14ac:dyDescent="0.25">
      <c r="H43" s="3"/>
    </row>
    <row r="44" spans="8:8" x14ac:dyDescent="0.25">
      <c r="H44" s="3"/>
    </row>
    <row r="45" spans="8:8" x14ac:dyDescent="0.25">
      <c r="H45" s="3"/>
    </row>
    <row r="46" spans="8:8" x14ac:dyDescent="0.25">
      <c r="H46" s="3"/>
    </row>
    <row r="47" spans="8:8" x14ac:dyDescent="0.25">
      <c r="H47" s="3"/>
    </row>
    <row r="48" spans="8:8" x14ac:dyDescent="0.25">
      <c r="H48" s="3"/>
    </row>
    <row r="49" spans="8:8" x14ac:dyDescent="0.25">
      <c r="H49" s="3"/>
    </row>
    <row r="50" spans="8:8" x14ac:dyDescent="0.25">
      <c r="H50" s="3"/>
    </row>
    <row r="51" spans="8:8" x14ac:dyDescent="0.25">
      <c r="H51" s="3"/>
    </row>
    <row r="52" spans="8:8" x14ac:dyDescent="0.25">
      <c r="H52" s="3"/>
    </row>
    <row r="53" spans="8:8" x14ac:dyDescent="0.25">
      <c r="H53" s="3"/>
    </row>
  </sheetData>
  <sheetProtection formatCells="0" formatColumns="0" formatRows="0"/>
  <mergeCells count="1">
    <mergeCell ref="F1:G1"/>
  </mergeCells>
  <conditionalFormatting sqref="B1">
    <cfRule type="cellIs" dxfId="38" priority="1" operator="equal">
      <formula>"Incomplete"</formula>
    </cfRule>
    <cfRule type="cellIs" dxfId="37" priority="2" operator="equal">
      <formula>"Flag for Review"</formula>
    </cfRule>
    <cfRule type="cellIs" dxfId="36" priority="3" operator="equal">
      <formula>"Finished"</formula>
    </cfRule>
  </conditionalFormatting>
  <dataValidations count="2">
    <dataValidation type="list" allowBlank="1" showInputMessage="1" showErrorMessage="1" sqref="B1" xr:uid="{F50A7077-1A09-4AD9-939E-AAE5D6C84BCE}">
      <formula1>"Finished, Flag for Review, Incomplete"</formula1>
    </dataValidation>
    <dataValidation type="decimal" allowBlank="1" showInputMessage="1" showErrorMessage="1" sqref="A8 A12 A27" xr:uid="{0CF7D773-6A07-4ED4-A837-E189BA911836}">
      <formula1>0</formula1>
      <formula2>A7</formula2>
    </dataValidation>
  </dataValidations>
  <hyperlinks>
    <hyperlink ref="F1" location="Navigator!A1" display="Navigator" xr:uid="{68DFC005-F91A-4120-B1D3-9DEF6C1B61EA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21F744-9DAC-4963-AC89-314235426E2E}">
  <sheetPr codeName="Sheet12"/>
  <dimension ref="A1:O67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9.42578125" style="3" customWidth="1"/>
    <col min="3" max="3" width="17.5703125" style="3" customWidth="1"/>
    <col min="4" max="4" width="14.42578125" style="3" customWidth="1"/>
    <col min="5" max="5" width="13.7109375" style="3" bestFit="1" customWidth="1"/>
    <col min="6" max="6" width="11" style="3" bestFit="1" customWidth="1"/>
    <col min="7" max="7" width="12.42578125" style="3" customWidth="1"/>
    <col min="8" max="8" width="6.140625" style="3" customWidth="1"/>
    <col min="9" max="9" width="3.7109375" style="40" customWidth="1"/>
    <col min="10" max="10" width="13.85546875" style="3" customWidth="1"/>
    <col min="11" max="13" width="9.140625" style="3"/>
    <col min="14" max="14" width="10.42578125" style="3" customWidth="1"/>
    <col min="15" max="16384" width="9.140625" style="3"/>
  </cols>
  <sheetData>
    <row r="1" spans="1:12" ht="15.75" x14ac:dyDescent="0.25">
      <c r="A1" s="8">
        <f ca="1">VALUE(MID(CELL("filename",A1),FIND("]",CELL("filename",A1))+1,LEN(CELL("filename",A1))-FIND("]",CELL("filename",A1))+1))</f>
        <v>10</v>
      </c>
      <c r="B1" s="57" t="s">
        <v>604</v>
      </c>
      <c r="C1" s="9"/>
      <c r="D1" s="9"/>
      <c r="E1" s="9"/>
      <c r="F1" s="9"/>
      <c r="G1" s="418" t="s">
        <v>41</v>
      </c>
      <c r="H1" s="419"/>
      <c r="J1" s="58" t="s">
        <v>31</v>
      </c>
    </row>
    <row r="2" spans="1:12" x14ac:dyDescent="0.25">
      <c r="A2" s="10"/>
      <c r="B2" s="5"/>
      <c r="C2" s="5"/>
      <c r="D2" s="5"/>
      <c r="E2" s="5"/>
      <c r="F2" s="5"/>
      <c r="G2" s="5"/>
      <c r="H2" s="11"/>
      <c r="I2" s="40" t="s">
        <v>605</v>
      </c>
      <c r="J2" s="3" t="s">
        <v>245</v>
      </c>
    </row>
    <row r="3" spans="1:12" x14ac:dyDescent="0.25">
      <c r="A3" s="12" t="s">
        <v>14</v>
      </c>
      <c r="B3" s="5" t="s">
        <v>220</v>
      </c>
      <c r="C3" s="5"/>
      <c r="D3" s="5"/>
      <c r="E3" s="5"/>
      <c r="F3" s="5"/>
      <c r="G3" s="5"/>
      <c r="H3" s="11"/>
      <c r="J3" s="3" t="s">
        <v>247</v>
      </c>
    </row>
    <row r="4" spans="1:12" x14ac:dyDescent="0.25">
      <c r="A4" s="13">
        <f ca="1">INDEX('Point Grid'!B:B,MATCH('10'!A1,'Point Grid'!A:A,0))</f>
        <v>5.5</v>
      </c>
      <c r="B4" s="5" t="s">
        <v>221</v>
      </c>
      <c r="C4" s="5"/>
      <c r="D4" s="5"/>
      <c r="E4" s="5"/>
      <c r="F4" s="5"/>
      <c r="G4" s="5"/>
      <c r="H4" s="11"/>
      <c r="J4" s="3" t="s">
        <v>246</v>
      </c>
    </row>
    <row r="5" spans="1:12" x14ac:dyDescent="0.25">
      <c r="A5" s="10"/>
      <c r="B5" s="5"/>
      <c r="C5" s="5"/>
      <c r="D5" s="5"/>
      <c r="E5" s="5"/>
      <c r="F5" s="5"/>
      <c r="G5" s="5"/>
      <c r="H5" s="11"/>
    </row>
    <row r="6" spans="1:12" x14ac:dyDescent="0.25">
      <c r="A6" s="10"/>
      <c r="B6" s="64" t="s">
        <v>222</v>
      </c>
      <c r="C6" s="64" t="s">
        <v>223</v>
      </c>
      <c r="D6" s="73" t="s">
        <v>224</v>
      </c>
      <c r="E6" s="75"/>
      <c r="F6" s="5"/>
      <c r="G6" s="5"/>
      <c r="H6" s="11"/>
      <c r="J6" s="158" t="s">
        <v>227</v>
      </c>
      <c r="K6" s="158" t="s">
        <v>248</v>
      </c>
      <c r="L6" s="158" t="s">
        <v>249</v>
      </c>
    </row>
    <row r="7" spans="1:12" x14ac:dyDescent="0.25">
      <c r="A7" s="10"/>
      <c r="B7" s="49"/>
      <c r="C7" s="160"/>
      <c r="D7" s="54" t="s">
        <v>225</v>
      </c>
      <c r="E7" s="54" t="s">
        <v>226</v>
      </c>
      <c r="F7" s="5"/>
      <c r="G7" s="5"/>
      <c r="H7" s="11"/>
      <c r="J7" s="142" t="s">
        <v>16</v>
      </c>
      <c r="K7" s="397">
        <f>SUM(D9:D10)</f>
        <v>11500</v>
      </c>
      <c r="L7" s="397">
        <f>AVERAGE(D9:D11)</f>
        <v>5333.333333333333</v>
      </c>
    </row>
    <row r="8" spans="1:12" x14ac:dyDescent="0.25">
      <c r="A8" s="10"/>
      <c r="B8" s="161">
        <v>44562</v>
      </c>
      <c r="C8" s="48">
        <v>12</v>
      </c>
      <c r="D8" s="149">
        <v>4500</v>
      </c>
      <c r="E8" s="149">
        <v>3000</v>
      </c>
      <c r="F8" s="5"/>
      <c r="G8" s="5"/>
      <c r="H8" s="11"/>
      <c r="J8" s="209" t="s">
        <v>17</v>
      </c>
      <c r="K8" s="398">
        <f>SUM(E9:E10)</f>
        <v>10000</v>
      </c>
      <c r="L8" s="398">
        <f>AVERAGE(E9:E11)</f>
        <v>5666.666666666667</v>
      </c>
    </row>
    <row r="9" spans="1:12" x14ac:dyDescent="0.25">
      <c r="A9" s="10"/>
      <c r="B9" s="161">
        <v>44197</v>
      </c>
      <c r="C9" s="48">
        <v>12</v>
      </c>
      <c r="D9" s="149">
        <v>6000</v>
      </c>
      <c r="E9" s="149">
        <v>5000</v>
      </c>
      <c r="F9" s="5"/>
      <c r="G9" s="5"/>
      <c r="H9" s="11"/>
    </row>
    <row r="10" spans="1:12" x14ac:dyDescent="0.25">
      <c r="A10" s="10"/>
      <c r="B10" s="161">
        <v>43831</v>
      </c>
      <c r="C10" s="48">
        <v>12</v>
      </c>
      <c r="D10" s="149">
        <v>5500</v>
      </c>
      <c r="E10" s="149">
        <v>5000</v>
      </c>
      <c r="F10" s="5"/>
      <c r="G10" s="5"/>
      <c r="H10" s="11"/>
      <c r="J10" s="3" t="s">
        <v>250</v>
      </c>
    </row>
    <row r="11" spans="1:12" x14ac:dyDescent="0.25">
      <c r="A11" s="10"/>
      <c r="B11" s="161">
        <v>43466</v>
      </c>
      <c r="C11" s="48">
        <v>12</v>
      </c>
      <c r="D11" s="149">
        <v>4500</v>
      </c>
      <c r="E11" s="149">
        <v>7000</v>
      </c>
      <c r="F11" s="5"/>
      <c r="G11" s="5"/>
      <c r="H11" s="11"/>
      <c r="J11" s="3" t="s">
        <v>251</v>
      </c>
    </row>
    <row r="12" spans="1:12" x14ac:dyDescent="0.25">
      <c r="A12" s="10"/>
      <c r="B12" s="162">
        <v>43101</v>
      </c>
      <c r="C12" s="49">
        <v>12</v>
      </c>
      <c r="D12" s="152">
        <v>10000</v>
      </c>
      <c r="E12" s="152">
        <v>10000</v>
      </c>
      <c r="F12" s="5"/>
      <c r="G12" s="5"/>
      <c r="H12" s="11"/>
    </row>
    <row r="13" spans="1:12" x14ac:dyDescent="0.25">
      <c r="A13" s="10"/>
      <c r="B13" s="5"/>
      <c r="C13" s="5"/>
      <c r="D13" s="5"/>
      <c r="E13" s="5"/>
      <c r="F13" s="5"/>
      <c r="G13" s="5"/>
      <c r="H13" s="11"/>
      <c r="J13" s="3" t="s">
        <v>252</v>
      </c>
    </row>
    <row r="14" spans="1:12" x14ac:dyDescent="0.25">
      <c r="A14" s="10"/>
      <c r="B14" s="62" t="s">
        <v>258</v>
      </c>
      <c r="C14" s="163"/>
      <c r="D14" s="164">
        <v>19600</v>
      </c>
      <c r="E14" s="80">
        <v>20500</v>
      </c>
      <c r="F14" s="5"/>
      <c r="G14" s="5"/>
      <c r="H14" s="11"/>
      <c r="J14" s="3" t="s">
        <v>253</v>
      </c>
    </row>
    <row r="15" spans="1:12" x14ac:dyDescent="0.25">
      <c r="A15" s="10"/>
      <c r="B15" s="67" t="s">
        <v>259</v>
      </c>
      <c r="C15" s="69"/>
      <c r="D15" s="152">
        <v>16072</v>
      </c>
      <c r="E15" s="155">
        <v>15744</v>
      </c>
      <c r="F15" s="5"/>
      <c r="G15" s="5"/>
      <c r="H15" s="11"/>
    </row>
    <row r="16" spans="1:12" x14ac:dyDescent="0.25">
      <c r="A16" s="10"/>
      <c r="B16" s="5"/>
      <c r="C16" s="5"/>
      <c r="D16" s="5"/>
      <c r="E16" s="5"/>
      <c r="F16" s="5"/>
      <c r="G16" s="5"/>
      <c r="H16" s="11"/>
      <c r="I16" s="40" t="s">
        <v>618</v>
      </c>
      <c r="J16" s="3" t="s">
        <v>288</v>
      </c>
    </row>
    <row r="17" spans="1:15" x14ac:dyDescent="0.25">
      <c r="A17" s="10"/>
      <c r="B17" s="5" t="s">
        <v>260</v>
      </c>
      <c r="C17" s="5"/>
      <c r="D17" s="5"/>
      <c r="E17" s="5"/>
      <c r="F17" s="5"/>
      <c r="G17" s="5"/>
      <c r="H17" s="11"/>
      <c r="J17" s="170" t="s">
        <v>229</v>
      </c>
      <c r="K17" s="170" t="s">
        <v>256</v>
      </c>
      <c r="L17" s="170" t="s">
        <v>257</v>
      </c>
      <c r="M17" s="171" t="s">
        <v>273</v>
      </c>
    </row>
    <row r="18" spans="1:15" x14ac:dyDescent="0.25">
      <c r="A18" s="10"/>
      <c r="B18" s="54" t="s">
        <v>227</v>
      </c>
      <c r="C18" s="54" t="s">
        <v>228</v>
      </c>
      <c r="D18" s="54" t="s">
        <v>229</v>
      </c>
      <c r="E18" s="62" t="s">
        <v>230</v>
      </c>
      <c r="F18" s="163"/>
      <c r="G18" s="165"/>
      <c r="H18" s="11"/>
      <c r="J18" s="124">
        <f>D19</f>
        <v>8000</v>
      </c>
      <c r="K18" s="124">
        <f>30%*MIN(J18,$C$40)</f>
        <v>1575</v>
      </c>
      <c r="L18" s="124">
        <f>30%*J18-K18</f>
        <v>825</v>
      </c>
      <c r="M18" s="3" t="s">
        <v>293</v>
      </c>
    </row>
    <row r="19" spans="1:15" x14ac:dyDescent="0.25">
      <c r="A19" s="10"/>
      <c r="B19" s="48" t="s">
        <v>16</v>
      </c>
      <c r="C19" s="161">
        <v>44013</v>
      </c>
      <c r="D19" s="149">
        <v>8000</v>
      </c>
      <c r="E19" s="65" t="s">
        <v>231</v>
      </c>
      <c r="F19" s="5"/>
      <c r="G19" s="166"/>
      <c r="H19" s="11"/>
      <c r="J19" s="128">
        <f>D20</f>
        <v>160000</v>
      </c>
      <c r="K19" s="128">
        <f>MIN(J19,$C$40)</f>
        <v>5250</v>
      </c>
      <c r="L19" s="128">
        <f>J19-K19</f>
        <v>154750</v>
      </c>
      <c r="M19" s="3" t="s">
        <v>281</v>
      </c>
    </row>
    <row r="20" spans="1:15" x14ac:dyDescent="0.25">
      <c r="A20" s="10"/>
      <c r="B20" s="48" t="s">
        <v>16</v>
      </c>
      <c r="C20" s="161">
        <v>43608</v>
      </c>
      <c r="D20" s="149">
        <v>160000</v>
      </c>
      <c r="E20" s="65" t="s">
        <v>232</v>
      </c>
      <c r="F20" s="5"/>
      <c r="G20" s="166"/>
      <c r="H20" s="11"/>
      <c r="J20" s="40" t="s">
        <v>10</v>
      </c>
      <c r="K20" s="124">
        <f>SUM(K18:K19)</f>
        <v>6825</v>
      </c>
      <c r="L20" s="124">
        <f>SUM(L18:L19)</f>
        <v>155575</v>
      </c>
    </row>
    <row r="21" spans="1:15" x14ac:dyDescent="0.25">
      <c r="A21" s="10"/>
      <c r="B21" s="48" t="s">
        <v>16</v>
      </c>
      <c r="C21" s="161">
        <v>43187</v>
      </c>
      <c r="D21" s="149">
        <v>400000</v>
      </c>
      <c r="E21" s="65" t="s">
        <v>233</v>
      </c>
      <c r="F21" s="5"/>
      <c r="G21" s="166"/>
      <c r="H21" s="11"/>
    </row>
    <row r="22" spans="1:15" x14ac:dyDescent="0.25">
      <c r="A22" s="10"/>
      <c r="B22" s="48" t="s">
        <v>17</v>
      </c>
      <c r="C22" s="161">
        <v>44602</v>
      </c>
      <c r="D22" s="149">
        <v>10000</v>
      </c>
      <c r="E22" s="65" t="s">
        <v>231</v>
      </c>
      <c r="F22" s="5"/>
      <c r="G22" s="166"/>
      <c r="H22" s="11"/>
      <c r="J22" s="3" t="s">
        <v>261</v>
      </c>
      <c r="L22" s="157">
        <f>D14-D15</f>
        <v>3528</v>
      </c>
    </row>
    <row r="23" spans="1:15" x14ac:dyDescent="0.25">
      <c r="A23" s="10"/>
      <c r="B23" s="48" t="s">
        <v>17</v>
      </c>
      <c r="C23" s="161">
        <v>44275</v>
      </c>
      <c r="D23" s="149">
        <v>175000</v>
      </c>
      <c r="E23" s="65" t="s">
        <v>234</v>
      </c>
      <c r="F23" s="5"/>
      <c r="G23" s="166"/>
      <c r="H23" s="11"/>
      <c r="J23" s="3" t="s">
        <v>259</v>
      </c>
      <c r="L23" s="157">
        <f>D15</f>
        <v>16072</v>
      </c>
    </row>
    <row r="24" spans="1:15" x14ac:dyDescent="0.25">
      <c r="A24" s="10"/>
      <c r="B24" s="48" t="s">
        <v>17</v>
      </c>
      <c r="C24" s="161">
        <v>44075</v>
      </c>
      <c r="D24" s="149">
        <v>428000</v>
      </c>
      <c r="E24" s="65" t="s">
        <v>235</v>
      </c>
      <c r="F24" s="5"/>
      <c r="G24" s="166"/>
      <c r="H24" s="11"/>
    </row>
    <row r="25" spans="1:15" x14ac:dyDescent="0.25">
      <c r="A25" s="10"/>
      <c r="B25" s="49" t="s">
        <v>17</v>
      </c>
      <c r="C25" s="162">
        <v>43621</v>
      </c>
      <c r="D25" s="152">
        <v>170000</v>
      </c>
      <c r="E25" s="67" t="s">
        <v>231</v>
      </c>
      <c r="F25" s="69"/>
      <c r="G25" s="167"/>
      <c r="H25" s="11"/>
      <c r="J25" s="3" t="s">
        <v>270</v>
      </c>
      <c r="K25" s="157">
        <f>D48</f>
        <v>17500</v>
      </c>
      <c r="M25" s="3" t="s">
        <v>272</v>
      </c>
      <c r="O25" s="159">
        <f>D14</f>
        <v>19600</v>
      </c>
    </row>
    <row r="26" spans="1:15" x14ac:dyDescent="0.25">
      <c r="A26" s="10"/>
      <c r="B26" s="5"/>
      <c r="C26" s="5"/>
      <c r="D26" s="5"/>
      <c r="E26" s="5"/>
      <c r="F26" s="5"/>
      <c r="G26" s="5"/>
      <c r="H26" s="11"/>
      <c r="J26" s="3" t="s">
        <v>271</v>
      </c>
      <c r="K26" s="3">
        <f>D44</f>
        <v>0.08</v>
      </c>
    </row>
    <row r="27" spans="1:15" x14ac:dyDescent="0.25">
      <c r="A27" s="10"/>
      <c r="B27" s="5" t="s">
        <v>236</v>
      </c>
      <c r="C27" s="5"/>
      <c r="D27" s="5"/>
      <c r="E27" s="5"/>
      <c r="F27" s="5"/>
      <c r="G27" s="5"/>
      <c r="H27" s="11"/>
    </row>
    <row r="28" spans="1:15" x14ac:dyDescent="0.25">
      <c r="A28" s="10"/>
      <c r="B28" s="5" t="s">
        <v>237</v>
      </c>
      <c r="C28" s="5"/>
      <c r="D28" s="5"/>
      <c r="E28" s="5"/>
      <c r="F28" s="5"/>
      <c r="G28" s="5"/>
      <c r="H28" s="11"/>
    </row>
    <row r="29" spans="1:15" x14ac:dyDescent="0.25">
      <c r="A29" s="10"/>
      <c r="B29" s="5"/>
      <c r="C29" s="5"/>
      <c r="D29" s="5"/>
      <c r="E29" s="5"/>
      <c r="F29" s="5"/>
      <c r="G29" s="5"/>
      <c r="H29" s="11"/>
    </row>
    <row r="30" spans="1:15" x14ac:dyDescent="0.25">
      <c r="A30" s="14" t="s">
        <v>2</v>
      </c>
      <c r="B30" s="5" t="s">
        <v>238</v>
      </c>
      <c r="C30" s="5"/>
      <c r="D30" s="5"/>
      <c r="E30" s="5"/>
      <c r="F30" s="5"/>
      <c r="G30" s="5"/>
      <c r="H30" s="11"/>
      <c r="J30" s="3" t="s">
        <v>275</v>
      </c>
      <c r="K30" s="121">
        <f>ROUND((K20+(1-K26)*L23+K25+K26*L20)/(L22+(1-K26)*L23+K25+K26*L23),2)</f>
        <v>1.39</v>
      </c>
      <c r="L30" s="109" t="s">
        <v>274</v>
      </c>
    </row>
    <row r="31" spans="1:15" ht="15.75" thickBot="1" x14ac:dyDescent="0.3">
      <c r="A31" s="13">
        <f ca="1">INDEX('Point Grid'!$C$8:$I$27,MATCH($A$1,'Point Grid'!$A$8:$A$27,0),MATCH(A30,'Point Grid'!$C$7:$I$7,0))</f>
        <v>2.5</v>
      </c>
      <c r="B31" s="5"/>
      <c r="C31" s="5"/>
      <c r="D31" s="5"/>
      <c r="E31" s="5"/>
      <c r="F31" s="5"/>
      <c r="G31" s="5"/>
      <c r="H31" s="11"/>
    </row>
    <row r="32" spans="1:15" ht="15.75" thickBot="1" x14ac:dyDescent="0.3">
      <c r="A32" s="4">
        <v>2.5</v>
      </c>
      <c r="B32" s="5"/>
      <c r="C32" s="5"/>
      <c r="D32" s="5"/>
      <c r="E32" s="5"/>
      <c r="F32" s="5"/>
      <c r="G32" s="5"/>
      <c r="H32" s="11"/>
    </row>
    <row r="33" spans="1:15" x14ac:dyDescent="0.25">
      <c r="A33" s="10"/>
      <c r="B33" s="5"/>
      <c r="C33" s="5"/>
      <c r="D33" s="5"/>
      <c r="E33" s="5"/>
      <c r="F33" s="5"/>
      <c r="G33" s="5"/>
      <c r="H33" s="11"/>
    </row>
    <row r="34" spans="1:15" x14ac:dyDescent="0.25">
      <c r="A34" s="14" t="s">
        <v>3</v>
      </c>
      <c r="B34" s="5" t="s">
        <v>239</v>
      </c>
      <c r="C34" s="5"/>
      <c r="D34" s="5"/>
      <c r="E34" s="5"/>
      <c r="F34" s="5"/>
      <c r="G34" s="5"/>
      <c r="H34" s="11"/>
      <c r="J34" s="3" t="s">
        <v>276</v>
      </c>
      <c r="K34" s="121">
        <f>1.1+0.0004*(O25/E51)</f>
        <v>2.2200000000000002</v>
      </c>
    </row>
    <row r="35" spans="1:15" ht="15.75" thickBot="1" x14ac:dyDescent="0.3">
      <c r="A35" s="13">
        <f ca="1">INDEX('Point Grid'!$C$8:$I$27,MATCH($A$1,'Point Grid'!$A$8:$A$27,0),MATCH(A34,'Point Grid'!$C$7:$I$7,0))</f>
        <v>2.5</v>
      </c>
      <c r="B35" s="5" t="s">
        <v>240</v>
      </c>
      <c r="C35" s="5"/>
      <c r="D35" s="5"/>
      <c r="E35" s="5"/>
      <c r="F35" s="5"/>
      <c r="G35" s="5"/>
      <c r="H35" s="11"/>
      <c r="J35" s="3" t="s">
        <v>280</v>
      </c>
      <c r="K35" s="375">
        <f>MIN(K34,K30)</f>
        <v>1.39</v>
      </c>
    </row>
    <row r="36" spans="1:15" ht="15.75" thickBot="1" x14ac:dyDescent="0.3">
      <c r="A36" s="4">
        <v>2.5</v>
      </c>
      <c r="B36" s="5"/>
      <c r="C36" s="54" t="s">
        <v>241</v>
      </c>
      <c r="D36" s="54" t="s">
        <v>242</v>
      </c>
      <c r="E36" s="54" t="s">
        <v>243</v>
      </c>
      <c r="F36" s="5"/>
      <c r="G36" s="5"/>
      <c r="H36" s="11"/>
    </row>
    <row r="37" spans="1:15" x14ac:dyDescent="0.25">
      <c r="A37" s="10"/>
      <c r="B37" s="5"/>
      <c r="C37" s="54" t="s">
        <v>244</v>
      </c>
      <c r="D37" s="164">
        <v>11000</v>
      </c>
      <c r="E37" s="164">
        <v>5500</v>
      </c>
      <c r="F37" s="5"/>
      <c r="G37" s="5"/>
      <c r="H37" s="11"/>
      <c r="J37" s="3" t="s">
        <v>289</v>
      </c>
    </row>
    <row r="38" spans="1:15" x14ac:dyDescent="0.25">
      <c r="A38" s="10"/>
      <c r="B38" s="5"/>
      <c r="C38" s="5" t="s">
        <v>254</v>
      </c>
      <c r="D38" s="5"/>
      <c r="E38" s="5"/>
      <c r="F38" s="5"/>
      <c r="G38" s="5"/>
      <c r="H38" s="11"/>
      <c r="J38" s="3" t="s">
        <v>261</v>
      </c>
      <c r="L38" s="157">
        <f>E14-E15</f>
        <v>4756</v>
      </c>
    </row>
    <row r="39" spans="1:15" x14ac:dyDescent="0.25">
      <c r="A39" s="10"/>
      <c r="B39" s="5"/>
      <c r="C39" s="5"/>
      <c r="D39" s="5"/>
      <c r="E39" s="5"/>
      <c r="F39" s="5"/>
      <c r="G39" s="5"/>
      <c r="H39" s="11"/>
      <c r="J39" s="3" t="s">
        <v>259</v>
      </c>
      <c r="L39" s="157">
        <f>E15</f>
        <v>15744</v>
      </c>
    </row>
    <row r="40" spans="1:15" x14ac:dyDescent="0.25">
      <c r="A40" s="10"/>
      <c r="B40" s="5"/>
      <c r="C40" s="168">
        <v>5250</v>
      </c>
      <c r="D40" s="62" t="s">
        <v>255</v>
      </c>
      <c r="E40" s="165"/>
      <c r="F40" s="5"/>
      <c r="G40" s="5"/>
      <c r="H40" s="11"/>
    </row>
    <row r="41" spans="1:15" x14ac:dyDescent="0.25">
      <c r="A41" s="10"/>
      <c r="B41" s="5"/>
      <c r="C41" s="5"/>
      <c r="D41" s="5"/>
      <c r="E41" s="5"/>
      <c r="F41" s="5"/>
      <c r="G41" s="5"/>
      <c r="H41" s="11"/>
      <c r="J41" s="3" t="s">
        <v>270</v>
      </c>
      <c r="K41" s="157">
        <f>D48</f>
        <v>17500</v>
      </c>
      <c r="M41" s="3" t="s">
        <v>272</v>
      </c>
      <c r="O41" s="159">
        <f>E14</f>
        <v>20500</v>
      </c>
    </row>
    <row r="42" spans="1:15" x14ac:dyDescent="0.25">
      <c r="A42" s="10"/>
      <c r="B42" s="5"/>
      <c r="C42" s="54" t="s">
        <v>262</v>
      </c>
      <c r="D42" s="59" t="s">
        <v>263</v>
      </c>
      <c r="E42" s="5"/>
      <c r="F42" s="5"/>
      <c r="G42" s="5"/>
      <c r="H42" s="11"/>
      <c r="J42" s="3" t="s">
        <v>271</v>
      </c>
      <c r="K42" s="3">
        <f>D45</f>
        <v>0.09</v>
      </c>
    </row>
    <row r="43" spans="1:15" x14ac:dyDescent="0.25">
      <c r="A43" s="10"/>
      <c r="B43" s="5"/>
      <c r="C43" s="48" t="s">
        <v>265</v>
      </c>
      <c r="D43" s="66">
        <v>7.0000000000000007E-2</v>
      </c>
      <c r="E43" s="5"/>
      <c r="F43" s="5"/>
      <c r="G43" s="5"/>
      <c r="H43" s="11"/>
    </row>
    <row r="44" spans="1:15" x14ac:dyDescent="0.25">
      <c r="A44" s="10"/>
      <c r="B44" s="5"/>
      <c r="C44" s="48" t="s">
        <v>266</v>
      </c>
      <c r="D44" s="66">
        <v>0.08</v>
      </c>
      <c r="E44" s="5"/>
      <c r="F44" s="5"/>
      <c r="G44" s="5"/>
      <c r="H44" s="11"/>
      <c r="J44" s="170" t="s">
        <v>229</v>
      </c>
      <c r="K44" s="170" t="s">
        <v>256</v>
      </c>
      <c r="L44" s="170" t="s">
        <v>257</v>
      </c>
      <c r="M44" s="171" t="s">
        <v>273</v>
      </c>
    </row>
    <row r="45" spans="1:15" x14ac:dyDescent="0.25">
      <c r="A45" s="10"/>
      <c r="B45" s="5"/>
      <c r="C45" s="49" t="s">
        <v>267</v>
      </c>
      <c r="D45" s="68">
        <v>0.09</v>
      </c>
      <c r="E45" s="5"/>
      <c r="F45" s="5"/>
      <c r="G45" s="5"/>
      <c r="H45" s="11"/>
      <c r="J45" s="124">
        <f>D23</f>
        <v>175000</v>
      </c>
      <c r="K45" s="124">
        <f>MIN(J45,$C$40)</f>
        <v>5250</v>
      </c>
      <c r="L45" s="124">
        <f>J45-K45</f>
        <v>169750</v>
      </c>
      <c r="M45" s="3" t="s">
        <v>282</v>
      </c>
    </row>
    <row r="46" spans="1:15" x14ac:dyDescent="0.25">
      <c r="A46" s="10"/>
      <c r="B46" s="5"/>
      <c r="C46" s="5"/>
      <c r="D46" s="5"/>
      <c r="E46" s="5"/>
      <c r="F46" s="5"/>
      <c r="G46" s="5"/>
      <c r="H46" s="11"/>
      <c r="J46" s="124">
        <f>D24</f>
        <v>428000</v>
      </c>
      <c r="K46" s="124">
        <f>MIN(J46,2*$C$40)</f>
        <v>10500</v>
      </c>
      <c r="L46" s="124">
        <f>MIN(J46,E53)-K46</f>
        <v>340500</v>
      </c>
      <c r="M46" s="3" t="s">
        <v>292</v>
      </c>
    </row>
    <row r="47" spans="1:15" x14ac:dyDescent="0.25">
      <c r="A47" s="10"/>
      <c r="B47" s="5"/>
      <c r="C47" s="54" t="s">
        <v>262</v>
      </c>
      <c r="D47" s="59" t="s">
        <v>268</v>
      </c>
      <c r="E47" s="5"/>
      <c r="F47" s="5"/>
      <c r="G47" s="5"/>
      <c r="H47" s="11"/>
      <c r="J47" s="128">
        <f>D25</f>
        <v>170000</v>
      </c>
      <c r="K47" s="128">
        <f>30%*MIN(J47,$C$40)</f>
        <v>1575</v>
      </c>
      <c r="L47" s="128">
        <f>30%*J47-K47</f>
        <v>49425</v>
      </c>
      <c r="M47" s="3" t="s">
        <v>293</v>
      </c>
    </row>
    <row r="48" spans="1:15" x14ac:dyDescent="0.25">
      <c r="A48" s="10"/>
      <c r="B48" s="5"/>
      <c r="C48" s="64" t="s">
        <v>264</v>
      </c>
      <c r="D48" s="154">
        <v>17500</v>
      </c>
      <c r="E48" s="5"/>
      <c r="F48" s="5"/>
      <c r="G48" s="5"/>
      <c r="H48" s="11"/>
      <c r="J48" s="40" t="s">
        <v>10</v>
      </c>
      <c r="K48" s="124">
        <f>SUM(K45:K47)</f>
        <v>17325</v>
      </c>
      <c r="L48" s="124">
        <f>SUM(L45:L47)</f>
        <v>559675</v>
      </c>
    </row>
    <row r="49" spans="1:12" x14ac:dyDescent="0.25">
      <c r="A49" s="10"/>
      <c r="B49" s="5"/>
      <c r="C49" s="49" t="s">
        <v>269</v>
      </c>
      <c r="D49" s="155">
        <v>21000</v>
      </c>
      <c r="E49" s="5"/>
      <c r="F49" s="5"/>
      <c r="G49" s="5"/>
      <c r="H49" s="11"/>
    </row>
    <row r="50" spans="1:12" x14ac:dyDescent="0.25">
      <c r="A50" s="10"/>
      <c r="B50" s="5"/>
      <c r="C50" s="5"/>
      <c r="D50" s="5"/>
      <c r="E50" s="5"/>
      <c r="F50" s="5"/>
      <c r="G50" s="5"/>
      <c r="H50" s="11"/>
      <c r="J50" s="58" t="s">
        <v>283</v>
      </c>
    </row>
    <row r="51" spans="1:12" x14ac:dyDescent="0.25">
      <c r="A51" s="10"/>
      <c r="B51" s="5"/>
      <c r="C51" s="63" t="s">
        <v>277</v>
      </c>
      <c r="D51" s="169"/>
      <c r="E51" s="64">
        <v>7</v>
      </c>
      <c r="F51" s="5"/>
      <c r="G51" s="5"/>
      <c r="H51" s="11"/>
      <c r="J51" s="3" t="s">
        <v>284</v>
      </c>
    </row>
    <row r="52" spans="1:12" x14ac:dyDescent="0.25">
      <c r="A52" s="10"/>
      <c r="B52" s="5"/>
      <c r="C52" s="65" t="s">
        <v>278</v>
      </c>
      <c r="D52" s="5"/>
      <c r="E52" s="149">
        <v>175500</v>
      </c>
      <c r="F52" s="5"/>
      <c r="G52" s="5"/>
      <c r="H52" s="11"/>
      <c r="J52" s="3" t="s">
        <v>285</v>
      </c>
    </row>
    <row r="53" spans="1:12" x14ac:dyDescent="0.25">
      <c r="A53" s="10"/>
      <c r="B53" s="5"/>
      <c r="C53" s="67" t="s">
        <v>279</v>
      </c>
      <c r="D53" s="69"/>
      <c r="E53" s="152">
        <v>351000</v>
      </c>
      <c r="F53" s="5"/>
      <c r="G53" s="5"/>
      <c r="H53" s="11"/>
      <c r="J53" s="3" t="s">
        <v>286</v>
      </c>
    </row>
    <row r="54" spans="1:12" x14ac:dyDescent="0.25">
      <c r="A54" s="10"/>
      <c r="B54" s="5"/>
      <c r="C54" s="5"/>
      <c r="D54" s="5"/>
      <c r="E54" s="5"/>
      <c r="F54" s="5"/>
      <c r="G54" s="5"/>
      <c r="H54" s="11"/>
      <c r="J54" s="3" t="s">
        <v>287</v>
      </c>
    </row>
    <row r="55" spans="1:12" x14ac:dyDescent="0.25">
      <c r="A55" s="14" t="s">
        <v>4</v>
      </c>
      <c r="B55" s="260" t="s">
        <v>760</v>
      </c>
      <c r="C55" s="260"/>
      <c r="D55" s="260"/>
      <c r="E55" s="260"/>
      <c r="F55" s="260"/>
      <c r="G55" s="260"/>
      <c r="H55" s="261"/>
      <c r="J55" s="3" t="s">
        <v>290</v>
      </c>
    </row>
    <row r="56" spans="1:12" ht="15.75" thickBot="1" x14ac:dyDescent="0.3">
      <c r="A56" s="13">
        <f ca="1">INDEX('Point Grid'!$C$8:$I$27,MATCH($A$1,'Point Grid'!$A$8:$A$27,0),MATCH(A55,'Point Grid'!$C$7:$I$7,0))</f>
        <v>0.5</v>
      </c>
      <c r="B56" s="260" t="s">
        <v>761</v>
      </c>
      <c r="C56" s="260"/>
      <c r="D56" s="260"/>
      <c r="E56" s="260"/>
      <c r="F56" s="260"/>
      <c r="G56" s="260"/>
      <c r="H56" s="261"/>
      <c r="J56" s="157">
        <f>3*E52+120%*O41</f>
        <v>551100</v>
      </c>
    </row>
    <row r="57" spans="1:12" ht="15.75" thickBot="1" x14ac:dyDescent="0.3">
      <c r="A57" s="4">
        <v>0.5</v>
      </c>
      <c r="B57" s="260"/>
      <c r="C57" s="260"/>
      <c r="D57" s="260"/>
      <c r="E57" s="260"/>
      <c r="F57" s="260"/>
      <c r="G57" s="260"/>
      <c r="H57" s="261"/>
      <c r="J57" s="3" t="s">
        <v>291</v>
      </c>
    </row>
    <row r="58" spans="1:12" x14ac:dyDescent="0.25">
      <c r="A58" s="257"/>
      <c r="B58" s="346">
        <v>7</v>
      </c>
      <c r="C58" s="347" t="s">
        <v>758</v>
      </c>
      <c r="D58" s="348"/>
      <c r="E58" s="349"/>
      <c r="F58" s="260"/>
      <c r="G58" s="260"/>
      <c r="H58" s="261"/>
    </row>
    <row r="59" spans="1:12" x14ac:dyDescent="0.25">
      <c r="A59" s="257"/>
      <c r="B59" s="260"/>
      <c r="C59" s="260"/>
      <c r="D59" s="260"/>
      <c r="E59" s="260"/>
      <c r="F59" s="260"/>
      <c r="G59" s="260"/>
      <c r="H59" s="261"/>
      <c r="J59" s="3" t="s">
        <v>275</v>
      </c>
      <c r="K59" s="121">
        <f>ROUND((K48+(1-K42)*L39+K41+K42*L48)/(L38+(1-K42)*L39+K41+K42*L39),2)</f>
        <v>2.62</v>
      </c>
      <c r="L59" s="109" t="s">
        <v>274</v>
      </c>
    </row>
    <row r="60" spans="1:12" x14ac:dyDescent="0.25">
      <c r="A60" s="257"/>
      <c r="B60" s="54" t="s">
        <v>222</v>
      </c>
      <c r="C60" s="95" t="s">
        <v>855</v>
      </c>
      <c r="D60" s="260"/>
      <c r="E60" s="260"/>
      <c r="F60" s="260"/>
      <c r="G60" s="260"/>
      <c r="H60" s="261"/>
      <c r="J60" s="3" t="s">
        <v>276</v>
      </c>
      <c r="K60" s="121">
        <f>ROUND(1.1+0.0004*(O41/E51),2)</f>
        <v>2.27</v>
      </c>
    </row>
    <row r="61" spans="1:12" x14ac:dyDescent="0.25">
      <c r="A61" s="257"/>
      <c r="B61" s="161">
        <v>44927</v>
      </c>
      <c r="C61" s="341">
        <v>426000</v>
      </c>
      <c r="D61" s="342" t="s">
        <v>759</v>
      </c>
      <c r="E61" s="260"/>
      <c r="F61" s="260"/>
      <c r="G61" s="260"/>
      <c r="H61" s="261"/>
      <c r="J61" s="3" t="s">
        <v>280</v>
      </c>
      <c r="K61" s="375">
        <f>MIN(K59,K60)</f>
        <v>2.27</v>
      </c>
    </row>
    <row r="62" spans="1:12" x14ac:dyDescent="0.25">
      <c r="A62" s="257"/>
      <c r="B62" s="161">
        <v>44562</v>
      </c>
      <c r="C62" s="341">
        <v>419000</v>
      </c>
      <c r="D62" s="342" t="s">
        <v>759</v>
      </c>
      <c r="E62" s="260"/>
      <c r="F62" s="260"/>
      <c r="G62" s="260"/>
      <c r="H62" s="261"/>
    </row>
    <row r="63" spans="1:12" x14ac:dyDescent="0.25">
      <c r="A63" s="257"/>
      <c r="B63" s="161">
        <v>44197</v>
      </c>
      <c r="C63" s="341">
        <v>361000</v>
      </c>
      <c r="D63" s="260"/>
      <c r="E63" s="260"/>
      <c r="F63" s="260"/>
      <c r="G63" s="260"/>
      <c r="H63" s="261"/>
      <c r="I63" s="40" t="s">
        <v>658</v>
      </c>
      <c r="J63" s="3" t="s">
        <v>762</v>
      </c>
    </row>
    <row r="64" spans="1:12" x14ac:dyDescent="0.25">
      <c r="A64" s="257"/>
      <c r="B64" s="161">
        <v>43831</v>
      </c>
      <c r="C64" s="341">
        <v>330000</v>
      </c>
      <c r="D64" s="260"/>
      <c r="E64" s="260"/>
      <c r="F64" s="260"/>
      <c r="G64" s="260"/>
      <c r="H64" s="261"/>
      <c r="J64" s="399">
        <f>C61/100*B58*K35</f>
        <v>41449.799999999996</v>
      </c>
    </row>
    <row r="65" spans="1:8" x14ac:dyDescent="0.25">
      <c r="A65" s="257"/>
      <c r="B65" s="161">
        <v>43466</v>
      </c>
      <c r="C65" s="341">
        <v>264000</v>
      </c>
      <c r="D65" s="260"/>
      <c r="E65" s="260"/>
      <c r="F65" s="260"/>
      <c r="G65" s="260"/>
      <c r="H65" s="261"/>
    </row>
    <row r="66" spans="1:8" x14ac:dyDescent="0.25">
      <c r="A66" s="257"/>
      <c r="B66" s="162">
        <v>43101</v>
      </c>
      <c r="C66" s="343">
        <v>184000</v>
      </c>
      <c r="D66" s="260"/>
      <c r="E66" s="260"/>
      <c r="F66" s="260"/>
      <c r="G66" s="260"/>
      <c r="H66" s="261"/>
    </row>
    <row r="67" spans="1:8" ht="15.75" thickBot="1" x14ac:dyDescent="0.3">
      <c r="A67" s="277"/>
      <c r="B67" s="344"/>
      <c r="C67" s="344"/>
      <c r="D67" s="344"/>
      <c r="E67" s="344"/>
      <c r="F67" s="344"/>
      <c r="G67" s="344"/>
      <c r="H67" s="345"/>
    </row>
  </sheetData>
  <sheetProtection formatCells="0" formatColumns="0" formatRows="0"/>
  <sortState xmlns:xlrd2="http://schemas.microsoft.com/office/spreadsheetml/2017/richdata2" ref="C61:C66">
    <sortCondition descending="1" ref="C61:C66"/>
  </sortState>
  <mergeCells count="1">
    <mergeCell ref="G1:H1"/>
  </mergeCells>
  <conditionalFormatting sqref="B1">
    <cfRule type="cellIs" dxfId="35" priority="1" operator="equal">
      <formula>"Incomplete"</formula>
    </cfRule>
    <cfRule type="cellIs" dxfId="34" priority="2" operator="equal">
      <formula>"Flag for Review"</formula>
    </cfRule>
    <cfRule type="cellIs" dxfId="33" priority="3" operator="equal">
      <formula>"Finished"</formula>
    </cfRule>
  </conditionalFormatting>
  <dataValidations count="2">
    <dataValidation type="decimal" allowBlank="1" showInputMessage="1" showErrorMessage="1" sqref="A32 A36 A57" xr:uid="{BB28DEBA-F4EE-4C6D-A36A-837A6305FFF2}">
      <formula1>0</formula1>
      <formula2>A31</formula2>
    </dataValidation>
    <dataValidation type="list" allowBlank="1" showInputMessage="1" showErrorMessage="1" sqref="B1" xr:uid="{1E5C1CDB-48EC-4439-9730-E0838F26DDB2}">
      <formula1>"Finished, Flag for Review, Incomplete"</formula1>
    </dataValidation>
  </dataValidations>
  <hyperlinks>
    <hyperlink ref="G1" location="Navigator!A1" display="Navigator" xr:uid="{8BD6ECDD-C618-4A2F-9252-42FB11EBC921}"/>
  </hyperlink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E64112-8AE7-4DD2-95D7-17DD19D9BF94}">
  <sheetPr codeName="Sheet13"/>
  <dimension ref="A1:M31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6" style="3" bestFit="1" customWidth="1"/>
    <col min="3" max="3" width="19.140625" style="3" bestFit="1" customWidth="1"/>
    <col min="4" max="4" width="19.7109375" style="3" bestFit="1" customWidth="1"/>
    <col min="5" max="5" width="10.140625" style="3" bestFit="1" customWidth="1"/>
    <col min="6" max="6" width="10" style="3" customWidth="1"/>
    <col min="7" max="7" width="11.7109375" style="3" customWidth="1"/>
    <col min="8" max="8" width="3.7109375" style="40" customWidth="1"/>
    <col min="9" max="9" width="10.140625" style="3" customWidth="1"/>
    <col min="10" max="11" width="10.28515625" style="3" bestFit="1" customWidth="1"/>
    <col min="12" max="12" width="9.140625" style="3"/>
    <col min="13" max="13" width="10.28515625" style="3" bestFit="1" customWidth="1"/>
    <col min="14" max="16384" width="9.140625" style="3"/>
  </cols>
  <sheetData>
    <row r="1" spans="1:13" ht="15.75" x14ac:dyDescent="0.25">
      <c r="A1" s="8">
        <f ca="1">VALUE(MID(CELL("filename",A1),FIND("]",CELL("filename",A1))+1,LEN(CELL("filename",A1))-FIND("]",CELL("filename",A1))+1))</f>
        <v>11</v>
      </c>
      <c r="B1" s="144" t="s">
        <v>604</v>
      </c>
      <c r="C1" s="9"/>
      <c r="D1" s="9"/>
      <c r="E1" s="9"/>
      <c r="F1" s="418" t="s">
        <v>41</v>
      </c>
      <c r="G1" s="419"/>
      <c r="I1" s="58" t="s">
        <v>31</v>
      </c>
    </row>
    <row r="2" spans="1:13" x14ac:dyDescent="0.25">
      <c r="A2" s="10"/>
      <c r="B2" s="5"/>
      <c r="C2" s="5"/>
      <c r="D2" s="5"/>
      <c r="E2" s="5"/>
      <c r="F2" s="5"/>
      <c r="G2" s="11"/>
      <c r="H2" s="40" t="s">
        <v>605</v>
      </c>
      <c r="I2" s="3" t="s">
        <v>314</v>
      </c>
    </row>
    <row r="3" spans="1:13" x14ac:dyDescent="0.25">
      <c r="A3" s="12" t="s">
        <v>14</v>
      </c>
      <c r="B3" s="5" t="s">
        <v>294</v>
      </c>
      <c r="C3" s="5"/>
      <c r="D3" s="5"/>
      <c r="E3" s="5"/>
      <c r="F3" s="5"/>
      <c r="G3" s="11"/>
      <c r="I3" s="3" t="s">
        <v>315</v>
      </c>
    </row>
    <row r="4" spans="1:13" x14ac:dyDescent="0.25">
      <c r="A4" s="13">
        <f ca="1">INDEX('Point Grid'!B:B,MATCH('11'!A1,'Point Grid'!A:A,0))</f>
        <v>3.5</v>
      </c>
      <c r="B4" s="5" t="s">
        <v>295</v>
      </c>
      <c r="C4" s="5"/>
      <c r="D4" s="5"/>
      <c r="E4" s="5"/>
      <c r="F4" s="5"/>
      <c r="G4" s="11"/>
      <c r="I4" s="3" t="s">
        <v>324</v>
      </c>
    </row>
    <row r="5" spans="1:13" x14ac:dyDescent="0.25">
      <c r="A5" s="10"/>
      <c r="B5" s="5"/>
      <c r="C5" s="5"/>
      <c r="D5" s="5"/>
      <c r="E5" s="5"/>
      <c r="F5" s="5"/>
      <c r="G5" s="11"/>
      <c r="I5" s="3" t="s">
        <v>325</v>
      </c>
    </row>
    <row r="6" spans="1:13" x14ac:dyDescent="0.25">
      <c r="A6" s="10"/>
      <c r="B6" s="172" t="s">
        <v>296</v>
      </c>
      <c r="C6" s="173" t="s">
        <v>297</v>
      </c>
      <c r="D6" s="173" t="s">
        <v>299</v>
      </c>
      <c r="E6" s="174" t="s">
        <v>302</v>
      </c>
      <c r="F6" s="5"/>
      <c r="G6" s="11"/>
    </row>
    <row r="7" spans="1:13" x14ac:dyDescent="0.25">
      <c r="A7" s="10"/>
      <c r="B7" s="175"/>
      <c r="C7" s="176" t="s">
        <v>298</v>
      </c>
      <c r="D7" s="176" t="s">
        <v>300</v>
      </c>
      <c r="E7" s="177" t="s">
        <v>676</v>
      </c>
      <c r="F7" s="5"/>
      <c r="G7" s="11"/>
      <c r="I7" s="186" t="s">
        <v>316</v>
      </c>
      <c r="J7" s="187"/>
      <c r="K7" s="187" t="s">
        <v>322</v>
      </c>
      <c r="L7" s="187"/>
      <c r="M7" s="188"/>
    </row>
    <row r="8" spans="1:13" x14ac:dyDescent="0.25">
      <c r="A8" s="10"/>
      <c r="B8" s="178"/>
      <c r="C8" s="179"/>
      <c r="D8" s="179" t="s">
        <v>301</v>
      </c>
      <c r="E8" s="180" t="s">
        <v>677</v>
      </c>
      <c r="F8" s="5"/>
      <c r="G8" s="11"/>
      <c r="I8" s="189" t="s">
        <v>317</v>
      </c>
      <c r="J8" s="170" t="s">
        <v>321</v>
      </c>
      <c r="K8" s="170" t="s">
        <v>321</v>
      </c>
      <c r="L8" s="170" t="s">
        <v>323</v>
      </c>
      <c r="M8" s="190" t="s">
        <v>328</v>
      </c>
    </row>
    <row r="9" spans="1:13" x14ac:dyDescent="0.25">
      <c r="A9" s="10"/>
      <c r="B9" s="47" t="s">
        <v>16</v>
      </c>
      <c r="C9" s="48">
        <v>3</v>
      </c>
      <c r="D9" s="148">
        <v>100000000</v>
      </c>
      <c r="E9" s="148">
        <v>120000</v>
      </c>
      <c r="F9" s="5"/>
      <c r="G9" s="11"/>
      <c r="I9" s="122" t="s">
        <v>318</v>
      </c>
      <c r="J9" s="40">
        <f>SUM(E9:$E$9)/SUM(D9:$D$9)</f>
        <v>1.1999999999999999E-3</v>
      </c>
      <c r="K9" s="191">
        <f>J9/$J$12</f>
        <v>0.73066666666666658</v>
      </c>
      <c r="L9" s="191">
        <f>K9</f>
        <v>0.73066666666666658</v>
      </c>
      <c r="M9" s="390">
        <f>1-L9</f>
        <v>0.26933333333333342</v>
      </c>
    </row>
    <row r="10" spans="1:13" x14ac:dyDescent="0.25">
      <c r="A10" s="10"/>
      <c r="B10" s="47" t="s">
        <v>17</v>
      </c>
      <c r="C10" s="48">
        <v>2</v>
      </c>
      <c r="D10" s="149">
        <v>10000000</v>
      </c>
      <c r="E10" s="149">
        <v>25000</v>
      </c>
      <c r="F10" s="5"/>
      <c r="G10" s="11"/>
      <c r="I10" s="122" t="s">
        <v>319</v>
      </c>
      <c r="J10" s="191">
        <f>SUM(E$9:$E10)/SUM(D$9:$D10)</f>
        <v>1.3181818181818182E-3</v>
      </c>
      <c r="K10" s="191">
        <f>J10/$J$12</f>
        <v>0.80262626262626258</v>
      </c>
      <c r="L10" s="191">
        <f>K10</f>
        <v>0.80262626262626258</v>
      </c>
      <c r="M10" s="390">
        <f>1-L10</f>
        <v>0.19737373737373742</v>
      </c>
    </row>
    <row r="11" spans="1:13" x14ac:dyDescent="0.25">
      <c r="A11" s="10"/>
      <c r="B11" s="47" t="s">
        <v>18</v>
      </c>
      <c r="C11" s="48">
        <v>1</v>
      </c>
      <c r="D11" s="149">
        <v>17000000</v>
      </c>
      <c r="E11" s="149">
        <v>44000</v>
      </c>
      <c r="F11" s="5"/>
      <c r="G11" s="11"/>
      <c r="I11" s="126" t="s">
        <v>320</v>
      </c>
      <c r="J11" s="185">
        <f>SUM(E$9:$E11)/SUM(D$9:$D11)</f>
        <v>1.4881889763779528E-3</v>
      </c>
      <c r="K11" s="185">
        <f>J11/$J$12</f>
        <v>0.90614173228346451</v>
      </c>
      <c r="L11" s="185">
        <f>K11</f>
        <v>0.90614173228346451</v>
      </c>
      <c r="M11" s="391">
        <f>1-L11</f>
        <v>9.3858267716535493E-2</v>
      </c>
    </row>
    <row r="12" spans="1:13" x14ac:dyDescent="0.25">
      <c r="A12" s="10"/>
      <c r="B12" s="46" t="s">
        <v>168</v>
      </c>
      <c r="C12" s="49">
        <v>0</v>
      </c>
      <c r="D12" s="152">
        <v>10000000</v>
      </c>
      <c r="E12" s="152">
        <v>36000</v>
      </c>
      <c r="F12" s="5"/>
      <c r="G12" s="11"/>
      <c r="I12" s="126" t="s">
        <v>10</v>
      </c>
      <c r="J12" s="185">
        <f>SUM(E$9:$E12)/SUM(D$9:$D12)</f>
        <v>1.6423357664233577E-3</v>
      </c>
      <c r="K12" s="185"/>
      <c r="L12" s="184"/>
      <c r="M12" s="127"/>
    </row>
    <row r="13" spans="1:13" x14ac:dyDescent="0.25">
      <c r="A13" s="10"/>
      <c r="B13" s="5"/>
      <c r="C13" s="5"/>
      <c r="D13" s="5"/>
      <c r="E13" s="5"/>
      <c r="F13" s="5"/>
      <c r="G13" s="11"/>
    </row>
    <row r="14" spans="1:13" x14ac:dyDescent="0.25">
      <c r="A14" s="14" t="s">
        <v>2</v>
      </c>
      <c r="B14" s="5" t="s">
        <v>303</v>
      </c>
      <c r="C14" s="5"/>
      <c r="D14" s="5"/>
      <c r="E14" s="5"/>
      <c r="F14" s="5"/>
      <c r="G14" s="11"/>
      <c r="I14" s="3" t="s">
        <v>326</v>
      </c>
    </row>
    <row r="15" spans="1:13" ht="15.75" thickBot="1" x14ac:dyDescent="0.3">
      <c r="A15" s="13">
        <f ca="1">INDEX('Point Grid'!$C$8:$I$27,MATCH($A$1,'Point Grid'!$A$8:$A$27,0),MATCH(A14,'Point Grid'!$C$7:$I$7,0))</f>
        <v>2</v>
      </c>
      <c r="B15" s="5" t="s">
        <v>678</v>
      </c>
      <c r="C15" s="5"/>
      <c r="D15" s="5"/>
      <c r="E15" s="5"/>
      <c r="F15" s="5"/>
      <c r="G15" s="11"/>
      <c r="I15" s="3" t="s">
        <v>327</v>
      </c>
    </row>
    <row r="16" spans="1:13" ht="15.75" thickBot="1" x14ac:dyDescent="0.3">
      <c r="A16" s="4">
        <v>2</v>
      </c>
      <c r="B16" s="5" t="s">
        <v>679</v>
      </c>
      <c r="C16" s="5"/>
      <c r="D16" s="5"/>
      <c r="E16" s="5"/>
      <c r="F16" s="5"/>
      <c r="G16" s="11"/>
    </row>
    <row r="17" spans="1:12" x14ac:dyDescent="0.25">
      <c r="A17" s="10"/>
      <c r="B17" s="5" t="s">
        <v>680</v>
      </c>
      <c r="C17" s="5"/>
      <c r="D17" s="5"/>
      <c r="E17" s="5"/>
      <c r="F17" s="5"/>
      <c r="G17" s="11"/>
      <c r="H17" s="40" t="s">
        <v>618</v>
      </c>
      <c r="I17" s="3" t="s">
        <v>329</v>
      </c>
      <c r="K17" s="158" t="s">
        <v>330</v>
      </c>
      <c r="L17" s="192" t="s">
        <v>331</v>
      </c>
    </row>
    <row r="18" spans="1:12" x14ac:dyDescent="0.25">
      <c r="A18" s="10"/>
      <c r="B18" s="5"/>
      <c r="C18" s="5"/>
      <c r="D18" s="5"/>
      <c r="E18" s="5"/>
      <c r="F18" s="5"/>
      <c r="G18" s="11"/>
      <c r="K18" s="392">
        <f>M9/$M$11</f>
        <v>2.8695749440715876</v>
      </c>
      <c r="L18" s="393">
        <f>D21/$D$23</f>
        <v>2.3333333333333335</v>
      </c>
    </row>
    <row r="19" spans="1:12" x14ac:dyDescent="0.25">
      <c r="A19" s="14" t="s">
        <v>3</v>
      </c>
      <c r="B19" s="5" t="s">
        <v>304</v>
      </c>
      <c r="C19" s="5"/>
      <c r="D19" s="5"/>
      <c r="E19" s="5"/>
      <c r="F19" s="5"/>
      <c r="G19" s="11"/>
      <c r="K19" s="394">
        <f>M10/$M$11</f>
        <v>2.1028913294013956</v>
      </c>
      <c r="L19" s="384">
        <f>D22/$D$23</f>
        <v>1.6666666666666667</v>
      </c>
    </row>
    <row r="20" spans="1:12" ht="15.75" thickBot="1" x14ac:dyDescent="0.3">
      <c r="A20" s="13">
        <f ca="1">INDEX('Point Grid'!$C$8:$I$27,MATCH($A$1,'Point Grid'!$A$8:$A$27,0),MATCH(A19,'Point Grid'!$C$7:$I$7,0))</f>
        <v>1</v>
      </c>
      <c r="B20" s="5"/>
      <c r="C20" s="181" t="s">
        <v>305</v>
      </c>
      <c r="D20" s="71" t="s">
        <v>306</v>
      </c>
      <c r="E20" s="5"/>
      <c r="F20" s="5"/>
      <c r="G20" s="11"/>
      <c r="K20" s="395">
        <f>M11/$M$11</f>
        <v>1</v>
      </c>
      <c r="L20" s="396">
        <f>D23/$D$23</f>
        <v>1</v>
      </c>
    </row>
    <row r="21" spans="1:12" ht="15.75" thickBot="1" x14ac:dyDescent="0.3">
      <c r="A21" s="4">
        <v>1</v>
      </c>
      <c r="B21" s="5"/>
      <c r="C21" s="64" t="s">
        <v>309</v>
      </c>
      <c r="D21" s="182">
        <v>0.14000000000000001</v>
      </c>
      <c r="E21" s="5"/>
      <c r="F21" s="5"/>
      <c r="G21" s="11"/>
    </row>
    <row r="22" spans="1:12" x14ac:dyDescent="0.25">
      <c r="A22" s="10"/>
      <c r="B22" s="5"/>
      <c r="C22" s="48" t="s">
        <v>308</v>
      </c>
      <c r="D22" s="60">
        <v>0.1</v>
      </c>
      <c r="E22" s="5"/>
      <c r="F22" s="5"/>
      <c r="G22" s="11"/>
      <c r="I22" s="3" t="s">
        <v>332</v>
      </c>
    </row>
    <row r="23" spans="1:12" x14ac:dyDescent="0.25">
      <c r="A23" s="10"/>
      <c r="B23" s="5"/>
      <c r="C23" s="49" t="s">
        <v>307</v>
      </c>
      <c r="D23" s="61">
        <v>0.06</v>
      </c>
      <c r="E23" s="5"/>
      <c r="F23" s="5"/>
      <c r="G23" s="11"/>
      <c r="I23" s="3" t="s">
        <v>333</v>
      </c>
    </row>
    <row r="24" spans="1:12" x14ac:dyDescent="0.25">
      <c r="A24" s="10"/>
      <c r="B24" s="5"/>
      <c r="C24" s="5"/>
      <c r="D24" s="5"/>
      <c r="E24" s="5"/>
      <c r="F24" s="5"/>
      <c r="G24" s="11"/>
      <c r="I24" s="3" t="s">
        <v>334</v>
      </c>
    </row>
    <row r="25" spans="1:12" x14ac:dyDescent="0.25">
      <c r="A25" s="10"/>
      <c r="B25" s="5" t="s">
        <v>310</v>
      </c>
      <c r="C25" s="5"/>
      <c r="D25" s="5"/>
      <c r="E25" s="5"/>
      <c r="F25" s="5"/>
      <c r="G25" s="11"/>
      <c r="I25" s="3" t="s">
        <v>335</v>
      </c>
    </row>
    <row r="26" spans="1:12" x14ac:dyDescent="0.25">
      <c r="A26" s="10"/>
      <c r="B26" s="5" t="s">
        <v>311</v>
      </c>
      <c r="C26" s="5"/>
      <c r="D26" s="5"/>
      <c r="E26" s="5"/>
      <c r="F26" s="5"/>
      <c r="G26" s="11"/>
      <c r="I26" s="3" t="s">
        <v>336</v>
      </c>
    </row>
    <row r="27" spans="1:12" x14ac:dyDescent="0.25">
      <c r="A27" s="10"/>
      <c r="B27" s="5"/>
      <c r="C27" s="5"/>
      <c r="D27" s="5"/>
      <c r="E27" s="5"/>
      <c r="F27" s="5"/>
      <c r="G27" s="11"/>
    </row>
    <row r="28" spans="1:12" x14ac:dyDescent="0.25">
      <c r="A28" s="14" t="s">
        <v>4</v>
      </c>
      <c r="B28" s="5" t="s">
        <v>312</v>
      </c>
      <c r="C28" s="5"/>
      <c r="D28" s="5"/>
      <c r="E28" s="5"/>
      <c r="F28" s="5"/>
      <c r="G28" s="11"/>
      <c r="H28" s="40" t="s">
        <v>658</v>
      </c>
      <c r="I28" s="3" t="s">
        <v>337</v>
      </c>
    </row>
    <row r="29" spans="1:12" ht="15.75" thickBot="1" x14ac:dyDescent="0.3">
      <c r="A29" s="13">
        <f ca="1">INDEX('Point Grid'!$C$8:$I$27,MATCH($A$1,'Point Grid'!$A$8:$A$27,0),MATCH(A28,'Point Grid'!$C$7:$I$7,0))</f>
        <v>0.5</v>
      </c>
      <c r="B29" s="5" t="s">
        <v>313</v>
      </c>
      <c r="C29" s="5"/>
      <c r="D29" s="5"/>
      <c r="E29" s="5"/>
      <c r="F29" s="5"/>
      <c r="G29" s="11"/>
      <c r="I29" s="3" t="s">
        <v>338</v>
      </c>
    </row>
    <row r="30" spans="1:12" ht="15.75" thickBot="1" x14ac:dyDescent="0.3">
      <c r="A30" s="4">
        <v>0.5</v>
      </c>
      <c r="B30" s="16"/>
      <c r="C30" s="16"/>
      <c r="D30" s="16"/>
      <c r="E30" s="16"/>
      <c r="F30" s="16"/>
      <c r="G30" s="17"/>
      <c r="I30" s="3" t="s">
        <v>339</v>
      </c>
    </row>
    <row r="31" spans="1:12" x14ac:dyDescent="0.25">
      <c r="I31" s="3" t="s">
        <v>340</v>
      </c>
    </row>
  </sheetData>
  <sheetProtection formatCells="0" formatColumns="0" formatRows="0"/>
  <mergeCells count="1">
    <mergeCell ref="F1:G1"/>
  </mergeCells>
  <conditionalFormatting sqref="B1">
    <cfRule type="cellIs" dxfId="32" priority="1" operator="equal">
      <formula>"Incomplete"</formula>
    </cfRule>
    <cfRule type="cellIs" dxfId="31" priority="2" operator="equal">
      <formula>"Flag for Review"</formula>
    </cfRule>
    <cfRule type="cellIs" dxfId="30" priority="3" operator="equal">
      <formula>"Finished"</formula>
    </cfRule>
  </conditionalFormatting>
  <dataValidations count="2">
    <dataValidation type="list" allowBlank="1" showInputMessage="1" showErrorMessage="1" sqref="B1" xr:uid="{3AB81081-9240-4D16-A6CB-E2EE49CCDBD7}">
      <formula1>"Finished, Flag for Review, Incomplete"</formula1>
    </dataValidation>
    <dataValidation type="decimal" allowBlank="1" showInputMessage="1" showErrorMessage="1" sqref="A16 A21 A30" xr:uid="{33243D4D-9CB5-4B89-BA01-A5802707AADC}">
      <formula1>0</formula1>
      <formula2>A15</formula2>
    </dataValidation>
  </dataValidations>
  <hyperlinks>
    <hyperlink ref="F1" location="Navigator!A1" display="Navigator" xr:uid="{69E410DF-94E3-4C59-8143-F70AC68F7BE7}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3AE62-DEF9-46F0-B862-F38D68807B5D}">
  <sheetPr codeName="Sheet14"/>
  <dimension ref="A1:M33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6" style="3" bestFit="1" customWidth="1"/>
    <col min="3" max="4" width="16.140625" style="3" customWidth="1"/>
    <col min="5" max="5" width="11.7109375" style="3" customWidth="1"/>
    <col min="6" max="6" width="9.28515625" style="3" customWidth="1"/>
    <col min="7" max="7" width="3.7109375" style="40" customWidth="1"/>
    <col min="8" max="8" width="12.42578125" style="3" customWidth="1"/>
    <col min="9" max="9" width="12.28515625" style="3" bestFit="1" customWidth="1"/>
    <col min="10" max="10" width="12" style="3" bestFit="1" customWidth="1"/>
    <col min="11" max="11" width="11.42578125" style="3" customWidth="1"/>
    <col min="12" max="16384" width="9.140625" style="3"/>
  </cols>
  <sheetData>
    <row r="1" spans="1:13" ht="15.75" x14ac:dyDescent="0.25">
      <c r="A1" s="8">
        <f ca="1">VALUE(MID(CELL("filename",A1),FIND("]",CELL("filename",A1))+1,LEN(CELL("filename",A1))-FIND("]",CELL("filename",A1))+1))</f>
        <v>12</v>
      </c>
      <c r="B1" s="57" t="s">
        <v>604</v>
      </c>
      <c r="C1" s="9"/>
      <c r="D1" s="9"/>
      <c r="E1" s="418" t="s">
        <v>41</v>
      </c>
      <c r="F1" s="419"/>
      <c r="H1" s="58" t="s">
        <v>31</v>
      </c>
    </row>
    <row r="2" spans="1:13" x14ac:dyDescent="0.25">
      <c r="A2" s="10"/>
      <c r="B2" s="5"/>
      <c r="C2" s="5"/>
      <c r="D2" s="5"/>
      <c r="E2" s="5"/>
      <c r="F2" s="11"/>
      <c r="G2" s="3" t="s">
        <v>605</v>
      </c>
      <c r="H2" s="3" t="s">
        <v>353</v>
      </c>
    </row>
    <row r="3" spans="1:13" x14ac:dyDescent="0.25">
      <c r="A3" s="12" t="s">
        <v>14</v>
      </c>
      <c r="B3" s="5" t="s">
        <v>341</v>
      </c>
      <c r="C3" s="5"/>
      <c r="D3" s="5"/>
      <c r="E3" s="5"/>
      <c r="F3" s="11"/>
      <c r="G3" s="3"/>
      <c r="K3" s="40" t="s">
        <v>354</v>
      </c>
    </row>
    <row r="4" spans="1:13" x14ac:dyDescent="0.25">
      <c r="A4" s="13">
        <f ca="1">INDEX('Point Grid'!B:B,MATCH('12'!A1,'Point Grid'!A:A,0))</f>
        <v>2</v>
      </c>
      <c r="B4" s="5" t="s">
        <v>342</v>
      </c>
      <c r="C4" s="5"/>
      <c r="D4" s="5"/>
      <c r="E4" s="5"/>
      <c r="F4" s="11"/>
      <c r="G4" s="3"/>
    </row>
    <row r="5" spans="1:13" x14ac:dyDescent="0.25">
      <c r="A5" s="10"/>
      <c r="B5" s="5" t="s">
        <v>343</v>
      </c>
      <c r="C5" s="5"/>
      <c r="D5" s="5"/>
      <c r="E5" s="5"/>
      <c r="F5" s="11"/>
      <c r="G5" s="3"/>
    </row>
    <row r="6" spans="1:13" x14ac:dyDescent="0.25">
      <c r="A6" s="5"/>
      <c r="B6" s="5"/>
      <c r="C6" s="5"/>
      <c r="D6" s="5"/>
      <c r="E6" s="5"/>
      <c r="F6" s="11"/>
      <c r="G6" s="3"/>
      <c r="H6" s="3" t="s">
        <v>355</v>
      </c>
    </row>
    <row r="7" spans="1:13" x14ac:dyDescent="0.25">
      <c r="A7" s="5"/>
      <c r="B7" s="5" t="s">
        <v>344</v>
      </c>
      <c r="C7" s="5"/>
      <c r="D7" s="5"/>
      <c r="E7" s="5"/>
      <c r="F7" s="11"/>
      <c r="G7" s="3"/>
    </row>
    <row r="8" spans="1:13" x14ac:dyDescent="0.25">
      <c r="A8" s="5"/>
      <c r="B8" s="5"/>
      <c r="C8" s="5"/>
      <c r="D8" s="5"/>
      <c r="E8" s="5"/>
      <c r="F8" s="11"/>
      <c r="G8" s="3"/>
      <c r="H8" s="3" t="s">
        <v>357</v>
      </c>
      <c r="M8" s="193">
        <f>B9</f>
        <v>1</v>
      </c>
    </row>
    <row r="9" spans="1:13" x14ac:dyDescent="0.25">
      <c r="A9" s="10"/>
      <c r="B9" s="194">
        <v>1</v>
      </c>
      <c r="C9" s="169" t="s">
        <v>345</v>
      </c>
      <c r="D9" s="195"/>
      <c r="E9" s="5"/>
      <c r="F9" s="11"/>
      <c r="G9" s="3"/>
      <c r="H9" s="3" t="s">
        <v>358</v>
      </c>
      <c r="M9" s="193">
        <f>B10</f>
        <v>0.4</v>
      </c>
    </row>
    <row r="10" spans="1:13" x14ac:dyDescent="0.25">
      <c r="A10" s="5"/>
      <c r="B10" s="147">
        <v>0.4</v>
      </c>
      <c r="C10" s="5" t="s">
        <v>346</v>
      </c>
      <c r="D10" s="166"/>
      <c r="E10" s="5"/>
      <c r="F10" s="11"/>
      <c r="G10" s="3"/>
      <c r="H10" s="3" t="s">
        <v>359</v>
      </c>
      <c r="M10" s="193">
        <f>B12</f>
        <v>0.6</v>
      </c>
    </row>
    <row r="11" spans="1:13" x14ac:dyDescent="0.25">
      <c r="A11" s="5"/>
      <c r="B11" s="147">
        <v>1.2</v>
      </c>
      <c r="C11" s="5" t="s">
        <v>347</v>
      </c>
      <c r="D11" s="166"/>
      <c r="E11" s="5"/>
      <c r="F11" s="11"/>
      <c r="G11" s="3"/>
      <c r="H11" s="3" t="s">
        <v>364</v>
      </c>
      <c r="M11" s="193">
        <f>B14</f>
        <v>0.35</v>
      </c>
    </row>
    <row r="12" spans="1:13" x14ac:dyDescent="0.25">
      <c r="A12" s="5"/>
      <c r="B12" s="147">
        <v>0.6</v>
      </c>
      <c r="C12" s="5" t="s">
        <v>348</v>
      </c>
      <c r="D12" s="166"/>
      <c r="E12" s="5"/>
      <c r="F12" s="11"/>
      <c r="G12" s="3"/>
    </row>
    <row r="13" spans="1:13" x14ac:dyDescent="0.25">
      <c r="A13" s="5"/>
      <c r="B13" s="147">
        <v>1.05</v>
      </c>
      <c r="C13" s="5" t="s">
        <v>349</v>
      </c>
      <c r="D13" s="166"/>
      <c r="E13" s="5"/>
      <c r="F13" s="11"/>
      <c r="G13" s="3"/>
      <c r="H13" s="3" t="s">
        <v>360</v>
      </c>
    </row>
    <row r="14" spans="1:13" x14ac:dyDescent="0.25">
      <c r="A14" s="5"/>
      <c r="B14" s="147">
        <v>0.35</v>
      </c>
      <c r="C14" s="5" t="s">
        <v>350</v>
      </c>
      <c r="D14" s="166"/>
      <c r="E14" s="5"/>
      <c r="F14" s="11"/>
      <c r="G14" s="3"/>
    </row>
    <row r="15" spans="1:13" x14ac:dyDescent="0.25">
      <c r="A15" s="5"/>
      <c r="B15" s="151">
        <v>0.1</v>
      </c>
      <c r="C15" s="69" t="s">
        <v>351</v>
      </c>
      <c r="D15" s="167"/>
      <c r="E15" s="5"/>
      <c r="F15" s="11"/>
      <c r="G15" s="3"/>
      <c r="K15" s="40" t="s">
        <v>361</v>
      </c>
    </row>
    <row r="16" spans="1:13" x14ac:dyDescent="0.25">
      <c r="A16" s="5"/>
      <c r="B16" s="5"/>
      <c r="C16" s="5"/>
      <c r="D16" s="5"/>
      <c r="E16" s="5"/>
      <c r="F16" s="11"/>
      <c r="G16" s="3"/>
    </row>
    <row r="17" spans="1:12" x14ac:dyDescent="0.25">
      <c r="A17" s="14" t="s">
        <v>2</v>
      </c>
      <c r="B17" s="5" t="s">
        <v>352</v>
      </c>
      <c r="C17" s="5"/>
      <c r="D17" s="5"/>
      <c r="E17" s="5"/>
      <c r="F17" s="11"/>
    </row>
    <row r="18" spans="1:12" ht="15.75" thickBot="1" x14ac:dyDescent="0.3">
      <c r="A18" s="13">
        <f ca="1">INDEX('Point Grid'!$C$8:$I$27,MATCH($A$1,'Point Grid'!$A$8:$A$27,0),MATCH(A17,'Point Grid'!$C$7:$I$7,0))</f>
        <v>2</v>
      </c>
      <c r="B18" s="5"/>
      <c r="C18" s="5"/>
      <c r="D18" s="5"/>
      <c r="E18" s="5"/>
      <c r="F18" s="11"/>
      <c r="H18" s="58" t="s">
        <v>356</v>
      </c>
    </row>
    <row r="19" spans="1:12" ht="15.75" thickBot="1" x14ac:dyDescent="0.3">
      <c r="A19" s="4">
        <v>2</v>
      </c>
      <c r="B19" s="5"/>
      <c r="C19" s="5"/>
      <c r="D19" s="5"/>
      <c r="E19" s="5"/>
      <c r="F19" s="11"/>
      <c r="H19" s="3" t="s">
        <v>362</v>
      </c>
      <c r="J19" s="183">
        <f>((M11+M10)*B13-M9)/(B11*M10*B13)</f>
        <v>0.79034391534391524</v>
      </c>
    </row>
    <row r="20" spans="1:12" ht="15.75" thickBot="1" x14ac:dyDescent="0.3">
      <c r="A20" s="15"/>
      <c r="B20" s="16"/>
      <c r="C20" s="16"/>
      <c r="D20" s="16"/>
      <c r="E20" s="16"/>
      <c r="F20" s="17"/>
      <c r="H20" s="3" t="s">
        <v>363</v>
      </c>
      <c r="J20" s="183">
        <f>(M8-M9)/(B11*M10*B13)</f>
        <v>0.79365079365079361</v>
      </c>
    </row>
    <row r="22" spans="1:12" x14ac:dyDescent="0.25">
      <c r="H22" s="58" t="s">
        <v>365</v>
      </c>
    </row>
    <row r="23" spans="1:12" x14ac:dyDescent="0.25">
      <c r="H23" s="3" t="s">
        <v>368</v>
      </c>
    </row>
    <row r="25" spans="1:12" x14ac:dyDescent="0.25">
      <c r="H25" s="3" t="s">
        <v>369</v>
      </c>
      <c r="I25" s="40">
        <f>(1-B15)*M10</f>
        <v>0.54</v>
      </c>
      <c r="J25" s="109" t="s">
        <v>370</v>
      </c>
    </row>
    <row r="27" spans="1:12" x14ac:dyDescent="0.25">
      <c r="H27" s="3" t="s">
        <v>367</v>
      </c>
    </row>
    <row r="29" spans="1:12" x14ac:dyDescent="0.25">
      <c r="H29" s="3" t="s">
        <v>362</v>
      </c>
      <c r="J29" s="183">
        <f>((M11+M10)*B13-M9)/(B11*I25*B13)</f>
        <v>0.87815990593768356</v>
      </c>
      <c r="L29" s="109" t="s">
        <v>380</v>
      </c>
    </row>
    <row r="30" spans="1:12" x14ac:dyDescent="0.25">
      <c r="H30" s="3" t="s">
        <v>363</v>
      </c>
      <c r="J30" s="183">
        <f>(M8-M9)/(B11*I25*B13)</f>
        <v>0.88183421516754845</v>
      </c>
      <c r="L30" s="109" t="s">
        <v>381</v>
      </c>
    </row>
    <row r="31" spans="1:12" x14ac:dyDescent="0.25">
      <c r="L31" s="109" t="s">
        <v>382</v>
      </c>
    </row>
    <row r="32" spans="1:12" x14ac:dyDescent="0.25">
      <c r="H32" s="3" t="s">
        <v>372</v>
      </c>
      <c r="J32" s="389">
        <f>J29-J19</f>
        <v>8.7815990593768323E-2</v>
      </c>
    </row>
    <row r="33" spans="8:10" x14ac:dyDescent="0.25">
      <c r="H33" s="3" t="s">
        <v>371</v>
      </c>
      <c r="J33" s="389">
        <f>J30-J20</f>
        <v>8.8183421516754845E-2</v>
      </c>
    </row>
  </sheetData>
  <sheetProtection formatCells="0" formatColumns="0" formatRows="0"/>
  <mergeCells count="1">
    <mergeCell ref="E1:F1"/>
  </mergeCells>
  <conditionalFormatting sqref="B1">
    <cfRule type="cellIs" dxfId="29" priority="1" operator="equal">
      <formula>"Incomplete"</formula>
    </cfRule>
    <cfRule type="cellIs" dxfId="28" priority="2" operator="equal">
      <formula>"Flag for Review"</formula>
    </cfRule>
    <cfRule type="cellIs" dxfId="27" priority="3" operator="equal">
      <formula>"Finished"</formula>
    </cfRule>
  </conditionalFormatting>
  <dataValidations count="2">
    <dataValidation type="decimal" allowBlank="1" showInputMessage="1" showErrorMessage="1" sqref="A19" xr:uid="{DEFD49D5-8A8C-4FF0-AC11-A4FBD08942C1}">
      <formula1>0</formula1>
      <formula2>A18</formula2>
    </dataValidation>
    <dataValidation type="list" allowBlank="1" showInputMessage="1" showErrorMessage="1" sqref="B1" xr:uid="{1DB612C0-CD2B-46AD-9D7C-F0A75A85985E}">
      <formula1>"Finished, Flag for Review, Incomplete"</formula1>
    </dataValidation>
  </dataValidations>
  <hyperlinks>
    <hyperlink ref="E1" location="Navigator!A1" display="Navigator" xr:uid="{CF36D20F-A0FE-4AC9-8557-95A9C16E6F91}"/>
  </hyperlinks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110730-8DC4-453C-BA96-A92985F43952}">
  <sheetPr codeName="Sheet15"/>
  <dimension ref="A1:M68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3.42578125" style="3" customWidth="1"/>
    <col min="3" max="4" width="10.28515625" style="3" customWidth="1"/>
    <col min="5" max="5" width="9.28515625" style="3" customWidth="1"/>
    <col min="6" max="6" width="10.42578125" style="3" customWidth="1"/>
    <col min="7" max="7" width="3.7109375" style="40" customWidth="1"/>
    <col min="8" max="8" width="9.7109375" style="3" customWidth="1"/>
    <col min="9" max="9" width="12.28515625" style="3" bestFit="1" customWidth="1"/>
    <col min="10" max="10" width="9.140625" style="3"/>
    <col min="11" max="11" width="12.28515625" style="3" bestFit="1" customWidth="1"/>
    <col min="12" max="12" width="12.85546875" style="3" bestFit="1" customWidth="1"/>
    <col min="13" max="16384" width="9.140625" style="3"/>
  </cols>
  <sheetData>
    <row r="1" spans="1:13" ht="15.75" x14ac:dyDescent="0.25">
      <c r="A1" s="8">
        <f ca="1">VALUE(MID(CELL("filename",A1),FIND("]",CELL("filename",A1))+1,LEN(CELL("filename",A1))-FIND("]",CELL("filename",A1))+1))</f>
        <v>13</v>
      </c>
      <c r="B1" s="57" t="s">
        <v>604</v>
      </c>
      <c r="C1" s="9"/>
      <c r="D1" s="9"/>
      <c r="E1" s="418" t="s">
        <v>41</v>
      </c>
      <c r="F1" s="419"/>
      <c r="H1" s="58" t="s">
        <v>31</v>
      </c>
    </row>
    <row r="2" spans="1:13" x14ac:dyDescent="0.25">
      <c r="A2" s="10"/>
      <c r="B2" s="5"/>
      <c r="C2" s="5"/>
      <c r="D2" s="5"/>
      <c r="E2" s="5"/>
      <c r="F2" s="11"/>
      <c r="G2" s="3" t="s">
        <v>605</v>
      </c>
      <c r="H2" s="3" t="s">
        <v>378</v>
      </c>
      <c r="I2" s="202">
        <f>AVERAGE(C7:C21)</f>
        <v>0.60933333333333339</v>
      </c>
      <c r="J2" s="109" t="s">
        <v>379</v>
      </c>
    </row>
    <row r="3" spans="1:13" x14ac:dyDescent="0.25">
      <c r="A3" s="12" t="s">
        <v>14</v>
      </c>
      <c r="B3" s="5" t="s">
        <v>684</v>
      </c>
      <c r="C3" s="5"/>
      <c r="D3" s="5"/>
      <c r="E3" s="5"/>
      <c r="F3" s="11"/>
      <c r="G3" s="3"/>
      <c r="H3" s="3" t="s">
        <v>366</v>
      </c>
      <c r="I3" s="202">
        <f>AVERAGE(D7:D21)</f>
        <v>0.51866666666666672</v>
      </c>
    </row>
    <row r="4" spans="1:13" x14ac:dyDescent="0.25">
      <c r="A4" s="13">
        <f ca="1">INDEX('Point Grid'!B:B,MATCH('13'!A1,'Point Grid'!A:A,0))</f>
        <v>4</v>
      </c>
      <c r="B4" s="5" t="s">
        <v>685</v>
      </c>
      <c r="C4" s="5"/>
      <c r="D4" s="5"/>
      <c r="E4" s="5"/>
      <c r="F4" s="11"/>
      <c r="G4" s="3"/>
    </row>
    <row r="5" spans="1:13" x14ac:dyDescent="0.25">
      <c r="A5" s="10"/>
      <c r="B5" s="196"/>
      <c r="C5" s="197" t="s">
        <v>373</v>
      </c>
      <c r="D5" s="198"/>
      <c r="E5" s="5"/>
      <c r="F5" s="11"/>
      <c r="G5" s="3"/>
    </row>
    <row r="6" spans="1:13" x14ac:dyDescent="0.25">
      <c r="A6" s="10"/>
      <c r="B6" s="179" t="s">
        <v>376</v>
      </c>
      <c r="C6" s="181" t="s">
        <v>374</v>
      </c>
      <c r="D6" s="180" t="s">
        <v>375</v>
      </c>
      <c r="E6" s="5"/>
      <c r="F6" s="11"/>
      <c r="G6" s="3"/>
    </row>
    <row r="7" spans="1:13" x14ac:dyDescent="0.25">
      <c r="A7" s="10"/>
      <c r="B7" s="64">
        <v>3</v>
      </c>
      <c r="C7" s="199">
        <v>0.28999999999999998</v>
      </c>
      <c r="D7" s="199">
        <v>0.06</v>
      </c>
      <c r="E7" s="5"/>
      <c r="F7" s="11"/>
      <c r="G7" s="3"/>
      <c r="H7" s="3" t="s">
        <v>383</v>
      </c>
      <c r="I7" s="375">
        <f>(I2-I3)/I2</f>
        <v>0.1487964989059081</v>
      </c>
    </row>
    <row r="8" spans="1:13" x14ac:dyDescent="0.25">
      <c r="A8" s="10"/>
      <c r="B8" s="48">
        <v>4</v>
      </c>
      <c r="C8" s="200">
        <v>0.35</v>
      </c>
      <c r="D8" s="200">
        <v>0.06</v>
      </c>
      <c r="E8" s="5"/>
      <c r="F8" s="11"/>
      <c r="G8" s="3"/>
    </row>
    <row r="9" spans="1:13" x14ac:dyDescent="0.25">
      <c r="A9" s="10"/>
      <c r="B9" s="48">
        <v>1</v>
      </c>
      <c r="C9" s="200">
        <v>0.14000000000000001</v>
      </c>
      <c r="D9" s="200">
        <v>0.14000000000000001</v>
      </c>
      <c r="E9" s="5"/>
      <c r="F9" s="11"/>
      <c r="G9" s="3" t="s">
        <v>618</v>
      </c>
      <c r="H9" s="3" t="s">
        <v>384</v>
      </c>
    </row>
    <row r="10" spans="1:13" x14ac:dyDescent="0.25">
      <c r="A10" s="10"/>
      <c r="B10" s="48">
        <v>2</v>
      </c>
      <c r="C10" s="200">
        <v>0.25</v>
      </c>
      <c r="D10" s="200">
        <v>0.25</v>
      </c>
      <c r="E10" s="5"/>
      <c r="F10" s="11"/>
      <c r="G10" s="3"/>
      <c r="H10" s="3" t="s">
        <v>385</v>
      </c>
    </row>
    <row r="11" spans="1:13" x14ac:dyDescent="0.25">
      <c r="A11" s="10"/>
      <c r="B11" s="48">
        <v>5</v>
      </c>
      <c r="C11" s="200">
        <v>0.41</v>
      </c>
      <c r="D11" s="200">
        <v>0.41</v>
      </c>
      <c r="E11" s="5"/>
      <c r="F11" s="11"/>
      <c r="G11" s="3"/>
      <c r="H11" s="3" t="s">
        <v>386</v>
      </c>
    </row>
    <row r="12" spans="1:13" x14ac:dyDescent="0.25">
      <c r="A12" s="10"/>
      <c r="B12" s="48">
        <v>8</v>
      </c>
      <c r="C12" s="200">
        <v>0.63</v>
      </c>
      <c r="D12" s="200">
        <v>0.41</v>
      </c>
      <c r="E12" s="5"/>
      <c r="F12" s="11"/>
      <c r="G12" s="3"/>
    </row>
    <row r="13" spans="1:13" x14ac:dyDescent="0.25">
      <c r="A13" s="10"/>
      <c r="B13" s="48">
        <v>6</v>
      </c>
      <c r="C13" s="200">
        <v>0.5</v>
      </c>
      <c r="D13" s="200">
        <v>0.45</v>
      </c>
      <c r="E13" s="5"/>
      <c r="F13" s="11"/>
      <c r="G13" s="3"/>
      <c r="H13" s="3" t="s">
        <v>393</v>
      </c>
    </row>
    <row r="14" spans="1:13" x14ac:dyDescent="0.25">
      <c r="A14" s="10"/>
      <c r="B14" s="48">
        <v>7</v>
      </c>
      <c r="C14" s="200">
        <v>0.5</v>
      </c>
      <c r="D14" s="200">
        <v>0.5</v>
      </c>
      <c r="E14" s="5"/>
      <c r="F14" s="11"/>
      <c r="G14" s="3"/>
      <c r="H14" s="136" t="s">
        <v>373</v>
      </c>
      <c r="I14" s="112" t="s">
        <v>392</v>
      </c>
      <c r="J14" s="112" t="s">
        <v>388</v>
      </c>
      <c r="K14" s="137" t="s">
        <v>389</v>
      </c>
      <c r="L14" s="112" t="s">
        <v>390</v>
      </c>
      <c r="M14" s="138" t="s">
        <v>391</v>
      </c>
    </row>
    <row r="15" spans="1:13" x14ac:dyDescent="0.25">
      <c r="A15" s="10"/>
      <c r="B15" s="48">
        <v>9</v>
      </c>
      <c r="C15" s="200">
        <v>0.66</v>
      </c>
      <c r="D15" s="200">
        <v>0.66</v>
      </c>
      <c r="E15" s="5"/>
      <c r="F15" s="11"/>
      <c r="G15" s="3"/>
      <c r="H15" s="379">
        <v>0</v>
      </c>
      <c r="I15" s="120">
        <f>H15/$I$2</f>
        <v>0</v>
      </c>
      <c r="J15" s="142">
        <f>COUNTIF($C$7:$C$21,H15)</f>
        <v>0</v>
      </c>
      <c r="K15" s="203">
        <f>SUM(J16:$J$36)</f>
        <v>15</v>
      </c>
      <c r="L15" s="205">
        <f>K15/$J$38</f>
        <v>1</v>
      </c>
      <c r="M15" s="382">
        <f t="shared" ref="M15:M34" si="0">M16+L15*(I16-I15)</f>
        <v>0.99999999999999967</v>
      </c>
    </row>
    <row r="16" spans="1:13" x14ac:dyDescent="0.25">
      <c r="A16" s="10"/>
      <c r="B16" s="48">
        <v>13</v>
      </c>
      <c r="C16" s="200">
        <v>0.99</v>
      </c>
      <c r="D16" s="200">
        <v>0.67</v>
      </c>
      <c r="E16" s="5"/>
      <c r="F16" s="11"/>
      <c r="G16" s="3"/>
      <c r="H16" s="380">
        <v>0.1</v>
      </c>
      <c r="I16" s="125">
        <f t="shared" ref="I16:I36" si="1">H16/$I$2</f>
        <v>0.16411378555798686</v>
      </c>
      <c r="J16" s="208">
        <f t="shared" ref="J16:J36" si="2">COUNTIF($C$7:$C$21,H16)</f>
        <v>0</v>
      </c>
      <c r="K16" s="40">
        <f>SUM(J17:$J$36)</f>
        <v>15</v>
      </c>
      <c r="L16" s="206">
        <f t="shared" ref="L16:L36" si="3">K16/$J$38</f>
        <v>1</v>
      </c>
      <c r="M16" s="383">
        <f t="shared" si="0"/>
        <v>0.83588621444201283</v>
      </c>
    </row>
    <row r="17" spans="1:13" x14ac:dyDescent="0.25">
      <c r="A17" s="10"/>
      <c r="B17" s="48">
        <v>10</v>
      </c>
      <c r="C17" s="200">
        <v>0.71</v>
      </c>
      <c r="D17" s="200">
        <v>0.71</v>
      </c>
      <c r="E17" s="5"/>
      <c r="F17" s="11"/>
      <c r="G17" s="3"/>
      <c r="H17" s="204">
        <v>0.14000000000000001</v>
      </c>
      <c r="I17" s="125">
        <f t="shared" si="1"/>
        <v>0.22975929978118162</v>
      </c>
      <c r="J17" s="208">
        <f t="shared" si="2"/>
        <v>1</v>
      </c>
      <c r="K17" s="40">
        <f>SUM(J18:$J$36)</f>
        <v>14</v>
      </c>
      <c r="L17" s="206">
        <f t="shared" si="3"/>
        <v>0.93333333333333335</v>
      </c>
      <c r="M17" s="139">
        <f t="shared" si="0"/>
        <v>0.77024070021881808</v>
      </c>
    </row>
    <row r="18" spans="1:13" x14ac:dyDescent="0.25">
      <c r="A18" s="10"/>
      <c r="B18" s="48">
        <v>11</v>
      </c>
      <c r="C18" s="200">
        <v>0.75</v>
      </c>
      <c r="D18" s="200">
        <v>0.75</v>
      </c>
      <c r="E18" s="5"/>
      <c r="F18" s="11"/>
      <c r="G18" s="3"/>
      <c r="H18" s="380">
        <v>0.2</v>
      </c>
      <c r="I18" s="125">
        <f t="shared" si="1"/>
        <v>0.32822757111597373</v>
      </c>
      <c r="J18" s="208">
        <f t="shared" si="2"/>
        <v>0</v>
      </c>
      <c r="K18" s="40">
        <f>SUM(J19:$J$36)</f>
        <v>14</v>
      </c>
      <c r="L18" s="206">
        <f t="shared" si="3"/>
        <v>0.93333333333333335</v>
      </c>
      <c r="M18" s="383">
        <f t="shared" si="0"/>
        <v>0.67833698030634548</v>
      </c>
    </row>
    <row r="19" spans="1:13" x14ac:dyDescent="0.25">
      <c r="A19" s="10"/>
      <c r="B19" s="48">
        <v>14</v>
      </c>
      <c r="C19" s="200">
        <v>1</v>
      </c>
      <c r="D19" s="200">
        <v>0.75</v>
      </c>
      <c r="E19" s="5"/>
      <c r="F19" s="11"/>
      <c r="G19" s="3"/>
      <c r="H19" s="204">
        <v>0.25</v>
      </c>
      <c r="I19" s="125">
        <f t="shared" si="1"/>
        <v>0.41028446389496714</v>
      </c>
      <c r="J19" s="208">
        <f t="shared" si="2"/>
        <v>1</v>
      </c>
      <c r="K19" s="40">
        <f>SUM(J20:$J$36)</f>
        <v>13</v>
      </c>
      <c r="L19" s="206">
        <f t="shared" si="3"/>
        <v>0.8666666666666667</v>
      </c>
      <c r="M19" s="139">
        <f t="shared" si="0"/>
        <v>0.60175054704595166</v>
      </c>
    </row>
    <row r="20" spans="1:13" x14ac:dyDescent="0.25">
      <c r="A20" s="10"/>
      <c r="B20" s="48">
        <v>12</v>
      </c>
      <c r="C20" s="200">
        <v>0.96</v>
      </c>
      <c r="D20" s="200">
        <v>0.96</v>
      </c>
      <c r="E20" s="5"/>
      <c r="F20" s="11"/>
      <c r="G20" s="3"/>
      <c r="H20" s="204">
        <v>0.28999999999999998</v>
      </c>
      <c r="I20" s="125">
        <f t="shared" si="1"/>
        <v>0.47592997811816184</v>
      </c>
      <c r="J20" s="208">
        <f t="shared" si="2"/>
        <v>1</v>
      </c>
      <c r="K20" s="40">
        <f>SUM(J21:$J$36)</f>
        <v>12</v>
      </c>
      <c r="L20" s="206">
        <f t="shared" si="3"/>
        <v>0.8</v>
      </c>
      <c r="M20" s="139">
        <f t="shared" si="0"/>
        <v>0.54485776805251629</v>
      </c>
    </row>
    <row r="21" spans="1:13" x14ac:dyDescent="0.25">
      <c r="A21" s="10"/>
      <c r="B21" s="49">
        <v>15</v>
      </c>
      <c r="C21" s="201">
        <v>1</v>
      </c>
      <c r="D21" s="201">
        <v>1</v>
      </c>
      <c r="E21" s="5"/>
      <c r="F21" s="11"/>
      <c r="G21" s="3"/>
      <c r="H21" s="380">
        <v>0.3</v>
      </c>
      <c r="I21" s="125">
        <f t="shared" si="1"/>
        <v>0.49234135667396056</v>
      </c>
      <c r="J21" s="208">
        <f t="shared" si="2"/>
        <v>0</v>
      </c>
      <c r="K21" s="40">
        <f>SUM(J22:$J$36)</f>
        <v>12</v>
      </c>
      <c r="L21" s="206">
        <f t="shared" si="3"/>
        <v>0.8</v>
      </c>
      <c r="M21" s="383">
        <f t="shared" si="0"/>
        <v>0.53172866520787732</v>
      </c>
    </row>
    <row r="22" spans="1:13" x14ac:dyDescent="0.25">
      <c r="A22" s="10"/>
      <c r="B22" s="5"/>
      <c r="C22" s="5"/>
      <c r="D22" s="5"/>
      <c r="E22" s="5"/>
      <c r="F22" s="11"/>
      <c r="G22" s="3"/>
      <c r="H22" s="204">
        <v>0.35</v>
      </c>
      <c r="I22" s="125">
        <f t="shared" si="1"/>
        <v>0.57439824945295392</v>
      </c>
      <c r="J22" s="208">
        <f t="shared" si="2"/>
        <v>1</v>
      </c>
      <c r="K22" s="40">
        <f>SUM(J23:$J$36)</f>
        <v>11</v>
      </c>
      <c r="L22" s="206">
        <f t="shared" si="3"/>
        <v>0.73333333333333328</v>
      </c>
      <c r="M22" s="139">
        <f t="shared" si="0"/>
        <v>0.46608315098468267</v>
      </c>
    </row>
    <row r="23" spans="1:13" x14ac:dyDescent="0.25">
      <c r="A23" s="14" t="s">
        <v>2</v>
      </c>
      <c r="B23" s="5" t="s">
        <v>377</v>
      </c>
      <c r="C23" s="5"/>
      <c r="D23" s="5"/>
      <c r="E23" s="5"/>
      <c r="F23" s="11"/>
      <c r="G23" s="3"/>
      <c r="H23" s="380">
        <v>0.4</v>
      </c>
      <c r="I23" s="125">
        <f t="shared" si="1"/>
        <v>0.65645514223194745</v>
      </c>
      <c r="J23" s="208">
        <f t="shared" si="2"/>
        <v>0</v>
      </c>
      <c r="K23" s="40">
        <f>SUM(J24:$J$36)</f>
        <v>11</v>
      </c>
      <c r="L23" s="206">
        <f t="shared" si="3"/>
        <v>0.73333333333333328</v>
      </c>
      <c r="M23" s="383">
        <f t="shared" si="0"/>
        <v>0.40590809628008745</v>
      </c>
    </row>
    <row r="24" spans="1:13" ht="15.75" thickBot="1" x14ac:dyDescent="0.3">
      <c r="A24" s="13">
        <f ca="1">INDEX('Point Grid'!$C$8:$I$27,MATCH($A$1,'Point Grid'!$A$8:$A$27,0),MATCH(A23,'Point Grid'!$C$7:$I$7,0))</f>
        <v>0.5</v>
      </c>
      <c r="B24" s="5"/>
      <c r="C24" s="5"/>
      <c r="D24" s="5"/>
      <c r="E24" s="5"/>
      <c r="F24" s="11"/>
      <c r="G24" s="3"/>
      <c r="H24" s="204">
        <v>0.41</v>
      </c>
      <c r="I24" s="125">
        <f t="shared" si="1"/>
        <v>0.67286652078774611</v>
      </c>
      <c r="J24" s="208">
        <f t="shared" si="2"/>
        <v>1</v>
      </c>
      <c r="K24" s="40">
        <f>SUM(J25:$J$36)</f>
        <v>10</v>
      </c>
      <c r="L24" s="206">
        <f t="shared" si="3"/>
        <v>0.66666666666666663</v>
      </c>
      <c r="M24" s="139">
        <f t="shared" si="0"/>
        <v>0.39387308533916843</v>
      </c>
    </row>
    <row r="25" spans="1:13" ht="15.75" thickBot="1" x14ac:dyDescent="0.3">
      <c r="A25" s="4">
        <v>0.5</v>
      </c>
      <c r="B25" s="5"/>
      <c r="C25" s="5"/>
      <c r="D25" s="5"/>
      <c r="E25" s="5"/>
      <c r="F25" s="11"/>
      <c r="G25" s="3"/>
      <c r="H25" s="380">
        <v>0.5</v>
      </c>
      <c r="I25" s="125">
        <f t="shared" si="1"/>
        <v>0.82056892778993429</v>
      </c>
      <c r="J25" s="208">
        <f t="shared" si="2"/>
        <v>2</v>
      </c>
      <c r="K25" s="40">
        <f>SUM(J26:$J$36)</f>
        <v>8</v>
      </c>
      <c r="L25" s="206">
        <f t="shared" si="3"/>
        <v>0.53333333333333333</v>
      </c>
      <c r="M25" s="383">
        <f t="shared" si="0"/>
        <v>0.29540481400437635</v>
      </c>
    </row>
    <row r="26" spans="1:13" x14ac:dyDescent="0.25">
      <c r="A26" s="10"/>
      <c r="B26" s="5"/>
      <c r="C26" s="5"/>
      <c r="D26" s="5"/>
      <c r="E26" s="5"/>
      <c r="F26" s="11"/>
      <c r="G26" s="3"/>
      <c r="H26" s="380">
        <v>0.6</v>
      </c>
      <c r="I26" s="125">
        <f t="shared" si="1"/>
        <v>0.98468271334792112</v>
      </c>
      <c r="J26" s="208">
        <f t="shared" si="2"/>
        <v>0</v>
      </c>
      <c r="K26" s="40">
        <f>SUM(J27:$J$36)</f>
        <v>8</v>
      </c>
      <c r="L26" s="206">
        <f t="shared" si="3"/>
        <v>0.53333333333333333</v>
      </c>
      <c r="M26" s="383">
        <f t="shared" si="0"/>
        <v>0.20787746170678334</v>
      </c>
    </row>
    <row r="27" spans="1:13" x14ac:dyDescent="0.25">
      <c r="A27" s="14" t="s">
        <v>3</v>
      </c>
      <c r="B27" s="5" t="s">
        <v>682</v>
      </c>
      <c r="C27" s="5"/>
      <c r="D27" s="5"/>
      <c r="E27" s="5"/>
      <c r="F27" s="11"/>
      <c r="G27" s="3"/>
      <c r="H27" s="204">
        <v>0.63</v>
      </c>
      <c r="I27" s="125">
        <f t="shared" si="1"/>
        <v>1.0339168490153172</v>
      </c>
      <c r="J27" s="208">
        <f t="shared" si="2"/>
        <v>1</v>
      </c>
      <c r="K27" s="40">
        <f>SUM(J28:$J$36)</f>
        <v>7</v>
      </c>
      <c r="L27" s="206">
        <f t="shared" si="3"/>
        <v>0.46666666666666667</v>
      </c>
      <c r="M27" s="139">
        <f t="shared" si="0"/>
        <v>0.18161925601750542</v>
      </c>
    </row>
    <row r="28" spans="1:13" ht="15.75" thickBot="1" x14ac:dyDescent="0.3">
      <c r="A28" s="13">
        <f ca="1">INDEX('Point Grid'!$C$8:$I$27,MATCH($A$1,'Point Grid'!$A$8:$A$27,0),MATCH(A27,'Point Grid'!$C$7:$I$7,0))</f>
        <v>1.5</v>
      </c>
      <c r="B28" s="5" t="s">
        <v>681</v>
      </c>
      <c r="C28" s="5"/>
      <c r="D28" s="5"/>
      <c r="E28" s="5"/>
      <c r="F28" s="11"/>
      <c r="G28" s="3"/>
      <c r="H28" s="204">
        <v>0.66</v>
      </c>
      <c r="I28" s="125">
        <f t="shared" si="1"/>
        <v>1.0831509846827132</v>
      </c>
      <c r="J28" s="208">
        <f t="shared" si="2"/>
        <v>1</v>
      </c>
      <c r="K28" s="40">
        <f>SUM(J29:$J$36)</f>
        <v>6</v>
      </c>
      <c r="L28" s="206">
        <f t="shared" si="3"/>
        <v>0.4</v>
      </c>
      <c r="M28" s="139">
        <f t="shared" si="0"/>
        <v>0.1586433260393873</v>
      </c>
    </row>
    <row r="29" spans="1:13" ht="15.75" thickBot="1" x14ac:dyDescent="0.3">
      <c r="A29" s="4">
        <v>1.5</v>
      </c>
      <c r="B29" s="10"/>
      <c r="C29" s="5"/>
      <c r="D29" s="5"/>
      <c r="E29" s="5"/>
      <c r="F29" s="11"/>
      <c r="H29" s="380">
        <v>0.7</v>
      </c>
      <c r="I29" s="125">
        <f t="shared" si="1"/>
        <v>1.1487964989059078</v>
      </c>
      <c r="J29" s="208">
        <f t="shared" si="2"/>
        <v>0</v>
      </c>
      <c r="K29" s="40">
        <f>SUM(J30:$J$36)</f>
        <v>6</v>
      </c>
      <c r="L29" s="206">
        <f t="shared" si="3"/>
        <v>0.4</v>
      </c>
      <c r="M29" s="383">
        <f t="shared" si="0"/>
        <v>0.13238512035010944</v>
      </c>
    </row>
    <row r="30" spans="1:13" x14ac:dyDescent="0.25">
      <c r="A30" s="10"/>
      <c r="B30" s="5"/>
      <c r="C30" s="5"/>
      <c r="D30" s="5"/>
      <c r="E30" s="5"/>
      <c r="F30" s="11"/>
      <c r="H30" s="204">
        <v>0.71</v>
      </c>
      <c r="I30" s="125">
        <f t="shared" si="1"/>
        <v>1.1652078774617065</v>
      </c>
      <c r="J30" s="208">
        <f t="shared" si="2"/>
        <v>1</v>
      </c>
      <c r="K30" s="40">
        <f>SUM(J31:$J$36)</f>
        <v>5</v>
      </c>
      <c r="L30" s="206">
        <f t="shared" si="3"/>
        <v>0.33333333333333331</v>
      </c>
      <c r="M30" s="139">
        <f t="shared" si="0"/>
        <v>0.12582056892778998</v>
      </c>
    </row>
    <row r="31" spans="1:13" x14ac:dyDescent="0.25">
      <c r="A31" s="14" t="s">
        <v>4</v>
      </c>
      <c r="B31" s="5" t="s">
        <v>683</v>
      </c>
      <c r="C31" s="5"/>
      <c r="D31" s="5"/>
      <c r="E31" s="5"/>
      <c r="F31" s="11"/>
      <c r="H31" s="204">
        <v>0.75</v>
      </c>
      <c r="I31" s="125">
        <f t="shared" si="1"/>
        <v>1.2308533916849014</v>
      </c>
      <c r="J31" s="208">
        <f t="shared" si="2"/>
        <v>1</v>
      </c>
      <c r="K31" s="40">
        <f>SUM(J32:$J$36)</f>
        <v>4</v>
      </c>
      <c r="L31" s="206">
        <f t="shared" si="3"/>
        <v>0.26666666666666666</v>
      </c>
      <c r="M31" s="139">
        <f t="shared" si="0"/>
        <v>0.1039387308533917</v>
      </c>
    </row>
    <row r="32" spans="1:13" ht="15.75" thickBot="1" x14ac:dyDescent="0.3">
      <c r="A32" s="13">
        <f ca="1">INDEX('Point Grid'!$C$8:$I$27,MATCH($A$1,'Point Grid'!$A$8:$A$27,0),MATCH(A31,'Point Grid'!$C$7:$I$7,0))</f>
        <v>2</v>
      </c>
      <c r="B32" s="5" t="s">
        <v>681</v>
      </c>
      <c r="C32" s="5"/>
      <c r="D32" s="5"/>
      <c r="E32" s="5"/>
      <c r="F32" s="11"/>
      <c r="H32" s="380">
        <v>0.8</v>
      </c>
      <c r="I32" s="125">
        <f t="shared" si="1"/>
        <v>1.3129102844638949</v>
      </c>
      <c r="J32" s="208">
        <f t="shared" si="2"/>
        <v>0</v>
      </c>
      <c r="K32" s="40">
        <f>SUM(J33:$J$36)</f>
        <v>4</v>
      </c>
      <c r="L32" s="206">
        <f t="shared" si="3"/>
        <v>0.26666666666666666</v>
      </c>
      <c r="M32" s="383">
        <f t="shared" si="0"/>
        <v>8.2056892778993418E-2</v>
      </c>
    </row>
    <row r="33" spans="1:13" ht="15.75" thickBot="1" x14ac:dyDescent="0.3">
      <c r="A33" s="4">
        <v>2</v>
      </c>
      <c r="B33" s="16"/>
      <c r="C33" s="16"/>
      <c r="D33" s="16"/>
      <c r="E33" s="16"/>
      <c r="F33" s="17"/>
      <c r="H33" s="380">
        <v>0.9</v>
      </c>
      <c r="I33" s="125">
        <f t="shared" si="1"/>
        <v>1.4770240700218817</v>
      </c>
      <c r="J33" s="208">
        <f t="shared" si="2"/>
        <v>0</v>
      </c>
      <c r="K33" s="40">
        <f>SUM(J34:$J$36)</f>
        <v>4</v>
      </c>
      <c r="L33" s="206">
        <f t="shared" si="3"/>
        <v>0.26666666666666666</v>
      </c>
      <c r="M33" s="383">
        <f t="shared" si="0"/>
        <v>3.829321663019692E-2</v>
      </c>
    </row>
    <row r="34" spans="1:13" x14ac:dyDescent="0.25">
      <c r="H34" s="204">
        <v>0.96</v>
      </c>
      <c r="I34" s="125">
        <f t="shared" si="1"/>
        <v>1.5754923413566737</v>
      </c>
      <c r="J34" s="208">
        <f t="shared" si="2"/>
        <v>1</v>
      </c>
      <c r="K34" s="40">
        <f>SUM(J35:$J$36)</f>
        <v>3</v>
      </c>
      <c r="L34" s="206">
        <f t="shared" si="3"/>
        <v>0.2</v>
      </c>
      <c r="M34" s="139">
        <f t="shared" si="0"/>
        <v>1.2035010940919064E-2</v>
      </c>
    </row>
    <row r="35" spans="1:13" x14ac:dyDescent="0.25">
      <c r="H35" s="204">
        <v>0.99</v>
      </c>
      <c r="I35" s="125">
        <f t="shared" si="1"/>
        <v>1.6247264770240699</v>
      </c>
      <c r="J35" s="208">
        <f t="shared" si="2"/>
        <v>1</v>
      </c>
      <c r="K35" s="40">
        <f>SUM(J36:$J$36)</f>
        <v>2</v>
      </c>
      <c r="L35" s="206">
        <f t="shared" si="3"/>
        <v>0.13333333333333333</v>
      </c>
      <c r="M35" s="139">
        <f>M36+L35*(I36-I35)</f>
        <v>2.1881838074398214E-3</v>
      </c>
    </row>
    <row r="36" spans="1:13" x14ac:dyDescent="0.25">
      <c r="H36" s="381">
        <v>1</v>
      </c>
      <c r="I36" s="130">
        <f t="shared" si="1"/>
        <v>1.6411378555798686</v>
      </c>
      <c r="J36" s="209">
        <f t="shared" si="2"/>
        <v>2</v>
      </c>
      <c r="K36" s="184">
        <v>0</v>
      </c>
      <c r="L36" s="207">
        <f t="shared" si="3"/>
        <v>0</v>
      </c>
      <c r="M36" s="385">
        <v>0</v>
      </c>
    </row>
    <row r="38" spans="1:13" x14ac:dyDescent="0.25">
      <c r="H38" s="40" t="s">
        <v>10</v>
      </c>
      <c r="I38" s="40"/>
      <c r="J38" s="40">
        <f>SUM(J15:J36)</f>
        <v>15</v>
      </c>
      <c r="K38" s="109" t="s">
        <v>394</v>
      </c>
    </row>
    <row r="40" spans="1:13" x14ac:dyDescent="0.25">
      <c r="G40" s="40" t="s">
        <v>658</v>
      </c>
      <c r="H40" s="3" t="s">
        <v>395</v>
      </c>
    </row>
    <row r="41" spans="1:13" x14ac:dyDescent="0.25">
      <c r="H41" s="3" t="s">
        <v>397</v>
      </c>
    </row>
    <row r="43" spans="1:13" x14ac:dyDescent="0.25">
      <c r="H43" s="3" t="s">
        <v>396</v>
      </c>
    </row>
    <row r="44" spans="1:13" x14ac:dyDescent="0.25">
      <c r="H44" s="136" t="s">
        <v>373</v>
      </c>
      <c r="I44" s="112" t="s">
        <v>387</v>
      </c>
      <c r="J44" s="137" t="s">
        <v>388</v>
      </c>
      <c r="K44" s="112" t="s">
        <v>389</v>
      </c>
      <c r="L44" s="112" t="s">
        <v>390</v>
      </c>
      <c r="M44" s="138" t="s">
        <v>398</v>
      </c>
    </row>
    <row r="45" spans="1:13" x14ac:dyDescent="0.25">
      <c r="H45" s="380">
        <v>0</v>
      </c>
      <c r="I45" s="125">
        <f>H45/$I$2</f>
        <v>0</v>
      </c>
      <c r="J45" s="40">
        <f>COUNTIF($D$7:$D$21,H45)</f>
        <v>0</v>
      </c>
      <c r="K45" s="208">
        <f>SUM(J46:$J$66)</f>
        <v>15</v>
      </c>
      <c r="L45" s="206">
        <f t="shared" ref="L45:L65" si="4">K45/$J$68</f>
        <v>1</v>
      </c>
      <c r="M45" s="386">
        <f t="shared" ref="M45:M64" si="5">M46+L45*(I46-I45)</f>
        <v>1.0000000000000002</v>
      </c>
    </row>
    <row r="46" spans="1:13" x14ac:dyDescent="0.25">
      <c r="H46" s="204">
        <v>0.06</v>
      </c>
      <c r="I46" s="125">
        <f t="shared" ref="I46:I66" si="6">H46/$I$2</f>
        <v>9.8468271334792107E-2</v>
      </c>
      <c r="J46" s="40">
        <f t="shared" ref="J46:J66" si="7">COUNTIF($D$7:$D$21,H46)</f>
        <v>2</v>
      </c>
      <c r="K46" s="208">
        <f>SUM(J47:$J$66)</f>
        <v>13</v>
      </c>
      <c r="L46" s="206">
        <f t="shared" si="4"/>
        <v>0.8666666666666667</v>
      </c>
      <c r="M46" s="125">
        <f t="shared" si="5"/>
        <v>0.90153172866520803</v>
      </c>
    </row>
    <row r="47" spans="1:13" x14ac:dyDescent="0.25">
      <c r="H47" s="380">
        <v>0.1</v>
      </c>
      <c r="I47" s="125">
        <f t="shared" si="6"/>
        <v>0.16411378555798686</v>
      </c>
      <c r="J47" s="40">
        <f t="shared" si="7"/>
        <v>0</v>
      </c>
      <c r="K47" s="208">
        <f>SUM(J48:$J$66)</f>
        <v>13</v>
      </c>
      <c r="L47" s="206">
        <f t="shared" si="4"/>
        <v>0.8666666666666667</v>
      </c>
      <c r="M47" s="387">
        <f t="shared" si="5"/>
        <v>0.84463894967177255</v>
      </c>
    </row>
    <row r="48" spans="1:13" x14ac:dyDescent="0.25">
      <c r="H48" s="204">
        <v>0.14000000000000001</v>
      </c>
      <c r="I48" s="125">
        <f t="shared" si="6"/>
        <v>0.22975929978118162</v>
      </c>
      <c r="J48" s="40">
        <f t="shared" si="7"/>
        <v>1</v>
      </c>
      <c r="K48" s="208">
        <f>SUM(J49:$J$66)</f>
        <v>12</v>
      </c>
      <c r="L48" s="206">
        <f t="shared" si="4"/>
        <v>0.8</v>
      </c>
      <c r="M48" s="125">
        <f t="shared" si="5"/>
        <v>0.78774617067833708</v>
      </c>
    </row>
    <row r="49" spans="8:13" x14ac:dyDescent="0.25">
      <c r="H49" s="380">
        <v>0.2</v>
      </c>
      <c r="I49" s="125">
        <f t="shared" si="6"/>
        <v>0.32822757111597373</v>
      </c>
      <c r="J49" s="40">
        <f t="shared" si="7"/>
        <v>0</v>
      </c>
      <c r="K49" s="208">
        <f>SUM(J50:$J$66)</f>
        <v>12</v>
      </c>
      <c r="L49" s="206">
        <f t="shared" si="4"/>
        <v>0.8</v>
      </c>
      <c r="M49" s="387">
        <f t="shared" si="5"/>
        <v>0.70897155361050335</v>
      </c>
    </row>
    <row r="50" spans="8:13" x14ac:dyDescent="0.25">
      <c r="H50" s="204">
        <v>0.25</v>
      </c>
      <c r="I50" s="125">
        <f t="shared" si="6"/>
        <v>0.41028446389496714</v>
      </c>
      <c r="J50" s="40">
        <f t="shared" si="7"/>
        <v>1</v>
      </c>
      <c r="K50" s="208">
        <f>SUM(J51:$J$66)</f>
        <v>11</v>
      </c>
      <c r="L50" s="206">
        <f t="shared" si="4"/>
        <v>0.73333333333333328</v>
      </c>
      <c r="M50" s="125">
        <f t="shared" si="5"/>
        <v>0.64332603938730859</v>
      </c>
    </row>
    <row r="51" spans="8:13" x14ac:dyDescent="0.25">
      <c r="H51" s="380">
        <v>0.3</v>
      </c>
      <c r="I51" s="125">
        <f t="shared" si="6"/>
        <v>0.49234135667396056</v>
      </c>
      <c r="J51" s="40">
        <f t="shared" si="7"/>
        <v>0</v>
      </c>
      <c r="K51" s="208">
        <f>SUM(J52:$J$66)</f>
        <v>11</v>
      </c>
      <c r="L51" s="206">
        <f t="shared" si="4"/>
        <v>0.73333333333333328</v>
      </c>
      <c r="M51" s="387">
        <f t="shared" si="5"/>
        <v>0.58315098468271342</v>
      </c>
    </row>
    <row r="52" spans="8:13" x14ac:dyDescent="0.25">
      <c r="H52" s="204">
        <v>0.35</v>
      </c>
      <c r="I52" s="125">
        <f t="shared" si="6"/>
        <v>0.57439824945295392</v>
      </c>
      <c r="J52" s="40">
        <f t="shared" si="7"/>
        <v>0</v>
      </c>
      <c r="K52" s="208">
        <f>SUM(J53:$J$66)</f>
        <v>11</v>
      </c>
      <c r="L52" s="206">
        <f t="shared" si="4"/>
        <v>0.73333333333333328</v>
      </c>
      <c r="M52" s="125">
        <f t="shared" si="5"/>
        <v>0.52297592997811826</v>
      </c>
    </row>
    <row r="53" spans="8:13" x14ac:dyDescent="0.25">
      <c r="H53" s="380">
        <v>0.4</v>
      </c>
      <c r="I53" s="125">
        <f t="shared" si="6"/>
        <v>0.65645514223194745</v>
      </c>
      <c r="J53" s="40">
        <f t="shared" si="7"/>
        <v>0</v>
      </c>
      <c r="K53" s="208">
        <f>SUM(J54:$J$66)</f>
        <v>11</v>
      </c>
      <c r="L53" s="206">
        <f t="shared" si="4"/>
        <v>0.73333333333333328</v>
      </c>
      <c r="M53" s="387">
        <f t="shared" si="5"/>
        <v>0.46280087527352298</v>
      </c>
    </row>
    <row r="54" spans="8:13" x14ac:dyDescent="0.25">
      <c r="H54" s="204">
        <v>0.41</v>
      </c>
      <c r="I54" s="125">
        <f t="shared" si="6"/>
        <v>0.67286652078774611</v>
      </c>
      <c r="J54" s="40">
        <f t="shared" si="7"/>
        <v>2</v>
      </c>
      <c r="K54" s="208">
        <f>SUM(J55:$J$66)</f>
        <v>9</v>
      </c>
      <c r="L54" s="206">
        <f t="shared" si="4"/>
        <v>0.6</v>
      </c>
      <c r="M54" s="125">
        <f t="shared" si="5"/>
        <v>0.45076586433260396</v>
      </c>
    </row>
    <row r="55" spans="8:13" x14ac:dyDescent="0.25">
      <c r="H55" s="204">
        <v>0.45</v>
      </c>
      <c r="I55" s="125">
        <f t="shared" si="6"/>
        <v>0.73851203501094087</v>
      </c>
      <c r="J55" s="40">
        <f t="shared" si="7"/>
        <v>1</v>
      </c>
      <c r="K55" s="208">
        <f>SUM(J56:$J$66)</f>
        <v>8</v>
      </c>
      <c r="L55" s="206">
        <f t="shared" si="4"/>
        <v>0.53333333333333333</v>
      </c>
      <c r="M55" s="125">
        <f t="shared" si="5"/>
        <v>0.4113785557986871</v>
      </c>
    </row>
    <row r="56" spans="8:13" x14ac:dyDescent="0.25">
      <c r="H56" s="380">
        <v>0.5</v>
      </c>
      <c r="I56" s="125">
        <f t="shared" si="6"/>
        <v>0.82056892778993429</v>
      </c>
      <c r="J56" s="40">
        <f t="shared" si="7"/>
        <v>1</v>
      </c>
      <c r="K56" s="208">
        <f>SUM(J57:$J$66)</f>
        <v>7</v>
      </c>
      <c r="L56" s="206">
        <f t="shared" si="4"/>
        <v>0.46666666666666667</v>
      </c>
      <c r="M56" s="387">
        <f t="shared" si="5"/>
        <v>0.36761487964989059</v>
      </c>
    </row>
    <row r="57" spans="8:13" x14ac:dyDescent="0.25">
      <c r="H57" s="380">
        <v>0.6</v>
      </c>
      <c r="I57" s="125">
        <f t="shared" si="6"/>
        <v>0.98468271334792112</v>
      </c>
      <c r="J57" s="40">
        <f t="shared" si="7"/>
        <v>0</v>
      </c>
      <c r="K57" s="208">
        <f>SUM(J58:$J$66)</f>
        <v>7</v>
      </c>
      <c r="L57" s="206">
        <f t="shared" si="4"/>
        <v>0.46666666666666667</v>
      </c>
      <c r="M57" s="387">
        <f t="shared" si="5"/>
        <v>0.29102844638949671</v>
      </c>
    </row>
    <row r="58" spans="8:13" x14ac:dyDescent="0.25">
      <c r="H58" s="204">
        <v>0.66</v>
      </c>
      <c r="I58" s="125">
        <f t="shared" si="6"/>
        <v>1.0831509846827132</v>
      </c>
      <c r="J58" s="40">
        <f t="shared" si="7"/>
        <v>1</v>
      </c>
      <c r="K58" s="208">
        <f>SUM(J59:$J$66)</f>
        <v>6</v>
      </c>
      <c r="L58" s="206">
        <f t="shared" si="4"/>
        <v>0.4</v>
      </c>
      <c r="M58" s="125">
        <f t="shared" si="5"/>
        <v>0.24507658643326038</v>
      </c>
    </row>
    <row r="59" spans="8:13" x14ac:dyDescent="0.25">
      <c r="H59" s="204">
        <v>0.67</v>
      </c>
      <c r="I59" s="125">
        <f t="shared" si="6"/>
        <v>1.0995623632385121</v>
      </c>
      <c r="J59" s="40">
        <f t="shared" si="7"/>
        <v>1</v>
      </c>
      <c r="K59" s="208">
        <f>SUM(J60:$J$66)</f>
        <v>5</v>
      </c>
      <c r="L59" s="206">
        <f t="shared" si="4"/>
        <v>0.33333333333333331</v>
      </c>
      <c r="M59" s="125">
        <f t="shared" si="5"/>
        <v>0.23851203501094084</v>
      </c>
    </row>
    <row r="60" spans="8:13" x14ac:dyDescent="0.25">
      <c r="H60" s="380">
        <v>0.7</v>
      </c>
      <c r="I60" s="125">
        <f t="shared" si="6"/>
        <v>1.1487964989059078</v>
      </c>
      <c r="J60" s="40">
        <f t="shared" si="7"/>
        <v>0</v>
      </c>
      <c r="K60" s="208">
        <f>SUM(J61:$J$66)</f>
        <v>5</v>
      </c>
      <c r="L60" s="206">
        <f t="shared" si="4"/>
        <v>0.33333333333333331</v>
      </c>
      <c r="M60" s="387">
        <f t="shared" si="5"/>
        <v>0.22210065645514226</v>
      </c>
    </row>
    <row r="61" spans="8:13" x14ac:dyDescent="0.25">
      <c r="H61" s="204">
        <v>0.71</v>
      </c>
      <c r="I61" s="125">
        <f t="shared" si="6"/>
        <v>1.1652078774617065</v>
      </c>
      <c r="J61" s="40">
        <f t="shared" si="7"/>
        <v>1</v>
      </c>
      <c r="K61" s="208">
        <f>SUM(J62:$J$66)</f>
        <v>4</v>
      </c>
      <c r="L61" s="206">
        <f t="shared" si="4"/>
        <v>0.26666666666666666</v>
      </c>
      <c r="M61" s="125">
        <f t="shared" si="5"/>
        <v>0.2166301969365427</v>
      </c>
    </row>
    <row r="62" spans="8:13" x14ac:dyDescent="0.25">
      <c r="H62" s="204">
        <v>0.75</v>
      </c>
      <c r="I62" s="125">
        <f t="shared" si="6"/>
        <v>1.2308533916849014</v>
      </c>
      <c r="J62" s="40">
        <f t="shared" si="7"/>
        <v>2</v>
      </c>
      <c r="K62" s="208">
        <f>SUM(J63:$J$66)</f>
        <v>2</v>
      </c>
      <c r="L62" s="206">
        <f t="shared" si="4"/>
        <v>0.13333333333333333</v>
      </c>
      <c r="M62" s="125">
        <f t="shared" si="5"/>
        <v>0.19912472647702406</v>
      </c>
    </row>
    <row r="63" spans="8:13" x14ac:dyDescent="0.25">
      <c r="H63" s="380">
        <v>0.8</v>
      </c>
      <c r="I63" s="125">
        <f t="shared" si="6"/>
        <v>1.3129102844638949</v>
      </c>
      <c r="J63" s="40">
        <f t="shared" si="7"/>
        <v>0</v>
      </c>
      <c r="K63" s="208">
        <f>SUM(J64:$J$66)</f>
        <v>2</v>
      </c>
      <c r="L63" s="206">
        <f t="shared" si="4"/>
        <v>0.13333333333333333</v>
      </c>
      <c r="M63" s="387">
        <f t="shared" si="5"/>
        <v>0.18818380743982493</v>
      </c>
    </row>
    <row r="64" spans="8:13" x14ac:dyDescent="0.25">
      <c r="H64" s="380">
        <v>0.9</v>
      </c>
      <c r="I64" s="125">
        <f t="shared" si="6"/>
        <v>1.4770240700218817</v>
      </c>
      <c r="J64" s="40">
        <f t="shared" si="7"/>
        <v>0</v>
      </c>
      <c r="K64" s="208">
        <f>SUM(J65:$J$66)</f>
        <v>2</v>
      </c>
      <c r="L64" s="206">
        <f t="shared" si="4"/>
        <v>0.13333333333333333</v>
      </c>
      <c r="M64" s="387">
        <f t="shared" si="5"/>
        <v>0.16630196936542668</v>
      </c>
    </row>
    <row r="65" spans="8:13" x14ac:dyDescent="0.25">
      <c r="H65" s="204">
        <v>0.96</v>
      </c>
      <c r="I65" s="125">
        <f t="shared" si="6"/>
        <v>1.5754923413566737</v>
      </c>
      <c r="J65" s="40">
        <f t="shared" si="7"/>
        <v>1</v>
      </c>
      <c r="K65" s="208">
        <f>SUM(J66:$J$66)</f>
        <v>1</v>
      </c>
      <c r="L65" s="206">
        <f t="shared" si="4"/>
        <v>6.6666666666666666E-2</v>
      </c>
      <c r="M65" s="125">
        <f>M66+L65*(I66-I65)</f>
        <v>0.15317286652078776</v>
      </c>
    </row>
    <row r="66" spans="8:13" x14ac:dyDescent="0.25">
      <c r="H66" s="381">
        <v>1</v>
      </c>
      <c r="I66" s="130">
        <f t="shared" si="6"/>
        <v>1.6411378555798686</v>
      </c>
      <c r="J66" s="184">
        <f t="shared" si="7"/>
        <v>1</v>
      </c>
      <c r="K66" s="209">
        <v>0</v>
      </c>
      <c r="L66" s="207">
        <f>K66/$J$68</f>
        <v>0</v>
      </c>
      <c r="M66" s="388">
        <f>I7</f>
        <v>0.1487964989059081</v>
      </c>
    </row>
    <row r="68" spans="8:13" x14ac:dyDescent="0.25">
      <c r="H68" s="40" t="s">
        <v>10</v>
      </c>
      <c r="I68" s="40"/>
      <c r="J68" s="40">
        <f>SUM(J45:J66)</f>
        <v>15</v>
      </c>
    </row>
  </sheetData>
  <sheetProtection formatCells="0" formatColumns="0" formatRows="0"/>
  <sortState xmlns:xlrd2="http://schemas.microsoft.com/office/spreadsheetml/2017/richdata2" ref="B7:D21">
    <sortCondition ref="D7:D21"/>
  </sortState>
  <mergeCells count="1">
    <mergeCell ref="E1:F1"/>
  </mergeCells>
  <conditionalFormatting sqref="B1">
    <cfRule type="cellIs" dxfId="26" priority="1" operator="equal">
      <formula>"Incomplete"</formula>
    </cfRule>
    <cfRule type="cellIs" dxfId="25" priority="2" operator="equal">
      <formula>"Flag for Review"</formula>
    </cfRule>
    <cfRule type="cellIs" dxfId="24" priority="3" operator="equal">
      <formula>"Finished"</formula>
    </cfRule>
  </conditionalFormatting>
  <dataValidations count="2">
    <dataValidation type="list" allowBlank="1" showInputMessage="1" showErrorMessage="1" sqref="B1" xr:uid="{B3FAC1E8-7ACA-46C6-A94D-743E2A279E76}">
      <formula1>"Finished, Flag for Review, Incomplete"</formula1>
    </dataValidation>
    <dataValidation type="decimal" allowBlank="1" showInputMessage="1" showErrorMessage="1" sqref="A25 A29 A33" xr:uid="{E1EC6641-DF74-4CF1-B17A-2AE58A31819F}">
      <formula1>0</formula1>
      <formula2>A24</formula2>
    </dataValidation>
  </dataValidations>
  <hyperlinks>
    <hyperlink ref="E1" location="Navigator!A1" display="Navigator" xr:uid="{1AC01F3E-411D-4F2E-B830-C8F132275338}"/>
  </hyperlinks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C1351B-8162-42BD-BEA2-4B7D079E86B1}">
  <sheetPr codeName="Sheet16"/>
  <dimension ref="A1:O28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4.42578125" style="3" customWidth="1"/>
    <col min="3" max="3" width="16.42578125" style="3" customWidth="1"/>
    <col min="4" max="4" width="12.85546875" style="3" bestFit="1" customWidth="1"/>
    <col min="5" max="6" width="13.7109375" style="3" customWidth="1"/>
    <col min="7" max="7" width="8.85546875" style="3" customWidth="1"/>
    <col min="8" max="8" width="9.28515625" style="3" customWidth="1"/>
    <col min="9" max="9" width="3" style="3" customWidth="1"/>
    <col min="10" max="10" width="3.7109375" style="40" customWidth="1"/>
    <col min="11" max="11" width="11.85546875" style="3" bestFit="1" customWidth="1"/>
    <col min="12" max="12" width="10.7109375" style="3" bestFit="1" customWidth="1"/>
    <col min="13" max="13" width="9.140625" style="3"/>
    <col min="14" max="14" width="10.5703125" style="3" bestFit="1" customWidth="1"/>
    <col min="15" max="15" width="9.28515625" style="3" customWidth="1"/>
    <col min="16" max="16384" width="9.140625" style="3"/>
  </cols>
  <sheetData>
    <row r="1" spans="1:15" ht="15.75" x14ac:dyDescent="0.25">
      <c r="A1" s="8">
        <f ca="1">VALUE(MID(CELL("filename",A1),FIND("]",CELL("filename",A1))+1,LEN(CELL("filename",A1))-FIND("]",CELL("filename",A1))+1))</f>
        <v>14</v>
      </c>
      <c r="B1" s="57" t="s">
        <v>604</v>
      </c>
      <c r="C1" s="144"/>
      <c r="D1" s="9"/>
      <c r="E1" s="9"/>
      <c r="F1" s="9"/>
      <c r="G1" s="9"/>
      <c r="H1" s="418" t="s">
        <v>41</v>
      </c>
      <c r="I1" s="419"/>
      <c r="K1" s="58" t="s">
        <v>31</v>
      </c>
    </row>
    <row r="2" spans="1:15" x14ac:dyDescent="0.25">
      <c r="A2" s="10"/>
      <c r="B2" s="5"/>
      <c r="C2" s="5"/>
      <c r="D2" s="5"/>
      <c r="E2" s="5"/>
      <c r="F2" s="5"/>
      <c r="G2" s="5"/>
      <c r="H2" s="5"/>
      <c r="I2" s="11"/>
      <c r="J2" s="3" t="s">
        <v>605</v>
      </c>
      <c r="K2" s="3" t="s">
        <v>418</v>
      </c>
    </row>
    <row r="3" spans="1:15" x14ac:dyDescent="0.25">
      <c r="A3" s="12" t="s">
        <v>14</v>
      </c>
      <c r="B3" s="5" t="s">
        <v>399</v>
      </c>
      <c r="C3" s="5"/>
      <c r="D3" s="5"/>
      <c r="E3" s="5"/>
      <c r="F3" s="5"/>
      <c r="G3" s="5"/>
      <c r="H3" s="5"/>
      <c r="I3" s="11"/>
      <c r="J3" s="3"/>
      <c r="K3" s="158" t="s">
        <v>411</v>
      </c>
      <c r="L3" s="192" t="s">
        <v>47</v>
      </c>
    </row>
    <row r="4" spans="1:15" x14ac:dyDescent="0.25">
      <c r="A4" s="13">
        <f ca="1">INDEX('Point Grid'!B:B,MATCH('14'!A1,'Point Grid'!A:A,0))</f>
        <v>3.25</v>
      </c>
      <c r="B4" s="5"/>
      <c r="C4" s="64"/>
      <c r="D4" s="173" t="s">
        <v>410</v>
      </c>
      <c r="E4" s="5"/>
      <c r="F4" s="5"/>
      <c r="G4" s="5"/>
      <c r="H4" s="5"/>
      <c r="I4" s="11"/>
      <c r="J4" s="3"/>
      <c r="K4" s="230">
        <f>C6</f>
        <v>0.45</v>
      </c>
      <c r="L4" s="216">
        <f>MIN(D6,$B$21)</f>
        <v>22000</v>
      </c>
    </row>
    <row r="5" spans="1:15" x14ac:dyDescent="0.25">
      <c r="A5" s="10"/>
      <c r="B5" s="5"/>
      <c r="C5" s="179" t="s">
        <v>401</v>
      </c>
      <c r="D5" s="179" t="s">
        <v>400</v>
      </c>
      <c r="E5" s="212"/>
      <c r="F5" s="212"/>
      <c r="G5" s="212"/>
      <c r="H5" s="5"/>
      <c r="I5" s="11"/>
      <c r="J5" s="3"/>
      <c r="K5" s="230">
        <f>C7</f>
        <v>0.2</v>
      </c>
      <c r="L5" s="216">
        <f>MIN(D7,$B$21)</f>
        <v>35000</v>
      </c>
    </row>
    <row r="6" spans="1:15" x14ac:dyDescent="0.25">
      <c r="A6" s="10"/>
      <c r="B6" s="5"/>
      <c r="C6" s="213">
        <v>0.45</v>
      </c>
      <c r="D6" s="77">
        <v>22000</v>
      </c>
      <c r="E6" s="104"/>
      <c r="F6" s="104"/>
      <c r="G6" s="104"/>
      <c r="H6" s="5"/>
      <c r="I6" s="11"/>
      <c r="J6" s="3"/>
      <c r="K6" s="230">
        <f>C8</f>
        <v>0.15</v>
      </c>
      <c r="L6" s="216">
        <f>MIN(D8,$B$21)</f>
        <v>100000</v>
      </c>
    </row>
    <row r="7" spans="1:15" x14ac:dyDescent="0.25">
      <c r="A7" s="10"/>
      <c r="B7" s="5"/>
      <c r="C7" s="213">
        <v>0.2</v>
      </c>
      <c r="D7" s="77">
        <v>35000</v>
      </c>
      <c r="E7" s="104"/>
      <c r="F7" s="104"/>
      <c r="G7" s="104"/>
      <c r="H7" s="5"/>
      <c r="I7" s="11"/>
      <c r="J7" s="3"/>
      <c r="K7" s="230">
        <f>C9</f>
        <v>0.15</v>
      </c>
      <c r="L7" s="216">
        <f>MIN(D9,$B$21)</f>
        <v>100000</v>
      </c>
    </row>
    <row r="8" spans="1:15" x14ac:dyDescent="0.25">
      <c r="A8" s="10"/>
      <c r="B8" s="5"/>
      <c r="C8" s="213">
        <v>0.15</v>
      </c>
      <c r="D8" s="77">
        <v>150000</v>
      </c>
      <c r="E8" s="104"/>
      <c r="F8" s="104"/>
      <c r="G8" s="104"/>
      <c r="H8" s="5"/>
      <c r="I8" s="11"/>
      <c r="J8" s="3"/>
      <c r="K8" s="231">
        <f>C10</f>
        <v>0.05</v>
      </c>
      <c r="L8" s="218">
        <f>MIN(D10,$B$21)</f>
        <v>100000</v>
      </c>
    </row>
    <row r="9" spans="1:15" x14ac:dyDescent="0.25">
      <c r="A9" s="10"/>
      <c r="B9" s="5"/>
      <c r="C9" s="213">
        <v>0.15</v>
      </c>
      <c r="D9" s="77">
        <v>250000</v>
      </c>
      <c r="E9" s="104"/>
      <c r="F9" s="104"/>
      <c r="G9" s="104"/>
      <c r="H9" s="5"/>
      <c r="I9" s="11"/>
      <c r="J9" s="3"/>
      <c r="K9" s="211"/>
      <c r="L9" s="157"/>
    </row>
    <row r="10" spans="1:15" x14ac:dyDescent="0.25">
      <c r="A10" s="10"/>
      <c r="B10" s="5"/>
      <c r="C10" s="214">
        <v>0.05</v>
      </c>
      <c r="D10" s="155">
        <v>1000000</v>
      </c>
      <c r="E10" s="104"/>
      <c r="F10" s="104"/>
      <c r="G10" s="104"/>
      <c r="H10" s="5"/>
      <c r="I10" s="11"/>
      <c r="J10" s="3"/>
      <c r="K10" s="3" t="s">
        <v>412</v>
      </c>
      <c r="N10" s="124">
        <f>SUMPRODUCT(K4:K8,L4:L8)</f>
        <v>51900</v>
      </c>
    </row>
    <row r="11" spans="1:15" x14ac:dyDescent="0.25">
      <c r="A11" s="10"/>
      <c r="B11" s="5"/>
      <c r="C11" s="5"/>
      <c r="D11" s="5"/>
      <c r="E11" s="5"/>
      <c r="F11" s="5"/>
      <c r="G11" s="5"/>
      <c r="H11" s="5"/>
      <c r="I11" s="11"/>
      <c r="J11" s="3"/>
    </row>
    <row r="12" spans="1:15" x14ac:dyDescent="0.25">
      <c r="A12" s="10"/>
      <c r="B12" s="215">
        <v>24793</v>
      </c>
      <c r="C12" s="63" t="s">
        <v>402</v>
      </c>
      <c r="D12" s="169"/>
      <c r="E12" s="169"/>
      <c r="F12" s="169"/>
      <c r="G12" s="169"/>
      <c r="H12" s="195"/>
      <c r="I12" s="11"/>
      <c r="J12" s="3"/>
      <c r="K12" s="3" t="s">
        <v>417</v>
      </c>
      <c r="N12" s="124">
        <f>SUMPRODUCT(C6:C10,D6:D10)</f>
        <v>126900</v>
      </c>
    </row>
    <row r="13" spans="1:15" x14ac:dyDescent="0.25">
      <c r="A13" s="10"/>
      <c r="B13" s="213">
        <v>0.59</v>
      </c>
      <c r="C13" s="65" t="s">
        <v>403</v>
      </c>
      <c r="D13" s="5"/>
      <c r="E13" s="5"/>
      <c r="F13" s="5"/>
      <c r="G13" s="5"/>
      <c r="H13" s="166"/>
      <c r="I13" s="11"/>
      <c r="J13" s="3"/>
    </row>
    <row r="14" spans="1:15" x14ac:dyDescent="0.25">
      <c r="A14" s="10"/>
      <c r="B14" s="213">
        <v>0.1</v>
      </c>
      <c r="C14" s="65" t="s">
        <v>404</v>
      </c>
      <c r="D14" s="5"/>
      <c r="E14" s="5"/>
      <c r="F14" s="5"/>
      <c r="G14" s="5"/>
      <c r="H14" s="166"/>
      <c r="I14" s="11"/>
      <c r="K14" s="3" t="s">
        <v>416</v>
      </c>
      <c r="N14" s="191">
        <f>N10/N12</f>
        <v>0.40898345153664301</v>
      </c>
      <c r="O14" s="109" t="s">
        <v>415</v>
      </c>
    </row>
    <row r="15" spans="1:15" x14ac:dyDescent="0.25">
      <c r="A15" s="10"/>
      <c r="B15" s="213">
        <v>0.04</v>
      </c>
      <c r="C15" s="65" t="s">
        <v>849</v>
      </c>
      <c r="D15" s="5"/>
      <c r="E15" s="5"/>
      <c r="F15" s="5"/>
      <c r="G15" s="5"/>
      <c r="H15" s="166"/>
      <c r="I15" s="11"/>
    </row>
    <row r="16" spans="1:15" x14ac:dyDescent="0.25">
      <c r="A16" s="10"/>
      <c r="B16" s="213">
        <v>0.01</v>
      </c>
      <c r="C16" s="65" t="s">
        <v>851</v>
      </c>
      <c r="D16" s="5"/>
      <c r="E16" s="5"/>
      <c r="F16" s="5"/>
      <c r="G16" s="5"/>
      <c r="H16" s="166"/>
      <c r="I16" s="11"/>
    </row>
    <row r="17" spans="1:15" x14ac:dyDescent="0.25">
      <c r="A17" s="10"/>
      <c r="B17" s="213">
        <v>0.08</v>
      </c>
      <c r="C17" s="65" t="s">
        <v>405</v>
      </c>
      <c r="D17" s="5"/>
      <c r="E17" s="5"/>
      <c r="F17" s="5"/>
      <c r="G17" s="5"/>
      <c r="H17" s="166"/>
      <c r="I17" s="11"/>
      <c r="K17" s="3" t="s">
        <v>414</v>
      </c>
      <c r="N17" s="220">
        <f>B12*B13</f>
        <v>14627.869999999999</v>
      </c>
    </row>
    <row r="18" spans="1:15" x14ac:dyDescent="0.25">
      <c r="A18" s="10"/>
      <c r="B18" s="213">
        <v>0.05</v>
      </c>
      <c r="C18" s="65" t="s">
        <v>850</v>
      </c>
      <c r="D18" s="5"/>
      <c r="E18" s="5"/>
      <c r="F18" s="5"/>
      <c r="G18" s="5"/>
      <c r="H18" s="166"/>
      <c r="I18" s="11"/>
    </row>
    <row r="19" spans="1:15" x14ac:dyDescent="0.25">
      <c r="A19" s="10"/>
      <c r="B19" s="213">
        <v>0.1</v>
      </c>
      <c r="C19" s="65" t="s">
        <v>407</v>
      </c>
      <c r="D19" s="5"/>
      <c r="E19" s="5"/>
      <c r="F19" s="5"/>
      <c r="G19" s="5"/>
      <c r="H19" s="166"/>
      <c r="I19" s="11"/>
      <c r="K19" s="3" t="s">
        <v>419</v>
      </c>
      <c r="N19" s="220">
        <f>N17*N14</f>
        <v>5982.5567612293135</v>
      </c>
    </row>
    <row r="20" spans="1:15" x14ac:dyDescent="0.25">
      <c r="A20" s="10"/>
      <c r="B20" s="213">
        <v>0.05</v>
      </c>
      <c r="C20" s="65" t="s">
        <v>408</v>
      </c>
      <c r="D20" s="5"/>
      <c r="E20" s="5"/>
      <c r="F20" s="5"/>
      <c r="G20" s="5"/>
      <c r="H20" s="166"/>
      <c r="I20" s="11"/>
    </row>
    <row r="21" spans="1:15" x14ac:dyDescent="0.25">
      <c r="A21" s="10"/>
      <c r="B21" s="53">
        <v>100000</v>
      </c>
      <c r="C21" s="67" t="s">
        <v>47</v>
      </c>
      <c r="D21" s="69"/>
      <c r="E21" s="69"/>
      <c r="F21" s="69"/>
      <c r="G21" s="69"/>
      <c r="H21" s="167"/>
      <c r="I21" s="11"/>
      <c r="K21" s="3" t="s">
        <v>413</v>
      </c>
      <c r="N21" s="220">
        <f>B14*N17</f>
        <v>1462.787</v>
      </c>
      <c r="O21" s="109" t="s">
        <v>424</v>
      </c>
    </row>
    <row r="22" spans="1:15" x14ac:dyDescent="0.25">
      <c r="A22" s="5"/>
      <c r="B22" s="5"/>
      <c r="C22" s="5"/>
      <c r="D22" s="5"/>
      <c r="E22" s="5"/>
      <c r="F22" s="5"/>
      <c r="G22" s="5"/>
      <c r="H22" s="5"/>
      <c r="I22" s="11"/>
      <c r="K22" s="3" t="s">
        <v>420</v>
      </c>
      <c r="N22" s="220">
        <f>B15*N19</f>
        <v>239.30227044917254</v>
      </c>
    </row>
    <row r="23" spans="1:15" x14ac:dyDescent="0.25">
      <c r="A23" s="14" t="s">
        <v>2</v>
      </c>
      <c r="B23" s="5" t="s">
        <v>409</v>
      </c>
      <c r="C23" s="5"/>
      <c r="D23" s="5"/>
      <c r="E23" s="5"/>
      <c r="F23" s="5"/>
      <c r="G23" s="5"/>
      <c r="H23" s="5"/>
      <c r="I23" s="11"/>
      <c r="K23" s="3" t="s">
        <v>421</v>
      </c>
      <c r="N23" s="220">
        <f>B16*N19</f>
        <v>59.825567612293135</v>
      </c>
    </row>
    <row r="24" spans="1:15" ht="15.75" thickBot="1" x14ac:dyDescent="0.3">
      <c r="A24" s="13">
        <f ca="1">INDEX('Point Grid'!$C$8:$I$27,MATCH($A$1,'Point Grid'!$A$8:$A$27,0),MATCH(A23,'Point Grid'!$C$7:$I$7,0))</f>
        <v>3.25</v>
      </c>
      <c r="B24" s="5"/>
      <c r="C24" s="5"/>
      <c r="D24" s="5"/>
      <c r="E24" s="5"/>
      <c r="F24" s="5"/>
      <c r="G24" s="5"/>
      <c r="H24" s="5"/>
      <c r="I24" s="11"/>
      <c r="K24" s="3" t="s">
        <v>406</v>
      </c>
      <c r="N24" s="220">
        <f>B18*(N17-N19)</f>
        <v>432.26566193853432</v>
      </c>
    </row>
    <row r="25" spans="1:15" ht="15.75" thickBot="1" x14ac:dyDescent="0.3">
      <c r="A25" s="4">
        <v>3.25</v>
      </c>
      <c r="B25" s="5"/>
      <c r="C25" s="5"/>
      <c r="D25" s="5"/>
      <c r="E25" s="5"/>
      <c r="F25" s="5"/>
      <c r="G25" s="5"/>
      <c r="H25" s="5"/>
      <c r="I25" s="11"/>
    </row>
    <row r="26" spans="1:15" ht="15.75" thickBot="1" x14ac:dyDescent="0.3">
      <c r="A26" s="15"/>
      <c r="B26" s="16"/>
      <c r="C26" s="16"/>
      <c r="D26" s="16"/>
      <c r="E26" s="16"/>
      <c r="F26" s="16"/>
      <c r="G26" s="16"/>
      <c r="H26" s="16"/>
      <c r="I26" s="17"/>
      <c r="K26" s="3" t="s">
        <v>423</v>
      </c>
    </row>
    <row r="28" spans="1:15" x14ac:dyDescent="0.25">
      <c r="K28" s="3" t="s">
        <v>422</v>
      </c>
      <c r="N28" s="378">
        <f>((N17-N19)+N21+N22+N23+N24)/(1-B17-B19-B20)</f>
        <v>14077.264595806086</v>
      </c>
    </row>
  </sheetData>
  <sheetProtection formatCells="0" formatColumns="0" formatRows="0"/>
  <mergeCells count="1">
    <mergeCell ref="H1:I1"/>
  </mergeCells>
  <conditionalFormatting sqref="B1:C1">
    <cfRule type="cellIs" dxfId="23" priority="1" operator="equal">
      <formula>"Incomplete"</formula>
    </cfRule>
    <cfRule type="cellIs" dxfId="22" priority="2" operator="equal">
      <formula>"Flag for Review"</formula>
    </cfRule>
    <cfRule type="cellIs" dxfId="21" priority="3" operator="equal">
      <formula>"Finished"</formula>
    </cfRule>
  </conditionalFormatting>
  <dataValidations count="2">
    <dataValidation type="decimal" allowBlank="1" showInputMessage="1" showErrorMessage="1" sqref="A25" xr:uid="{AA14A201-453D-4451-9859-812DDBFEDE46}">
      <formula1>0</formula1>
      <formula2>A24</formula2>
    </dataValidation>
    <dataValidation type="list" allowBlank="1" showInputMessage="1" showErrorMessage="1" sqref="B1:C1" xr:uid="{3135A7B7-1E11-473E-9B2F-023E46AE19DF}">
      <formula1>"Finished, Flag for Review, Incomplete"</formula1>
    </dataValidation>
  </dataValidations>
  <hyperlinks>
    <hyperlink ref="H1" location="Navigator!A1" display="Navigator" xr:uid="{4019C851-C0C2-44DC-BC5E-9AB43CA40822}"/>
  </hyperlink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E7C649-2601-492B-9D6B-7A4C22A2668A}">
  <sheetPr codeName="Sheet17"/>
  <dimension ref="A1:L52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9.28515625" style="3" customWidth="1"/>
    <col min="3" max="3" width="10.85546875" style="3" customWidth="1"/>
    <col min="4" max="4" width="24.85546875" style="3" customWidth="1"/>
    <col min="5" max="5" width="21.28515625" style="3" customWidth="1"/>
    <col min="6" max="6" width="9.5703125" style="3" customWidth="1"/>
    <col min="7" max="7" width="5.7109375" style="3" customWidth="1"/>
    <col min="8" max="8" width="3.7109375" style="40" customWidth="1"/>
    <col min="9" max="9" width="10.85546875" style="3" customWidth="1"/>
    <col min="10" max="10" width="10.85546875" style="3" bestFit="1" customWidth="1"/>
    <col min="11" max="11" width="13.140625" style="3" bestFit="1" customWidth="1"/>
    <col min="12" max="12" width="13.7109375" style="3" bestFit="1" customWidth="1"/>
    <col min="13" max="16384" width="9.140625" style="3"/>
  </cols>
  <sheetData>
    <row r="1" spans="1:12" ht="15.75" x14ac:dyDescent="0.25">
      <c r="A1" s="8">
        <f ca="1">VALUE(MID(CELL("filename",A1),FIND("]",CELL("filename",A1))+1,LEN(CELL("filename",A1))-FIND("]",CELL("filename",A1))+1))</f>
        <v>15</v>
      </c>
      <c r="B1" s="57" t="s">
        <v>604</v>
      </c>
      <c r="C1" s="9"/>
      <c r="D1" s="9"/>
      <c r="E1" s="9"/>
      <c r="F1" s="418" t="s">
        <v>41</v>
      </c>
      <c r="G1" s="419"/>
      <c r="I1" s="58" t="s">
        <v>31</v>
      </c>
    </row>
    <row r="2" spans="1:12" x14ac:dyDescent="0.25">
      <c r="A2" s="10"/>
      <c r="B2" s="5"/>
      <c r="C2" s="5"/>
      <c r="D2" s="5"/>
      <c r="E2" s="5"/>
      <c r="F2" s="5"/>
      <c r="G2" s="11"/>
      <c r="H2" s="3" t="s">
        <v>605</v>
      </c>
      <c r="I2" s="3" t="s">
        <v>434</v>
      </c>
    </row>
    <row r="3" spans="1:12" x14ac:dyDescent="0.25">
      <c r="A3" s="12" t="s">
        <v>14</v>
      </c>
      <c r="B3" s="5" t="s">
        <v>425</v>
      </c>
      <c r="C3" s="5"/>
      <c r="D3" s="5"/>
      <c r="E3" s="5"/>
      <c r="F3" s="5"/>
      <c r="G3" s="11"/>
      <c r="H3" s="3"/>
      <c r="I3" s="3" t="s">
        <v>433</v>
      </c>
    </row>
    <row r="4" spans="1:12" x14ac:dyDescent="0.25">
      <c r="A4" s="13">
        <f ca="1">INDEX('Point Grid'!B:B,MATCH('15'!A1,'Point Grid'!A:A,0))</f>
        <v>2</v>
      </c>
      <c r="B4" s="5" t="s">
        <v>426</v>
      </c>
      <c r="C4" s="5"/>
      <c r="D4" s="5"/>
      <c r="E4" s="5"/>
      <c r="F4" s="5"/>
      <c r="G4" s="11"/>
      <c r="H4" s="3"/>
      <c r="I4" s="3" t="s">
        <v>435</v>
      </c>
    </row>
    <row r="5" spans="1:12" x14ac:dyDescent="0.25">
      <c r="A5" s="10"/>
      <c r="B5" s="5" t="s">
        <v>427</v>
      </c>
      <c r="C5" s="5"/>
      <c r="D5" s="5"/>
      <c r="E5" s="5"/>
      <c r="F5" s="5"/>
      <c r="G5" s="11"/>
      <c r="H5" s="3"/>
      <c r="I5" s="3" t="s">
        <v>436</v>
      </c>
    </row>
    <row r="6" spans="1:12" x14ac:dyDescent="0.25">
      <c r="A6" s="10"/>
      <c r="B6" s="5"/>
      <c r="C6" s="5"/>
      <c r="D6" s="5"/>
      <c r="E6" s="5"/>
      <c r="F6" s="5"/>
      <c r="G6" s="11"/>
      <c r="H6" s="3"/>
      <c r="I6" s="109" t="s">
        <v>437</v>
      </c>
    </row>
    <row r="7" spans="1:12" x14ac:dyDescent="0.25">
      <c r="A7" s="10"/>
      <c r="B7" s="5" t="s">
        <v>428</v>
      </c>
      <c r="C7" s="5"/>
      <c r="D7" s="5"/>
      <c r="E7" s="5"/>
      <c r="F7" s="5"/>
      <c r="G7" s="11"/>
      <c r="H7" s="3"/>
    </row>
    <row r="8" spans="1:12" x14ac:dyDescent="0.25">
      <c r="A8" s="10"/>
      <c r="B8" s="5"/>
      <c r="C8" s="5"/>
      <c r="D8" s="5"/>
      <c r="E8" s="5"/>
      <c r="F8" s="5"/>
      <c r="G8" s="11"/>
      <c r="H8" s="3" t="s">
        <v>618</v>
      </c>
      <c r="I8" s="3" t="s">
        <v>438</v>
      </c>
    </row>
    <row r="9" spans="1:12" x14ac:dyDescent="0.25">
      <c r="A9" s="10"/>
      <c r="B9" s="5"/>
      <c r="C9" s="5"/>
      <c r="D9" s="5"/>
      <c r="E9" s="5"/>
      <c r="F9" s="5"/>
      <c r="G9" s="11"/>
      <c r="H9" s="3"/>
      <c r="I9" s="3" t="s">
        <v>439</v>
      </c>
      <c r="L9" s="3" t="s">
        <v>440</v>
      </c>
    </row>
    <row r="10" spans="1:12" x14ac:dyDescent="0.25">
      <c r="A10" s="10"/>
      <c r="B10" s="5"/>
      <c r="C10" s="5"/>
      <c r="D10" s="5"/>
      <c r="E10" s="5"/>
      <c r="F10" s="5"/>
      <c r="G10" s="11"/>
      <c r="H10" s="3"/>
    </row>
    <row r="11" spans="1:12" x14ac:dyDescent="0.25">
      <c r="A11" s="10"/>
      <c r="B11" s="5"/>
      <c r="C11" s="5"/>
      <c r="D11" s="5"/>
      <c r="E11" s="5"/>
      <c r="F11" s="5"/>
      <c r="G11" s="11"/>
      <c r="H11" s="3"/>
      <c r="I11" s="3" t="s">
        <v>441</v>
      </c>
    </row>
    <row r="12" spans="1:12" x14ac:dyDescent="0.25">
      <c r="A12" s="10"/>
      <c r="B12" s="5"/>
      <c r="C12" s="5"/>
      <c r="D12" s="5"/>
      <c r="E12" s="5"/>
      <c r="F12" s="5"/>
      <c r="G12" s="11"/>
      <c r="H12" s="3"/>
      <c r="I12" s="3" t="s">
        <v>442</v>
      </c>
      <c r="L12" s="3" t="s">
        <v>443</v>
      </c>
    </row>
    <row r="13" spans="1:12" x14ac:dyDescent="0.25">
      <c r="A13" s="10"/>
      <c r="B13" s="5"/>
      <c r="C13" s="5"/>
      <c r="D13" s="5"/>
      <c r="E13" s="5"/>
      <c r="F13" s="5"/>
      <c r="G13" s="11"/>
      <c r="H13" s="3"/>
    </row>
    <row r="14" spans="1:12" x14ac:dyDescent="0.25">
      <c r="A14" s="10"/>
      <c r="B14" s="5"/>
      <c r="C14" s="5"/>
      <c r="D14" s="5"/>
      <c r="E14" s="5"/>
      <c r="F14" s="5"/>
      <c r="G14" s="11"/>
      <c r="H14" s="3"/>
      <c r="I14" s="3" t="s">
        <v>444</v>
      </c>
    </row>
    <row r="15" spans="1:12" x14ac:dyDescent="0.25">
      <c r="A15" s="10"/>
      <c r="B15" s="5"/>
      <c r="C15" s="5"/>
      <c r="D15" s="5"/>
      <c r="E15" s="5"/>
      <c r="F15" s="5"/>
      <c r="G15" s="11"/>
      <c r="H15" s="3"/>
    </row>
    <row r="16" spans="1:12" x14ac:dyDescent="0.25">
      <c r="A16" s="10"/>
      <c r="B16" s="5"/>
      <c r="C16" s="5"/>
      <c r="D16" s="5"/>
      <c r="E16" s="5"/>
      <c r="F16" s="5"/>
      <c r="G16" s="11"/>
      <c r="H16" s="3"/>
    </row>
    <row r="17" spans="1:8" x14ac:dyDescent="0.25">
      <c r="A17" s="10"/>
      <c r="B17" s="5"/>
      <c r="C17" s="5"/>
      <c r="D17" s="5"/>
      <c r="E17" s="5"/>
      <c r="F17" s="5"/>
      <c r="G17" s="11"/>
      <c r="H17" s="3"/>
    </row>
    <row r="18" spans="1:8" x14ac:dyDescent="0.25">
      <c r="A18" s="10"/>
      <c r="B18" s="5"/>
      <c r="C18" s="5"/>
      <c r="D18" s="5"/>
      <c r="E18" s="5"/>
      <c r="F18" s="5"/>
      <c r="G18" s="11"/>
      <c r="H18" s="3"/>
    </row>
    <row r="19" spans="1:8" x14ac:dyDescent="0.25">
      <c r="A19" s="10"/>
      <c r="B19" s="5"/>
      <c r="C19" s="5"/>
      <c r="D19" s="5"/>
      <c r="E19" s="5"/>
      <c r="F19" s="5"/>
      <c r="G19" s="11"/>
      <c r="H19" s="3"/>
    </row>
    <row r="20" spans="1:8" x14ac:dyDescent="0.25">
      <c r="A20" s="10"/>
      <c r="B20" s="5"/>
      <c r="C20" s="5"/>
      <c r="D20" s="5"/>
      <c r="E20" s="5"/>
      <c r="F20" s="5"/>
      <c r="G20" s="11"/>
      <c r="H20" s="3"/>
    </row>
    <row r="21" spans="1:8" x14ac:dyDescent="0.25">
      <c r="A21" s="10"/>
      <c r="B21" s="5"/>
      <c r="C21" s="5"/>
      <c r="D21" s="5"/>
      <c r="E21" s="5"/>
      <c r="F21" s="5"/>
      <c r="G21" s="11"/>
      <c r="H21" s="3"/>
    </row>
    <row r="22" spans="1:8" x14ac:dyDescent="0.25">
      <c r="A22" s="10"/>
      <c r="B22" s="5"/>
      <c r="C22" s="5"/>
      <c r="D22" s="5"/>
      <c r="E22" s="5"/>
      <c r="F22" s="5"/>
      <c r="G22" s="11"/>
      <c r="H22" s="3"/>
    </row>
    <row r="23" spans="1:8" x14ac:dyDescent="0.25">
      <c r="A23" s="10"/>
      <c r="B23" s="5"/>
      <c r="C23" s="5"/>
      <c r="D23" s="5"/>
      <c r="E23" s="5"/>
      <c r="F23" s="5"/>
      <c r="G23" s="11"/>
      <c r="H23" s="3"/>
    </row>
    <row r="24" spans="1:8" x14ac:dyDescent="0.25">
      <c r="A24" s="10"/>
      <c r="B24" s="5"/>
      <c r="C24" s="5"/>
      <c r="D24" s="5"/>
      <c r="E24" s="5"/>
      <c r="F24" s="5"/>
      <c r="G24" s="11"/>
      <c r="H24" s="3"/>
    </row>
    <row r="25" spans="1:8" x14ac:dyDescent="0.25">
      <c r="A25" s="10"/>
      <c r="B25" s="5"/>
      <c r="C25" s="5"/>
      <c r="D25" s="5"/>
      <c r="E25" s="5"/>
      <c r="F25" s="5"/>
      <c r="G25" s="11"/>
      <c r="H25" s="3"/>
    </row>
    <row r="26" spans="1:8" x14ac:dyDescent="0.25">
      <c r="A26" s="10"/>
      <c r="B26" s="5"/>
      <c r="C26" s="5"/>
      <c r="D26" s="5"/>
      <c r="E26" s="5"/>
      <c r="F26" s="5"/>
      <c r="G26" s="11"/>
      <c r="H26" s="3"/>
    </row>
    <row r="27" spans="1:8" x14ac:dyDescent="0.25">
      <c r="A27" s="10"/>
      <c r="B27" s="5"/>
      <c r="C27" s="5"/>
      <c r="D27" s="5"/>
      <c r="E27" s="5"/>
      <c r="F27" s="5"/>
      <c r="G27" s="11"/>
      <c r="H27" s="3"/>
    </row>
    <row r="28" spans="1:8" x14ac:dyDescent="0.25">
      <c r="A28" s="10"/>
      <c r="B28" s="5"/>
      <c r="C28" s="5"/>
      <c r="D28" s="5"/>
      <c r="E28" s="5"/>
      <c r="F28" s="5"/>
      <c r="G28" s="11"/>
      <c r="H28" s="3"/>
    </row>
    <row r="29" spans="1:8" x14ac:dyDescent="0.25">
      <c r="A29" s="10"/>
      <c r="B29" s="5"/>
      <c r="C29" s="5"/>
      <c r="D29" s="5"/>
      <c r="E29" s="5"/>
      <c r="F29" s="5"/>
      <c r="G29" s="11"/>
      <c r="H29" s="3"/>
    </row>
    <row r="30" spans="1:8" x14ac:dyDescent="0.25">
      <c r="A30" s="14" t="s">
        <v>2</v>
      </c>
      <c r="B30" s="5" t="s">
        <v>429</v>
      </c>
      <c r="C30" s="5"/>
      <c r="D30" s="5"/>
      <c r="E30" s="5"/>
      <c r="F30" s="5"/>
      <c r="G30" s="11"/>
      <c r="H30" s="3"/>
    </row>
    <row r="31" spans="1:8" ht="18.75" thickBot="1" x14ac:dyDescent="0.4">
      <c r="A31" s="13">
        <f ca="1">INDEX('Point Grid'!$C$8:$I$27,MATCH($A$1,'Point Grid'!$A$8:$A$27,0),MATCH(A30,'Point Grid'!$C$7:$I$7,0))</f>
        <v>1</v>
      </c>
      <c r="B31" s="5" t="s">
        <v>445</v>
      </c>
      <c r="C31" s="5"/>
      <c r="D31" s="5"/>
      <c r="E31" s="5"/>
      <c r="F31" s="5"/>
      <c r="G31" s="11"/>
      <c r="H31" s="3"/>
    </row>
    <row r="32" spans="1:8" ht="18.75" thickBot="1" x14ac:dyDescent="0.4">
      <c r="A32" s="4">
        <v>1</v>
      </c>
      <c r="B32" s="5" t="s">
        <v>446</v>
      </c>
      <c r="C32" s="5"/>
      <c r="D32" s="5"/>
      <c r="E32" s="5"/>
      <c r="F32" s="5"/>
      <c r="G32" s="11"/>
      <c r="H32" s="3"/>
    </row>
    <row r="33" spans="1:8" ht="18" x14ac:dyDescent="0.35">
      <c r="A33" s="10"/>
      <c r="B33" s="5" t="s">
        <v>447</v>
      </c>
      <c r="C33" s="5"/>
      <c r="D33" s="5"/>
      <c r="E33" s="5"/>
      <c r="F33" s="5"/>
      <c r="G33" s="11"/>
      <c r="H33" s="3"/>
    </row>
    <row r="34" spans="1:8" x14ac:dyDescent="0.25">
      <c r="A34" s="10"/>
      <c r="B34" s="5" t="s">
        <v>430</v>
      </c>
      <c r="C34" s="5"/>
      <c r="D34" s="5"/>
      <c r="E34" s="5"/>
      <c r="F34" s="5"/>
      <c r="G34" s="11"/>
      <c r="H34" s="3"/>
    </row>
    <row r="35" spans="1:8" x14ac:dyDescent="0.25">
      <c r="A35" s="10"/>
      <c r="B35" s="5"/>
      <c r="C35" s="5"/>
      <c r="D35" s="5"/>
      <c r="E35" s="5"/>
      <c r="F35" s="5"/>
      <c r="G35" s="11"/>
      <c r="H35" s="3"/>
    </row>
    <row r="36" spans="1:8" ht="18" x14ac:dyDescent="0.35">
      <c r="A36" s="14" t="s">
        <v>3</v>
      </c>
      <c r="B36" s="5" t="s">
        <v>448</v>
      </c>
      <c r="C36" s="5"/>
      <c r="D36" s="5"/>
      <c r="E36" s="5"/>
      <c r="F36" s="5"/>
      <c r="G36" s="11"/>
      <c r="H36" s="3"/>
    </row>
    <row r="37" spans="1:8" ht="15.75" thickBot="1" x14ac:dyDescent="0.3">
      <c r="A37" s="13">
        <f ca="1">INDEX('Point Grid'!$C$8:$I$27,MATCH($A$1,'Point Grid'!$A$8:$A$27,0),MATCH(A36,'Point Grid'!$C$7:$I$7,0))</f>
        <v>1</v>
      </c>
      <c r="B37" s="5" t="s">
        <v>431</v>
      </c>
      <c r="C37" s="5"/>
      <c r="D37" s="5"/>
      <c r="E37" s="5"/>
      <c r="F37" s="5"/>
      <c r="G37" s="11"/>
      <c r="H37" s="3"/>
    </row>
    <row r="38" spans="1:8" ht="15.75" thickBot="1" x14ac:dyDescent="0.3">
      <c r="A38" s="4">
        <v>1</v>
      </c>
      <c r="B38" s="5"/>
      <c r="C38" s="5"/>
      <c r="D38" s="5"/>
      <c r="E38" s="5"/>
      <c r="F38" s="5"/>
      <c r="G38" s="11"/>
      <c r="H38" s="3"/>
    </row>
    <row r="39" spans="1:8" x14ac:dyDescent="0.25">
      <c r="A39" s="10"/>
      <c r="B39" s="5" t="s">
        <v>432</v>
      </c>
      <c r="C39" s="5"/>
      <c r="D39" s="5"/>
      <c r="E39" s="5"/>
      <c r="F39" s="5"/>
      <c r="G39" s="11"/>
      <c r="H39" s="3"/>
    </row>
    <row r="40" spans="1:8" ht="15.75" thickBot="1" x14ac:dyDescent="0.3">
      <c r="A40" s="15"/>
      <c r="B40" s="16"/>
      <c r="C40" s="16"/>
      <c r="D40" s="16"/>
      <c r="E40" s="16"/>
      <c r="F40" s="16"/>
      <c r="G40" s="17"/>
      <c r="H40" s="3"/>
    </row>
    <row r="41" spans="1:8" x14ac:dyDescent="0.25">
      <c r="H41" s="3"/>
    </row>
    <row r="42" spans="1:8" x14ac:dyDescent="0.25">
      <c r="H42" s="3"/>
    </row>
    <row r="43" spans="1:8" x14ac:dyDescent="0.25">
      <c r="H43" s="3"/>
    </row>
    <row r="44" spans="1:8" x14ac:dyDescent="0.25">
      <c r="H44" s="3"/>
    </row>
    <row r="45" spans="1:8" x14ac:dyDescent="0.25">
      <c r="H45" s="3"/>
    </row>
    <row r="46" spans="1:8" x14ac:dyDescent="0.25">
      <c r="H46" s="3"/>
    </row>
    <row r="47" spans="1:8" x14ac:dyDescent="0.25">
      <c r="H47" s="3"/>
    </row>
    <row r="48" spans="1:8" x14ac:dyDescent="0.25">
      <c r="H48" s="3"/>
    </row>
    <row r="49" spans="8:8" x14ac:dyDescent="0.25">
      <c r="H49" s="3"/>
    </row>
    <row r="50" spans="8:8" x14ac:dyDescent="0.25">
      <c r="H50" s="3"/>
    </row>
    <row r="51" spans="8:8" x14ac:dyDescent="0.25">
      <c r="H51" s="3"/>
    </row>
    <row r="52" spans="8:8" x14ac:dyDescent="0.25">
      <c r="H52" s="3"/>
    </row>
  </sheetData>
  <sheetProtection formatCells="0" formatColumns="0" formatRows="0"/>
  <mergeCells count="1">
    <mergeCell ref="F1:G1"/>
  </mergeCells>
  <conditionalFormatting sqref="B1">
    <cfRule type="cellIs" dxfId="20" priority="1" operator="equal">
      <formula>"Incomplete"</formula>
    </cfRule>
    <cfRule type="cellIs" dxfId="19" priority="2" operator="equal">
      <formula>"Flag for Review"</formula>
    </cfRule>
    <cfRule type="cellIs" dxfId="18" priority="3" operator="equal">
      <formula>"Finished"</formula>
    </cfRule>
  </conditionalFormatting>
  <dataValidations count="2">
    <dataValidation type="list" allowBlank="1" showInputMessage="1" showErrorMessage="1" sqref="B1" xr:uid="{1ABE1E93-AB03-4BAF-BD5E-4D5585611AAF}">
      <formula1>"Finished, Flag for Review, Incomplete"</formula1>
    </dataValidation>
    <dataValidation type="decimal" allowBlank="1" showInputMessage="1" showErrorMessage="1" sqref="A32 A38" xr:uid="{31C76038-421C-4459-B0DC-34067AB65D07}">
      <formula1>0</formula1>
      <formula2>A31</formula2>
    </dataValidation>
  </dataValidations>
  <hyperlinks>
    <hyperlink ref="F1" location="Navigator!A1" display="Navigator" xr:uid="{CB284CBF-B294-43C3-BE9A-A88AEF221815}"/>
  </hyperlinks>
  <pageMargins left="0.7" right="0.7" top="0.75" bottom="0.75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5512A0-80E3-4C76-B49A-35C917D20126}">
  <sheetPr codeName="Sheet18"/>
  <dimension ref="A1:M41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8.7109375" style="3" customWidth="1"/>
    <col min="3" max="3" width="10.7109375" style="3" bestFit="1" customWidth="1"/>
    <col min="4" max="5" width="12.140625" style="3" customWidth="1"/>
    <col min="6" max="6" width="19.5703125" style="3" bestFit="1" customWidth="1"/>
    <col min="7" max="7" width="4.7109375" style="3" customWidth="1"/>
    <col min="8" max="8" width="3.7109375" style="40" customWidth="1"/>
    <col min="9" max="9" width="15.140625" style="3" customWidth="1"/>
    <col min="10" max="10" width="11.85546875" style="3" bestFit="1" customWidth="1"/>
    <col min="11" max="11" width="9.140625" style="3"/>
    <col min="12" max="12" width="15.42578125" style="3" bestFit="1" customWidth="1"/>
    <col min="13" max="13" width="11.85546875" style="3" bestFit="1" customWidth="1"/>
    <col min="14" max="16384" width="9.140625" style="3"/>
  </cols>
  <sheetData>
    <row r="1" spans="1:13" ht="15.75" x14ac:dyDescent="0.25">
      <c r="A1" s="8">
        <f ca="1">VALUE(MID(CELL("filename",A1),FIND("]",CELL("filename",A1))+1,LEN(CELL("filename",A1))-FIND("]",CELL("filename",A1))+1))</f>
        <v>16</v>
      </c>
      <c r="B1" s="57" t="s">
        <v>604</v>
      </c>
      <c r="C1" s="9"/>
      <c r="D1" s="9"/>
      <c r="E1" s="9"/>
      <c r="F1" s="418" t="s">
        <v>41</v>
      </c>
      <c r="G1" s="419"/>
      <c r="I1" s="58" t="s">
        <v>31</v>
      </c>
    </row>
    <row r="2" spans="1:13" x14ac:dyDescent="0.25">
      <c r="A2" s="10"/>
      <c r="B2" s="5"/>
      <c r="C2" s="5"/>
      <c r="D2" s="5"/>
      <c r="E2" s="5"/>
      <c r="F2" s="5"/>
      <c r="G2" s="11"/>
      <c r="H2" s="3" t="s">
        <v>605</v>
      </c>
      <c r="I2" s="3" t="s">
        <v>456</v>
      </c>
    </row>
    <row r="3" spans="1:13" x14ac:dyDescent="0.25">
      <c r="A3" s="12" t="s">
        <v>14</v>
      </c>
      <c r="B3" s="5" t="s">
        <v>686</v>
      </c>
      <c r="C3" s="5"/>
      <c r="D3" s="5"/>
      <c r="E3" s="5"/>
      <c r="F3" s="5"/>
      <c r="G3" s="11"/>
      <c r="H3" s="3"/>
    </row>
    <row r="4" spans="1:13" x14ac:dyDescent="0.25">
      <c r="A4" s="13">
        <f ca="1">INDEX('Point Grid'!B:B,MATCH('16'!A1,'Point Grid'!A:A,0))</f>
        <v>2</v>
      </c>
      <c r="B4" s="5" t="s">
        <v>687</v>
      </c>
      <c r="C4" s="5"/>
      <c r="D4" s="5"/>
      <c r="E4" s="5"/>
      <c r="F4" s="5"/>
      <c r="G4" s="11"/>
      <c r="H4" s="3"/>
      <c r="I4" s="58" t="s">
        <v>457</v>
      </c>
      <c r="L4" s="58" t="s">
        <v>464</v>
      </c>
    </row>
    <row r="5" spans="1:13" x14ac:dyDescent="0.25">
      <c r="A5" s="10"/>
      <c r="B5" s="5"/>
      <c r="C5" s="5"/>
      <c r="D5" s="5"/>
      <c r="E5" s="5"/>
      <c r="F5" s="5"/>
      <c r="G5" s="11"/>
      <c r="H5" s="3"/>
      <c r="I5" s="136" t="s">
        <v>458</v>
      </c>
      <c r="J5" s="112" t="s">
        <v>450</v>
      </c>
      <c r="L5" s="112" t="s">
        <v>458</v>
      </c>
      <c r="M5" s="138" t="s">
        <v>450</v>
      </c>
    </row>
    <row r="6" spans="1:13" x14ac:dyDescent="0.25">
      <c r="A6" s="10"/>
      <c r="B6" s="54" t="s">
        <v>449</v>
      </c>
      <c r="C6" s="59" t="s">
        <v>450</v>
      </c>
      <c r="D6" s="5"/>
      <c r="E6" s="5"/>
      <c r="F6" s="5"/>
      <c r="G6" s="11"/>
      <c r="H6" s="3"/>
      <c r="I6" s="221">
        <f>MIN(B7,$B$12)</f>
        <v>0</v>
      </c>
      <c r="J6" s="230">
        <f>C7</f>
        <v>0.9</v>
      </c>
      <c r="L6" s="376">
        <f>MIN(B7,$B$13)</f>
        <v>0</v>
      </c>
      <c r="M6" s="222">
        <f>C7</f>
        <v>0.9</v>
      </c>
    </row>
    <row r="7" spans="1:13" x14ac:dyDescent="0.25">
      <c r="A7" s="10"/>
      <c r="B7" s="52">
        <v>0</v>
      </c>
      <c r="C7" s="225">
        <v>0.9</v>
      </c>
      <c r="D7" s="5"/>
      <c r="E7" s="5"/>
      <c r="F7" s="5"/>
      <c r="G7" s="11"/>
      <c r="H7" s="3"/>
      <c r="I7" s="221">
        <f>MIN(B8,$B$12)</f>
        <v>1000</v>
      </c>
      <c r="J7" s="230">
        <f>C8</f>
        <v>0.09</v>
      </c>
      <c r="L7" s="376">
        <f>MIN(B8,$B$13)</f>
        <v>1000</v>
      </c>
      <c r="M7" s="222">
        <f>C8</f>
        <v>0.09</v>
      </c>
    </row>
    <row r="8" spans="1:13" x14ac:dyDescent="0.25">
      <c r="A8" s="10"/>
      <c r="B8" s="52">
        <v>1000</v>
      </c>
      <c r="C8" s="225">
        <v>0.09</v>
      </c>
      <c r="D8" s="5"/>
      <c r="E8" s="5"/>
      <c r="F8" s="5"/>
      <c r="G8" s="11"/>
      <c r="H8" s="3"/>
      <c r="I8" s="223">
        <f>MIN(B9,$B$12)</f>
        <v>2000</v>
      </c>
      <c r="J8" s="231">
        <f>C9</f>
        <v>0.01</v>
      </c>
      <c r="L8" s="377">
        <f>MIN(B9,$B$13)</f>
        <v>5000</v>
      </c>
      <c r="M8" s="224">
        <f>C9</f>
        <v>0.01</v>
      </c>
    </row>
    <row r="9" spans="1:13" x14ac:dyDescent="0.25">
      <c r="A9" s="10"/>
      <c r="B9" s="53">
        <v>10000</v>
      </c>
      <c r="C9" s="226">
        <v>0.01</v>
      </c>
      <c r="D9" s="5"/>
      <c r="E9" s="5"/>
      <c r="F9" s="5"/>
      <c r="G9" s="11"/>
      <c r="H9" s="3"/>
    </row>
    <row r="10" spans="1:13" x14ac:dyDescent="0.25">
      <c r="A10" s="10"/>
      <c r="B10" s="5"/>
      <c r="C10" s="5"/>
      <c r="D10" s="5"/>
      <c r="E10" s="5"/>
      <c r="F10" s="5"/>
      <c r="G10" s="11"/>
      <c r="H10" s="3"/>
      <c r="I10" s="3" t="s">
        <v>459</v>
      </c>
      <c r="J10" s="3">
        <f>SUMPRODUCT(I6:I8,J6:J8)</f>
        <v>110</v>
      </c>
      <c r="L10" s="3" t="s">
        <v>459</v>
      </c>
      <c r="M10" s="3">
        <f>SUMPRODUCT(L6:L8,M6:M8)</f>
        <v>140</v>
      </c>
    </row>
    <row r="11" spans="1:13" x14ac:dyDescent="0.25">
      <c r="A11" s="10"/>
      <c r="B11" s="227">
        <v>0.1</v>
      </c>
      <c r="C11" s="169" t="s">
        <v>451</v>
      </c>
      <c r="D11" s="169"/>
      <c r="E11" s="169"/>
      <c r="F11" s="195"/>
      <c r="G11" s="11"/>
      <c r="H11" s="3"/>
      <c r="I11" s="3" t="s">
        <v>460</v>
      </c>
      <c r="J11" s="3">
        <f>SUMPRODUCT(I6:I8,I6:I8,J6:J8)</f>
        <v>130000</v>
      </c>
      <c r="L11" s="3" t="s">
        <v>460</v>
      </c>
      <c r="M11" s="3">
        <f>SUMPRODUCT(L6:L8,L6:L8,M6:M8)</f>
        <v>340000</v>
      </c>
    </row>
    <row r="12" spans="1:13" x14ac:dyDescent="0.25">
      <c r="A12" s="10"/>
      <c r="B12" s="52">
        <v>2000</v>
      </c>
      <c r="C12" s="5" t="s">
        <v>452</v>
      </c>
      <c r="D12" s="5"/>
      <c r="E12" s="5"/>
      <c r="F12" s="166"/>
      <c r="G12" s="11"/>
      <c r="H12" s="3"/>
      <c r="I12" s="3" t="s">
        <v>461</v>
      </c>
      <c r="J12" s="3">
        <f>J11-J10^2</f>
        <v>117900</v>
      </c>
      <c r="L12" s="3" t="s">
        <v>461</v>
      </c>
      <c r="M12" s="3">
        <f>M11-M10^2</f>
        <v>320400</v>
      </c>
    </row>
    <row r="13" spans="1:13" x14ac:dyDescent="0.25">
      <c r="A13" s="10"/>
      <c r="B13" s="53">
        <v>5000</v>
      </c>
      <c r="C13" s="69" t="s">
        <v>453</v>
      </c>
      <c r="D13" s="69"/>
      <c r="E13" s="69"/>
      <c r="F13" s="167"/>
      <c r="G13" s="11"/>
      <c r="H13" s="3"/>
      <c r="I13" s="3" t="s">
        <v>462</v>
      </c>
      <c r="J13" s="3">
        <f>SQRT(J12)</f>
        <v>343.36569426778789</v>
      </c>
      <c r="L13" s="3" t="s">
        <v>462</v>
      </c>
      <c r="M13" s="3">
        <f>SQRT(M12)</f>
        <v>566.0388679233962</v>
      </c>
    </row>
    <row r="14" spans="1:13" x14ac:dyDescent="0.25">
      <c r="A14" s="10"/>
      <c r="B14" s="5"/>
      <c r="C14" s="5"/>
      <c r="D14" s="5"/>
      <c r="E14" s="5"/>
      <c r="F14" s="5"/>
      <c r="G14" s="11"/>
      <c r="H14" s="3"/>
      <c r="I14" s="3" t="s">
        <v>463</v>
      </c>
      <c r="J14" s="210">
        <f>B11*J13</f>
        <v>34.336569426778787</v>
      </c>
      <c r="L14" s="3" t="s">
        <v>463</v>
      </c>
      <c r="M14" s="210">
        <f>B11*M13</f>
        <v>56.603886792339623</v>
      </c>
    </row>
    <row r="15" spans="1:13" x14ac:dyDescent="0.25">
      <c r="A15" s="10"/>
      <c r="B15" s="5" t="s">
        <v>454</v>
      </c>
      <c r="C15" s="5"/>
      <c r="D15" s="5"/>
      <c r="E15" s="5"/>
      <c r="F15" s="5"/>
      <c r="G15" s="11"/>
      <c r="H15" s="3"/>
    </row>
    <row r="16" spans="1:13" x14ac:dyDescent="0.25">
      <c r="A16" s="10"/>
      <c r="B16" s="5"/>
      <c r="C16" s="5"/>
      <c r="D16" s="5"/>
      <c r="E16" s="5"/>
      <c r="F16" s="5"/>
      <c r="G16" s="11"/>
      <c r="H16" s="3"/>
      <c r="I16" s="3" t="s">
        <v>465</v>
      </c>
      <c r="K16" s="375">
        <f>(M10+M14)/(J10+J14)</f>
        <v>1.3621211005162193</v>
      </c>
    </row>
    <row r="17" spans="1:8" x14ac:dyDescent="0.25">
      <c r="A17" s="14" t="s">
        <v>2</v>
      </c>
      <c r="B17" s="5" t="s">
        <v>455</v>
      </c>
      <c r="C17" s="5"/>
      <c r="D17" s="5"/>
      <c r="E17" s="5"/>
      <c r="F17" s="5"/>
      <c r="G17" s="11"/>
      <c r="H17" s="3"/>
    </row>
    <row r="18" spans="1:8" ht="15.75" thickBot="1" x14ac:dyDescent="0.3">
      <c r="A18" s="13">
        <f ca="1">INDEX('Point Grid'!$C$8:$I$27,MATCH($A$1,'Point Grid'!$A$8:$A$27,0),MATCH(A17,'Point Grid'!$C$7:$I$7,0))</f>
        <v>2</v>
      </c>
      <c r="B18" s="5"/>
      <c r="C18" s="5"/>
      <c r="D18" s="5"/>
      <c r="E18" s="5"/>
      <c r="F18" s="5"/>
      <c r="G18" s="11"/>
      <c r="H18" s="3"/>
    </row>
    <row r="19" spans="1:8" ht="15.75" thickBot="1" x14ac:dyDescent="0.3">
      <c r="A19" s="4">
        <v>2</v>
      </c>
      <c r="B19" s="5"/>
      <c r="C19" s="5"/>
      <c r="D19" s="5"/>
      <c r="E19" s="5"/>
      <c r="F19" s="5"/>
      <c r="G19" s="11"/>
      <c r="H19" s="3"/>
    </row>
    <row r="20" spans="1:8" ht="15.75" thickBot="1" x14ac:dyDescent="0.3">
      <c r="A20" s="15"/>
      <c r="B20" s="16"/>
      <c r="C20" s="16"/>
      <c r="D20" s="16"/>
      <c r="E20" s="16"/>
      <c r="F20" s="16"/>
      <c r="G20" s="17"/>
      <c r="H20" s="3"/>
    </row>
    <row r="21" spans="1:8" x14ac:dyDescent="0.25">
      <c r="H21" s="3"/>
    </row>
    <row r="22" spans="1:8" x14ac:dyDescent="0.25">
      <c r="H22" s="3"/>
    </row>
    <row r="23" spans="1:8" x14ac:dyDescent="0.25">
      <c r="H23" s="3"/>
    </row>
    <row r="24" spans="1:8" x14ac:dyDescent="0.25">
      <c r="H24" s="3"/>
    </row>
    <row r="25" spans="1:8" x14ac:dyDescent="0.25">
      <c r="H25" s="3"/>
    </row>
    <row r="26" spans="1:8" x14ac:dyDescent="0.25">
      <c r="H26" s="3"/>
    </row>
    <row r="27" spans="1:8" x14ac:dyDescent="0.25">
      <c r="H27" s="3"/>
    </row>
    <row r="28" spans="1:8" x14ac:dyDescent="0.25">
      <c r="H28" s="3"/>
    </row>
    <row r="29" spans="1:8" x14ac:dyDescent="0.25">
      <c r="H29" s="3"/>
    </row>
    <row r="30" spans="1:8" x14ac:dyDescent="0.25">
      <c r="H30" s="3"/>
    </row>
    <row r="31" spans="1:8" x14ac:dyDescent="0.25">
      <c r="H31" s="3"/>
    </row>
    <row r="32" spans="1:8" x14ac:dyDescent="0.25">
      <c r="H32" s="3"/>
    </row>
    <row r="33" spans="8:8" x14ac:dyDescent="0.25">
      <c r="H33" s="3"/>
    </row>
    <row r="34" spans="8:8" x14ac:dyDescent="0.25">
      <c r="H34" s="3"/>
    </row>
    <row r="35" spans="8:8" x14ac:dyDescent="0.25">
      <c r="H35" s="3"/>
    </row>
    <row r="36" spans="8:8" x14ac:dyDescent="0.25">
      <c r="H36" s="3"/>
    </row>
    <row r="37" spans="8:8" x14ac:dyDescent="0.25">
      <c r="H37" s="3"/>
    </row>
    <row r="38" spans="8:8" x14ac:dyDescent="0.25">
      <c r="H38" s="3"/>
    </row>
    <row r="39" spans="8:8" x14ac:dyDescent="0.25">
      <c r="H39" s="3"/>
    </row>
    <row r="40" spans="8:8" x14ac:dyDescent="0.25">
      <c r="H40" s="3"/>
    </row>
    <row r="41" spans="8:8" x14ac:dyDescent="0.25">
      <c r="H41" s="3"/>
    </row>
  </sheetData>
  <sheetProtection formatCells="0" formatColumns="0" formatRows="0"/>
  <mergeCells count="1">
    <mergeCell ref="F1:G1"/>
  </mergeCells>
  <conditionalFormatting sqref="B1">
    <cfRule type="cellIs" dxfId="17" priority="1" operator="equal">
      <formula>"Incomplete"</formula>
    </cfRule>
    <cfRule type="cellIs" dxfId="16" priority="2" operator="equal">
      <formula>"Flag for Review"</formula>
    </cfRule>
    <cfRule type="cellIs" dxfId="15" priority="3" operator="equal">
      <formula>"Finished"</formula>
    </cfRule>
  </conditionalFormatting>
  <dataValidations count="2">
    <dataValidation type="decimal" allowBlank="1" showInputMessage="1" showErrorMessage="1" sqref="A19" xr:uid="{2AA5B510-CE0C-4E3D-AC6E-9D948A22F351}">
      <formula1>0</formula1>
      <formula2>A18</formula2>
    </dataValidation>
    <dataValidation type="list" allowBlank="1" showInputMessage="1" showErrorMessage="1" sqref="B1" xr:uid="{99F92B34-9DCD-4BE2-8076-3C3CA4D8E527}">
      <formula1>"Finished, Flag for Review, Incomplete"</formula1>
    </dataValidation>
  </dataValidations>
  <hyperlinks>
    <hyperlink ref="F1" location="Navigator!A1" display="Navigator" xr:uid="{A4E546C2-C39B-4834-9BD3-E91ADE3D680E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0C8A39-862A-44C3-A552-34B04FBF5624}">
  <sheetPr codeName="Sheet2"/>
  <dimension ref="A5:S32"/>
  <sheetViews>
    <sheetView zoomScale="90" zoomScaleNormal="90" workbookViewId="0"/>
  </sheetViews>
  <sheetFormatPr defaultRowHeight="15" x14ac:dyDescent="0.25"/>
  <cols>
    <col min="2" max="2" width="10.42578125" customWidth="1"/>
    <col min="3" max="9" width="7.28515625" customWidth="1"/>
    <col min="10" max="10" width="14.140625" bestFit="1" customWidth="1"/>
    <col min="11" max="11" width="2.7109375" customWidth="1"/>
    <col min="12" max="12" width="13.5703125" bestFit="1" customWidth="1"/>
    <col min="13" max="19" width="7.28515625" customWidth="1"/>
  </cols>
  <sheetData>
    <row r="5" spans="1:19" ht="23.25" x14ac:dyDescent="0.35">
      <c r="A5" s="26" t="s">
        <v>546</v>
      </c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</row>
    <row r="6" spans="1:19" ht="15.75" x14ac:dyDescent="0.25">
      <c r="A6" s="34"/>
      <c r="B6" s="415" t="s">
        <v>9</v>
      </c>
      <c r="C6" s="2" t="s">
        <v>1</v>
      </c>
      <c r="D6" s="2"/>
      <c r="E6" s="2"/>
      <c r="F6" s="2"/>
      <c r="G6" s="2"/>
      <c r="H6" s="2"/>
      <c r="I6" s="2"/>
      <c r="J6" s="34"/>
      <c r="L6" s="36" t="s">
        <v>12</v>
      </c>
      <c r="M6" s="2" t="s">
        <v>1</v>
      </c>
      <c r="N6" s="2"/>
      <c r="O6" s="2"/>
      <c r="P6" s="2"/>
      <c r="Q6" s="2"/>
      <c r="R6" s="2"/>
      <c r="S6" s="2"/>
    </row>
    <row r="7" spans="1:19" x14ac:dyDescent="0.25">
      <c r="A7" s="35" t="s">
        <v>0</v>
      </c>
      <c r="B7" s="416"/>
      <c r="C7" s="35" t="s">
        <v>2</v>
      </c>
      <c r="D7" s="35" t="s">
        <v>3</v>
      </c>
      <c r="E7" s="35" t="s">
        <v>4</v>
      </c>
      <c r="F7" s="35" t="s">
        <v>5</v>
      </c>
      <c r="G7" s="35" t="s">
        <v>6</v>
      </c>
      <c r="H7" s="35" t="s">
        <v>7</v>
      </c>
      <c r="I7" s="35" t="s">
        <v>8</v>
      </c>
      <c r="J7" s="35" t="s">
        <v>11</v>
      </c>
      <c r="L7" s="37" t="s">
        <v>0</v>
      </c>
      <c r="M7" s="35" t="s">
        <v>2</v>
      </c>
      <c r="N7" s="35" t="s">
        <v>3</v>
      </c>
      <c r="O7" s="35" t="s">
        <v>4</v>
      </c>
      <c r="P7" s="35" t="s">
        <v>5</v>
      </c>
      <c r="Q7" s="35" t="s">
        <v>6</v>
      </c>
      <c r="R7" s="35" t="s">
        <v>7</v>
      </c>
      <c r="S7" s="35" t="s">
        <v>8</v>
      </c>
    </row>
    <row r="8" spans="1:19" x14ac:dyDescent="0.25">
      <c r="A8" s="30">
        <v>1</v>
      </c>
      <c r="B8" s="31">
        <f>SUM(C8:I8)</f>
        <v>5.75</v>
      </c>
      <c r="C8" s="32">
        <v>2.5</v>
      </c>
      <c r="D8" s="32">
        <v>2</v>
      </c>
      <c r="E8" s="32">
        <v>0.5</v>
      </c>
      <c r="F8" s="32">
        <v>0.75</v>
      </c>
      <c r="G8" s="32"/>
      <c r="H8" s="32"/>
      <c r="I8" s="32"/>
      <c r="J8" s="33" t="str">
        <f ca="1">INDIRECT("'"&amp;A8&amp;"'!B1")</f>
        <v>Finished</v>
      </c>
      <c r="L8" s="38">
        <f>A8</f>
        <v>1</v>
      </c>
      <c r="M8" s="32">
        <f t="shared" ref="M8:S17" ca="1" si="0">_xlfn.IFNA(IF(ISBLANK(INDEX(INDIRECT("'"&amp;$L8&amp;"'!$A:$A"),MATCH(M$7,INDIRECT("'"&amp;$L8&amp;"'!$A:$A"),0)+2)),"",INDEX(INDIRECT("'"&amp;$L8&amp;"'!$A:$A"),MATCH(M$7,INDIRECT("'"&amp;$L8&amp;"'!$A:$A"),0)+2)),"")</f>
        <v>2.5</v>
      </c>
      <c r="N8" s="32">
        <f t="shared" ca="1" si="0"/>
        <v>2</v>
      </c>
      <c r="O8" s="32">
        <f t="shared" ca="1" si="0"/>
        <v>0.5</v>
      </c>
      <c r="P8" s="32">
        <f t="shared" ca="1" si="0"/>
        <v>0.75</v>
      </c>
      <c r="Q8" s="32" t="str">
        <f t="shared" ca="1" si="0"/>
        <v/>
      </c>
      <c r="R8" s="32" t="str">
        <f t="shared" ca="1" si="0"/>
        <v/>
      </c>
      <c r="S8" s="32" t="str">
        <f t="shared" ca="1" si="0"/>
        <v/>
      </c>
    </row>
    <row r="9" spans="1:19" x14ac:dyDescent="0.25">
      <c r="A9" s="25">
        <f>A8+1</f>
        <v>2</v>
      </c>
      <c r="B9" s="29">
        <f t="shared" ref="B9:B27" si="1">SUM(C9:I9)</f>
        <v>2.75</v>
      </c>
      <c r="C9" s="22">
        <v>1</v>
      </c>
      <c r="D9" s="22">
        <v>1</v>
      </c>
      <c r="E9" s="22">
        <v>0.75</v>
      </c>
      <c r="F9" s="22"/>
      <c r="G9" s="22"/>
      <c r="H9" s="22"/>
      <c r="I9" s="22"/>
      <c r="J9" s="21" t="str">
        <f t="shared" ref="J9:J27" ca="1" si="2">INDIRECT("'"&amp;A9&amp;"'!B1")</f>
        <v>Finished</v>
      </c>
      <c r="L9" s="39">
        <f t="shared" ref="L9:L27" si="3">A9</f>
        <v>2</v>
      </c>
      <c r="M9" s="22">
        <f t="shared" ca="1" si="0"/>
        <v>1</v>
      </c>
      <c r="N9" s="22">
        <f t="shared" ca="1" si="0"/>
        <v>1</v>
      </c>
      <c r="O9" s="22">
        <f t="shared" ca="1" si="0"/>
        <v>0.75</v>
      </c>
      <c r="P9" s="22" t="str">
        <f t="shared" ca="1" si="0"/>
        <v/>
      </c>
      <c r="Q9" s="22" t="str">
        <f t="shared" ca="1" si="0"/>
        <v/>
      </c>
      <c r="R9" s="22" t="str">
        <f t="shared" ca="1" si="0"/>
        <v/>
      </c>
      <c r="S9" s="22" t="str">
        <f t="shared" ca="1" si="0"/>
        <v/>
      </c>
    </row>
    <row r="10" spans="1:19" x14ac:dyDescent="0.25">
      <c r="A10" s="25">
        <f t="shared" ref="A10:A28" si="4">A9+1</f>
        <v>3</v>
      </c>
      <c r="B10" s="29">
        <f t="shared" si="1"/>
        <v>2.5</v>
      </c>
      <c r="C10" s="22">
        <v>2</v>
      </c>
      <c r="D10" s="22">
        <v>0.5</v>
      </c>
      <c r="E10" s="22"/>
      <c r="F10" s="22"/>
      <c r="G10" s="22"/>
      <c r="H10" s="22"/>
      <c r="I10" s="22"/>
      <c r="J10" s="21" t="str">
        <f t="shared" ca="1" si="2"/>
        <v>Finished</v>
      </c>
      <c r="L10" s="39">
        <f t="shared" si="3"/>
        <v>3</v>
      </c>
      <c r="M10" s="22">
        <f t="shared" ca="1" si="0"/>
        <v>2</v>
      </c>
      <c r="N10" s="22">
        <f t="shared" ca="1" si="0"/>
        <v>0.5</v>
      </c>
      <c r="O10" s="22" t="str">
        <f t="shared" ca="1" si="0"/>
        <v/>
      </c>
      <c r="P10" s="22" t="str">
        <f t="shared" ca="1" si="0"/>
        <v/>
      </c>
      <c r="Q10" s="22" t="str">
        <f t="shared" ca="1" si="0"/>
        <v/>
      </c>
      <c r="R10" s="22" t="str">
        <f t="shared" ca="1" si="0"/>
        <v/>
      </c>
      <c r="S10" s="22" t="str">
        <f t="shared" ca="1" si="0"/>
        <v/>
      </c>
    </row>
    <row r="11" spans="1:19" x14ac:dyDescent="0.25">
      <c r="A11" s="25">
        <f t="shared" si="4"/>
        <v>4</v>
      </c>
      <c r="B11" s="29">
        <f t="shared" si="1"/>
        <v>2</v>
      </c>
      <c r="C11" s="22">
        <v>1.5</v>
      </c>
      <c r="D11" s="22">
        <v>0.5</v>
      </c>
      <c r="E11" s="22"/>
      <c r="F11" s="22"/>
      <c r="G11" s="22"/>
      <c r="H11" s="22"/>
      <c r="I11" s="22"/>
      <c r="J11" s="21" t="str">
        <f t="shared" ca="1" si="2"/>
        <v>Finished</v>
      </c>
      <c r="L11" s="39">
        <f t="shared" si="3"/>
        <v>4</v>
      </c>
      <c r="M11" s="22">
        <f t="shared" ca="1" si="0"/>
        <v>1.5</v>
      </c>
      <c r="N11" s="22">
        <f t="shared" ca="1" si="0"/>
        <v>0.5</v>
      </c>
      <c r="O11" s="22" t="str">
        <f t="shared" ca="1" si="0"/>
        <v/>
      </c>
      <c r="P11" s="22" t="str">
        <f t="shared" ca="1" si="0"/>
        <v/>
      </c>
      <c r="Q11" s="22" t="str">
        <f t="shared" ca="1" si="0"/>
        <v/>
      </c>
      <c r="R11" s="22" t="str">
        <f t="shared" ca="1" si="0"/>
        <v/>
      </c>
      <c r="S11" s="22" t="str">
        <f t="shared" ca="1" si="0"/>
        <v/>
      </c>
    </row>
    <row r="12" spans="1:19" x14ac:dyDescent="0.25">
      <c r="A12" s="25">
        <f t="shared" si="4"/>
        <v>5</v>
      </c>
      <c r="B12" s="29">
        <f t="shared" si="1"/>
        <v>4.25</v>
      </c>
      <c r="C12" s="22">
        <v>0.75</v>
      </c>
      <c r="D12" s="22">
        <v>1</v>
      </c>
      <c r="E12" s="22">
        <v>1</v>
      </c>
      <c r="F12" s="22">
        <v>0.5</v>
      </c>
      <c r="G12" s="22">
        <v>1</v>
      </c>
      <c r="H12" s="22"/>
      <c r="I12" s="22"/>
      <c r="J12" s="21" t="str">
        <f t="shared" ca="1" si="2"/>
        <v>Finished</v>
      </c>
      <c r="L12" s="39">
        <f t="shared" si="3"/>
        <v>5</v>
      </c>
      <c r="M12" s="22">
        <f t="shared" ca="1" si="0"/>
        <v>0.75</v>
      </c>
      <c r="N12" s="22">
        <f t="shared" ca="1" si="0"/>
        <v>1</v>
      </c>
      <c r="O12" s="22">
        <f t="shared" ca="1" si="0"/>
        <v>1</v>
      </c>
      <c r="P12" s="22">
        <f t="shared" ca="1" si="0"/>
        <v>0.5</v>
      </c>
      <c r="Q12" s="22">
        <f t="shared" ca="1" si="0"/>
        <v>1</v>
      </c>
      <c r="R12" s="22" t="str">
        <f t="shared" ca="1" si="0"/>
        <v/>
      </c>
      <c r="S12" s="22" t="str">
        <f t="shared" ca="1" si="0"/>
        <v/>
      </c>
    </row>
    <row r="13" spans="1:19" x14ac:dyDescent="0.25">
      <c r="A13" s="25">
        <f t="shared" si="4"/>
        <v>6</v>
      </c>
      <c r="B13" s="29">
        <f t="shared" si="1"/>
        <v>4.75</v>
      </c>
      <c r="C13" s="22">
        <v>0.75</v>
      </c>
      <c r="D13" s="22">
        <v>1</v>
      </c>
      <c r="E13" s="22">
        <v>0.5</v>
      </c>
      <c r="F13" s="22">
        <v>0.5</v>
      </c>
      <c r="G13" s="22">
        <v>1.25</v>
      </c>
      <c r="H13" s="22">
        <v>0.75</v>
      </c>
      <c r="I13" s="22"/>
      <c r="J13" s="21" t="str">
        <f t="shared" ca="1" si="2"/>
        <v>Finished</v>
      </c>
      <c r="L13" s="39">
        <f t="shared" si="3"/>
        <v>6</v>
      </c>
      <c r="M13" s="22">
        <f t="shared" ca="1" si="0"/>
        <v>0.75</v>
      </c>
      <c r="N13" s="22">
        <f t="shared" ca="1" si="0"/>
        <v>1</v>
      </c>
      <c r="O13" s="22">
        <f t="shared" ca="1" si="0"/>
        <v>0.5</v>
      </c>
      <c r="P13" s="22">
        <f t="shared" ca="1" si="0"/>
        <v>0.5</v>
      </c>
      <c r="Q13" s="22">
        <f t="shared" ca="1" si="0"/>
        <v>1.25</v>
      </c>
      <c r="R13" s="22">
        <f t="shared" ca="1" si="0"/>
        <v>0.75</v>
      </c>
      <c r="S13" s="22" t="str">
        <f t="shared" ca="1" si="0"/>
        <v/>
      </c>
    </row>
    <row r="14" spans="1:19" x14ac:dyDescent="0.25">
      <c r="A14" s="25">
        <f t="shared" si="4"/>
        <v>7</v>
      </c>
      <c r="B14" s="29">
        <f t="shared" si="1"/>
        <v>2.75</v>
      </c>
      <c r="C14" s="22">
        <v>0.75</v>
      </c>
      <c r="D14" s="22">
        <v>2</v>
      </c>
      <c r="E14" s="22"/>
      <c r="F14" s="22"/>
      <c r="G14" s="22"/>
      <c r="H14" s="22"/>
      <c r="I14" s="22"/>
      <c r="J14" s="21" t="str">
        <f t="shared" ca="1" si="2"/>
        <v>Finished</v>
      </c>
      <c r="L14" s="39">
        <f t="shared" si="3"/>
        <v>7</v>
      </c>
      <c r="M14" s="22">
        <f t="shared" ca="1" si="0"/>
        <v>0.75</v>
      </c>
      <c r="N14" s="22">
        <f t="shared" ca="1" si="0"/>
        <v>2</v>
      </c>
      <c r="O14" s="22" t="str">
        <f t="shared" ca="1" si="0"/>
        <v/>
      </c>
      <c r="P14" s="22" t="str">
        <f t="shared" ca="1" si="0"/>
        <v/>
      </c>
      <c r="Q14" s="22" t="str">
        <f t="shared" ca="1" si="0"/>
        <v/>
      </c>
      <c r="R14" s="22" t="str">
        <f t="shared" ca="1" si="0"/>
        <v/>
      </c>
      <c r="S14" s="22" t="str">
        <f t="shared" ca="1" si="0"/>
        <v/>
      </c>
    </row>
    <row r="15" spans="1:19" x14ac:dyDescent="0.25">
      <c r="A15" s="25">
        <f t="shared" si="4"/>
        <v>8</v>
      </c>
      <c r="B15" s="29">
        <f t="shared" si="1"/>
        <v>3.5</v>
      </c>
      <c r="C15" s="22">
        <v>3</v>
      </c>
      <c r="D15" s="22">
        <v>0.5</v>
      </c>
      <c r="E15" s="22"/>
      <c r="F15" s="22"/>
      <c r="G15" s="22"/>
      <c r="H15" s="22"/>
      <c r="I15" s="22"/>
      <c r="J15" s="21" t="str">
        <f t="shared" ca="1" si="2"/>
        <v>Finished</v>
      </c>
      <c r="L15" s="39">
        <f t="shared" si="3"/>
        <v>8</v>
      </c>
      <c r="M15" s="22">
        <f t="shared" ca="1" si="0"/>
        <v>3</v>
      </c>
      <c r="N15" s="22">
        <f t="shared" ca="1" si="0"/>
        <v>0.5</v>
      </c>
      <c r="O15" s="22" t="str">
        <f t="shared" ca="1" si="0"/>
        <v/>
      </c>
      <c r="P15" s="22" t="str">
        <f t="shared" ca="1" si="0"/>
        <v/>
      </c>
      <c r="Q15" s="22" t="str">
        <f t="shared" ca="1" si="0"/>
        <v/>
      </c>
      <c r="R15" s="22" t="str">
        <f t="shared" ca="1" si="0"/>
        <v/>
      </c>
      <c r="S15" s="22" t="str">
        <f t="shared" ca="1" si="0"/>
        <v/>
      </c>
    </row>
    <row r="16" spans="1:19" x14ac:dyDescent="0.25">
      <c r="A16" s="25">
        <f t="shared" si="4"/>
        <v>9</v>
      </c>
      <c r="B16" s="29">
        <f t="shared" si="1"/>
        <v>3.5</v>
      </c>
      <c r="C16" s="22">
        <v>1</v>
      </c>
      <c r="D16" s="22">
        <v>1</v>
      </c>
      <c r="E16" s="22">
        <v>1.5</v>
      </c>
      <c r="F16" s="22"/>
      <c r="G16" s="22"/>
      <c r="H16" s="22"/>
      <c r="I16" s="22"/>
      <c r="J16" s="21" t="str">
        <f t="shared" ca="1" si="2"/>
        <v>Finished</v>
      </c>
      <c r="L16" s="39">
        <f t="shared" si="3"/>
        <v>9</v>
      </c>
      <c r="M16" s="22">
        <f t="shared" ca="1" si="0"/>
        <v>1</v>
      </c>
      <c r="N16" s="22">
        <f t="shared" ca="1" si="0"/>
        <v>1</v>
      </c>
      <c r="O16" s="22">
        <f t="shared" ca="1" si="0"/>
        <v>1.5</v>
      </c>
      <c r="P16" s="22" t="str">
        <f t="shared" ca="1" si="0"/>
        <v/>
      </c>
      <c r="Q16" s="22" t="str">
        <f t="shared" ca="1" si="0"/>
        <v/>
      </c>
      <c r="R16" s="22" t="str">
        <f t="shared" ca="1" si="0"/>
        <v/>
      </c>
      <c r="S16" s="22" t="str">
        <f t="shared" ca="1" si="0"/>
        <v/>
      </c>
    </row>
    <row r="17" spans="1:19" x14ac:dyDescent="0.25">
      <c r="A17" s="25">
        <f t="shared" si="4"/>
        <v>10</v>
      </c>
      <c r="B17" s="29">
        <f t="shared" si="1"/>
        <v>5.5</v>
      </c>
      <c r="C17" s="22">
        <v>2.5</v>
      </c>
      <c r="D17" s="22">
        <v>2.5</v>
      </c>
      <c r="E17" s="22">
        <v>0.5</v>
      </c>
      <c r="F17" s="22"/>
      <c r="G17" s="22"/>
      <c r="H17" s="22"/>
      <c r="I17" s="22"/>
      <c r="J17" s="21" t="str">
        <f t="shared" ca="1" si="2"/>
        <v>Finished</v>
      </c>
      <c r="L17" s="39">
        <f t="shared" si="3"/>
        <v>10</v>
      </c>
      <c r="M17" s="22">
        <f t="shared" ca="1" si="0"/>
        <v>2.5</v>
      </c>
      <c r="N17" s="22">
        <f t="shared" ca="1" si="0"/>
        <v>2.5</v>
      </c>
      <c r="O17" s="22">
        <f t="shared" ca="1" si="0"/>
        <v>0.5</v>
      </c>
      <c r="P17" s="22" t="str">
        <f t="shared" ca="1" si="0"/>
        <v/>
      </c>
      <c r="Q17" s="22" t="str">
        <f t="shared" ca="1" si="0"/>
        <v/>
      </c>
      <c r="R17" s="22" t="str">
        <f t="shared" ca="1" si="0"/>
        <v/>
      </c>
      <c r="S17" s="22" t="str">
        <f t="shared" ca="1" si="0"/>
        <v/>
      </c>
    </row>
    <row r="18" spans="1:19" x14ac:dyDescent="0.25">
      <c r="A18" s="25">
        <f t="shared" si="4"/>
        <v>11</v>
      </c>
      <c r="B18" s="29">
        <f t="shared" si="1"/>
        <v>3.5</v>
      </c>
      <c r="C18" s="22">
        <v>2</v>
      </c>
      <c r="D18" s="22">
        <v>1</v>
      </c>
      <c r="E18" s="22">
        <v>0.5</v>
      </c>
      <c r="F18" s="22"/>
      <c r="G18" s="22"/>
      <c r="H18" s="22"/>
      <c r="I18" s="22"/>
      <c r="J18" s="21" t="str">
        <f t="shared" ca="1" si="2"/>
        <v>Finished</v>
      </c>
      <c r="L18" s="39">
        <f t="shared" si="3"/>
        <v>11</v>
      </c>
      <c r="M18" s="22">
        <f t="shared" ref="M18:S28" ca="1" si="5">_xlfn.IFNA(IF(ISBLANK(INDEX(INDIRECT("'"&amp;$L18&amp;"'!$A:$A"),MATCH(M$7,INDIRECT("'"&amp;$L18&amp;"'!$A:$A"),0)+2)),"",INDEX(INDIRECT("'"&amp;$L18&amp;"'!$A:$A"),MATCH(M$7,INDIRECT("'"&amp;$L18&amp;"'!$A:$A"),0)+2)),"")</f>
        <v>2</v>
      </c>
      <c r="N18" s="22">
        <f t="shared" ca="1" si="5"/>
        <v>1</v>
      </c>
      <c r="O18" s="22">
        <f t="shared" ca="1" si="5"/>
        <v>0.5</v>
      </c>
      <c r="P18" s="22" t="str">
        <f t="shared" ca="1" si="5"/>
        <v/>
      </c>
      <c r="Q18" s="22" t="str">
        <f t="shared" ca="1" si="5"/>
        <v/>
      </c>
      <c r="R18" s="22" t="str">
        <f t="shared" ca="1" si="5"/>
        <v/>
      </c>
      <c r="S18" s="22" t="str">
        <f t="shared" ca="1" si="5"/>
        <v/>
      </c>
    </row>
    <row r="19" spans="1:19" x14ac:dyDescent="0.25">
      <c r="A19" s="25">
        <f t="shared" si="4"/>
        <v>12</v>
      </c>
      <c r="B19" s="29">
        <f t="shared" si="1"/>
        <v>2</v>
      </c>
      <c r="C19" s="22">
        <v>2</v>
      </c>
      <c r="D19" s="22"/>
      <c r="E19" s="22"/>
      <c r="F19" s="22"/>
      <c r="G19" s="22"/>
      <c r="H19" s="22"/>
      <c r="I19" s="22"/>
      <c r="J19" s="21" t="str">
        <f t="shared" ca="1" si="2"/>
        <v>Finished</v>
      </c>
      <c r="L19" s="39">
        <f t="shared" si="3"/>
        <v>12</v>
      </c>
      <c r="M19" s="22">
        <f t="shared" ca="1" si="5"/>
        <v>2</v>
      </c>
      <c r="N19" s="22" t="str">
        <f t="shared" ca="1" si="5"/>
        <v/>
      </c>
      <c r="O19" s="22" t="str">
        <f t="shared" ca="1" si="5"/>
        <v/>
      </c>
      <c r="P19" s="22" t="str">
        <f t="shared" ca="1" si="5"/>
        <v/>
      </c>
      <c r="Q19" s="22" t="str">
        <f t="shared" ca="1" si="5"/>
        <v/>
      </c>
      <c r="R19" s="22" t="str">
        <f t="shared" ca="1" si="5"/>
        <v/>
      </c>
      <c r="S19" s="22" t="str">
        <f t="shared" ca="1" si="5"/>
        <v/>
      </c>
    </row>
    <row r="20" spans="1:19" x14ac:dyDescent="0.25">
      <c r="A20" s="25">
        <f t="shared" si="4"/>
        <v>13</v>
      </c>
      <c r="B20" s="29">
        <f t="shared" si="1"/>
        <v>4</v>
      </c>
      <c r="C20" s="22">
        <v>0.5</v>
      </c>
      <c r="D20" s="22">
        <v>1.5</v>
      </c>
      <c r="E20" s="22">
        <v>2</v>
      </c>
      <c r="F20" s="22"/>
      <c r="G20" s="22"/>
      <c r="H20" s="22"/>
      <c r="I20" s="22"/>
      <c r="J20" s="21" t="str">
        <f t="shared" ca="1" si="2"/>
        <v>Finished</v>
      </c>
      <c r="L20" s="39">
        <f t="shared" si="3"/>
        <v>13</v>
      </c>
      <c r="M20" s="22">
        <f t="shared" ca="1" si="5"/>
        <v>0.5</v>
      </c>
      <c r="N20" s="22">
        <f t="shared" ca="1" si="5"/>
        <v>1.5</v>
      </c>
      <c r="O20" s="22">
        <f t="shared" ca="1" si="5"/>
        <v>2</v>
      </c>
      <c r="P20" s="22" t="str">
        <f t="shared" ca="1" si="5"/>
        <v/>
      </c>
      <c r="Q20" s="22" t="str">
        <f t="shared" ca="1" si="5"/>
        <v/>
      </c>
      <c r="R20" s="22" t="str">
        <f t="shared" ca="1" si="5"/>
        <v/>
      </c>
      <c r="S20" s="22" t="str">
        <f t="shared" ca="1" si="5"/>
        <v/>
      </c>
    </row>
    <row r="21" spans="1:19" x14ac:dyDescent="0.25">
      <c r="A21" s="25">
        <f t="shared" si="4"/>
        <v>14</v>
      </c>
      <c r="B21" s="29">
        <f t="shared" si="1"/>
        <v>3.25</v>
      </c>
      <c r="C21" s="22">
        <v>3.25</v>
      </c>
      <c r="D21" s="22"/>
      <c r="E21" s="22"/>
      <c r="F21" s="22"/>
      <c r="G21" s="22"/>
      <c r="H21" s="22"/>
      <c r="I21" s="22"/>
      <c r="J21" s="21" t="str">
        <f t="shared" ca="1" si="2"/>
        <v>Finished</v>
      </c>
      <c r="L21" s="39">
        <f t="shared" si="3"/>
        <v>14</v>
      </c>
      <c r="M21" s="22">
        <f t="shared" ca="1" si="5"/>
        <v>3.25</v>
      </c>
      <c r="N21" s="22" t="str">
        <f t="shared" ca="1" si="5"/>
        <v/>
      </c>
      <c r="O21" s="22" t="str">
        <f t="shared" ca="1" si="5"/>
        <v/>
      </c>
      <c r="P21" s="22" t="str">
        <f t="shared" ca="1" si="5"/>
        <v/>
      </c>
      <c r="Q21" s="22" t="str">
        <f t="shared" ca="1" si="5"/>
        <v/>
      </c>
      <c r="R21" s="22" t="str">
        <f t="shared" ca="1" si="5"/>
        <v/>
      </c>
      <c r="S21" s="22" t="str">
        <f t="shared" ca="1" si="5"/>
        <v/>
      </c>
    </row>
    <row r="22" spans="1:19" x14ac:dyDescent="0.25">
      <c r="A22" s="25">
        <f t="shared" si="4"/>
        <v>15</v>
      </c>
      <c r="B22" s="29">
        <f t="shared" si="1"/>
        <v>2</v>
      </c>
      <c r="C22" s="22">
        <v>1</v>
      </c>
      <c r="D22" s="22">
        <v>1</v>
      </c>
      <c r="E22" s="22"/>
      <c r="F22" s="22"/>
      <c r="G22" s="22"/>
      <c r="H22" s="22"/>
      <c r="I22" s="22"/>
      <c r="J22" s="21" t="str">
        <f t="shared" ca="1" si="2"/>
        <v>Finished</v>
      </c>
      <c r="L22" s="39">
        <f t="shared" si="3"/>
        <v>15</v>
      </c>
      <c r="M22" s="22">
        <f t="shared" ca="1" si="5"/>
        <v>1</v>
      </c>
      <c r="N22" s="22">
        <f t="shared" ca="1" si="5"/>
        <v>1</v>
      </c>
      <c r="O22" s="22" t="str">
        <f t="shared" ca="1" si="5"/>
        <v/>
      </c>
      <c r="P22" s="22" t="str">
        <f t="shared" ca="1" si="5"/>
        <v/>
      </c>
      <c r="Q22" s="22" t="str">
        <f t="shared" ca="1" si="5"/>
        <v/>
      </c>
      <c r="R22" s="22" t="str">
        <f t="shared" ca="1" si="5"/>
        <v/>
      </c>
      <c r="S22" s="22" t="str">
        <f t="shared" ca="1" si="5"/>
        <v/>
      </c>
    </row>
    <row r="23" spans="1:19" x14ac:dyDescent="0.25">
      <c r="A23" s="25">
        <f t="shared" si="4"/>
        <v>16</v>
      </c>
      <c r="B23" s="29">
        <f t="shared" si="1"/>
        <v>2</v>
      </c>
      <c r="C23" s="22">
        <v>2</v>
      </c>
      <c r="D23" s="22"/>
      <c r="E23" s="22"/>
      <c r="F23" s="22"/>
      <c r="G23" s="22"/>
      <c r="H23" s="22"/>
      <c r="I23" s="22"/>
      <c r="J23" s="21" t="str">
        <f t="shared" ca="1" si="2"/>
        <v>Finished</v>
      </c>
      <c r="L23" s="39">
        <f t="shared" si="3"/>
        <v>16</v>
      </c>
      <c r="M23" s="22">
        <f t="shared" ca="1" si="5"/>
        <v>2</v>
      </c>
      <c r="N23" s="22" t="str">
        <f t="shared" ca="1" si="5"/>
        <v/>
      </c>
      <c r="O23" s="22" t="str">
        <f t="shared" ca="1" si="5"/>
        <v/>
      </c>
      <c r="P23" s="22" t="str">
        <f t="shared" ca="1" si="5"/>
        <v/>
      </c>
      <c r="Q23" s="22" t="str">
        <f t="shared" ca="1" si="5"/>
        <v/>
      </c>
      <c r="R23" s="22" t="str">
        <f t="shared" ca="1" si="5"/>
        <v/>
      </c>
      <c r="S23" s="22" t="str">
        <f t="shared" ca="1" si="5"/>
        <v/>
      </c>
    </row>
    <row r="24" spans="1:19" x14ac:dyDescent="0.25">
      <c r="A24" s="25">
        <f t="shared" si="4"/>
        <v>17</v>
      </c>
      <c r="B24" s="29">
        <f t="shared" si="1"/>
        <v>1</v>
      </c>
      <c r="C24" s="22">
        <v>1</v>
      </c>
      <c r="D24" s="22"/>
      <c r="E24" s="22"/>
      <c r="F24" s="22"/>
      <c r="G24" s="22"/>
      <c r="H24" s="22"/>
      <c r="I24" s="22"/>
      <c r="J24" s="21" t="str">
        <f t="shared" ca="1" si="2"/>
        <v>Finished</v>
      </c>
      <c r="L24" s="39">
        <f t="shared" si="3"/>
        <v>17</v>
      </c>
      <c r="M24" s="22">
        <f t="shared" ca="1" si="5"/>
        <v>1</v>
      </c>
      <c r="N24" s="22" t="str">
        <f t="shared" ca="1" si="5"/>
        <v/>
      </c>
      <c r="O24" s="22" t="str">
        <f t="shared" ca="1" si="5"/>
        <v/>
      </c>
      <c r="P24" s="22" t="str">
        <f t="shared" ca="1" si="5"/>
        <v/>
      </c>
      <c r="Q24" s="22" t="str">
        <f t="shared" ca="1" si="5"/>
        <v/>
      </c>
      <c r="R24" s="22" t="str">
        <f t="shared" ca="1" si="5"/>
        <v/>
      </c>
      <c r="S24" s="22" t="str">
        <f t="shared" ca="1" si="5"/>
        <v/>
      </c>
    </row>
    <row r="25" spans="1:19" x14ac:dyDescent="0.25">
      <c r="A25" s="25">
        <f t="shared" si="4"/>
        <v>18</v>
      </c>
      <c r="B25" s="29">
        <f t="shared" si="1"/>
        <v>3.25</v>
      </c>
      <c r="C25" s="22">
        <v>2</v>
      </c>
      <c r="D25" s="22">
        <v>1</v>
      </c>
      <c r="E25" s="22">
        <v>0.25</v>
      </c>
      <c r="F25" s="22"/>
      <c r="G25" s="22"/>
      <c r="H25" s="22"/>
      <c r="I25" s="22"/>
      <c r="J25" s="21" t="str">
        <f t="shared" ca="1" si="2"/>
        <v>Finished</v>
      </c>
      <c r="L25" s="39">
        <f t="shared" si="3"/>
        <v>18</v>
      </c>
      <c r="M25" s="22">
        <f t="shared" ca="1" si="5"/>
        <v>2</v>
      </c>
      <c r="N25" s="22">
        <f t="shared" ca="1" si="5"/>
        <v>1</v>
      </c>
      <c r="O25" s="22">
        <f t="shared" ca="1" si="5"/>
        <v>0.25</v>
      </c>
      <c r="P25" s="22" t="str">
        <f t="shared" ca="1" si="5"/>
        <v/>
      </c>
      <c r="Q25" s="22" t="str">
        <f t="shared" ca="1" si="5"/>
        <v/>
      </c>
      <c r="R25" s="22" t="str">
        <f t="shared" ca="1" si="5"/>
        <v/>
      </c>
      <c r="S25" s="22" t="str">
        <f t="shared" ca="1" si="5"/>
        <v/>
      </c>
    </row>
    <row r="26" spans="1:19" x14ac:dyDescent="0.25">
      <c r="A26" s="25">
        <f t="shared" si="4"/>
        <v>19</v>
      </c>
      <c r="B26" s="29">
        <f t="shared" si="1"/>
        <v>2.5</v>
      </c>
      <c r="C26" s="22">
        <v>1</v>
      </c>
      <c r="D26" s="22">
        <v>0.5</v>
      </c>
      <c r="E26" s="22">
        <v>1</v>
      </c>
      <c r="F26" s="22"/>
      <c r="G26" s="22"/>
      <c r="H26" s="22"/>
      <c r="I26" s="22"/>
      <c r="J26" s="21" t="str">
        <f t="shared" ca="1" si="2"/>
        <v>Finished</v>
      </c>
      <c r="L26" s="39">
        <f t="shared" si="3"/>
        <v>19</v>
      </c>
      <c r="M26" s="22">
        <f t="shared" ca="1" si="5"/>
        <v>1</v>
      </c>
      <c r="N26" s="22">
        <f t="shared" ca="1" si="5"/>
        <v>0.5</v>
      </c>
      <c r="O26" s="22">
        <f t="shared" ca="1" si="5"/>
        <v>1</v>
      </c>
      <c r="P26" s="22" t="str">
        <f t="shared" ca="1" si="5"/>
        <v/>
      </c>
      <c r="Q26" s="22" t="str">
        <f t="shared" ca="1" si="5"/>
        <v/>
      </c>
      <c r="R26" s="22" t="str">
        <f t="shared" ca="1" si="5"/>
        <v/>
      </c>
      <c r="S26" s="22" t="str">
        <f t="shared" ca="1" si="5"/>
        <v/>
      </c>
    </row>
    <row r="27" spans="1:19" x14ac:dyDescent="0.25">
      <c r="A27" s="25">
        <f t="shared" si="4"/>
        <v>20</v>
      </c>
      <c r="B27" s="29">
        <f t="shared" si="1"/>
        <v>2.75</v>
      </c>
      <c r="C27" s="22">
        <v>0.75</v>
      </c>
      <c r="D27" s="22">
        <v>0.5</v>
      </c>
      <c r="E27" s="22">
        <v>0.5</v>
      </c>
      <c r="F27" s="22">
        <v>1</v>
      </c>
      <c r="G27" s="22"/>
      <c r="H27" s="22"/>
      <c r="I27" s="22"/>
      <c r="J27" s="21" t="str">
        <f t="shared" ca="1" si="2"/>
        <v>Finished</v>
      </c>
      <c r="L27" s="39">
        <f t="shared" si="3"/>
        <v>20</v>
      </c>
      <c r="M27" s="22">
        <f t="shared" ca="1" si="5"/>
        <v>0.75</v>
      </c>
      <c r="N27" s="22">
        <f t="shared" ca="1" si="5"/>
        <v>0.5</v>
      </c>
      <c r="O27" s="22">
        <f t="shared" ca="1" si="5"/>
        <v>0.5</v>
      </c>
      <c r="P27" s="22">
        <f t="shared" ca="1" si="5"/>
        <v>1</v>
      </c>
      <c r="Q27" s="22" t="str">
        <f t="shared" ca="1" si="5"/>
        <v/>
      </c>
      <c r="R27" s="22" t="str">
        <f t="shared" ca="1" si="5"/>
        <v/>
      </c>
      <c r="S27" s="22" t="str">
        <f t="shared" ca="1" si="5"/>
        <v/>
      </c>
    </row>
    <row r="28" spans="1:19" x14ac:dyDescent="0.25">
      <c r="A28" s="25">
        <f t="shared" si="4"/>
        <v>21</v>
      </c>
      <c r="B28" s="29">
        <f>SUM(C28:I28)</f>
        <v>4</v>
      </c>
      <c r="C28" s="22">
        <v>2.5</v>
      </c>
      <c r="D28" s="22">
        <v>1</v>
      </c>
      <c r="E28" s="22">
        <v>0.5</v>
      </c>
      <c r="F28" s="22"/>
      <c r="G28" s="22"/>
      <c r="H28" s="22"/>
      <c r="I28" s="22"/>
      <c r="J28" s="21" t="str">
        <f ca="1">INDIRECT("'"&amp;A28&amp;"'!B1")</f>
        <v>Finished</v>
      </c>
      <c r="L28" s="39">
        <f>A28</f>
        <v>21</v>
      </c>
      <c r="M28" s="22">
        <f t="shared" ca="1" si="5"/>
        <v>2.5</v>
      </c>
      <c r="N28" s="22">
        <f t="shared" ca="1" si="5"/>
        <v>1</v>
      </c>
      <c r="O28" s="22">
        <f t="shared" ca="1" si="5"/>
        <v>0.5</v>
      </c>
      <c r="P28" s="22" t="str">
        <f t="shared" ca="1" si="5"/>
        <v/>
      </c>
      <c r="Q28" s="22" t="str">
        <f t="shared" ca="1" si="5"/>
        <v/>
      </c>
      <c r="R28" s="22" t="str">
        <f t="shared" ca="1" si="5"/>
        <v/>
      </c>
      <c r="S28" s="22" t="str">
        <f t="shared" ca="1" si="5"/>
        <v/>
      </c>
    </row>
    <row r="29" spans="1:19" x14ac:dyDescent="0.25">
      <c r="A29" s="1"/>
    </row>
    <row r="30" spans="1:19" ht="15.75" thickBot="1" x14ac:dyDescent="0.3">
      <c r="A30" s="18" t="s">
        <v>10</v>
      </c>
      <c r="B30" s="19">
        <f>SUM(B8:B28)</f>
        <v>67.5</v>
      </c>
      <c r="L30" s="20" t="s">
        <v>13</v>
      </c>
      <c r="M30" s="19">
        <f t="array" aca="1" ref="M30" ca="1">IF(SUM(IF(M8:S28="",0,1))=0,"",SUM(M8:S28))</f>
        <v>67.5</v>
      </c>
      <c r="O30" s="24" t="s">
        <v>15</v>
      </c>
      <c r="P30" s="7">
        <f ca="1">IF(M30="","",M30/B30)</f>
        <v>1</v>
      </c>
    </row>
    <row r="32" spans="1:19" x14ac:dyDescent="0.25">
      <c r="L32" s="44" t="s">
        <v>39</v>
      </c>
      <c r="M32" s="45">
        <f>MROUND(72%*B30,0.25)</f>
        <v>48.5</v>
      </c>
    </row>
  </sheetData>
  <sheetProtection formatCells="0" formatColumns="0" formatRows="0"/>
  <mergeCells count="1">
    <mergeCell ref="B6:B7"/>
  </mergeCells>
  <conditionalFormatting sqref="C8:I28">
    <cfRule type="expression" dxfId="77" priority="36">
      <formula>ISBLANK(C8)</formula>
    </cfRule>
  </conditionalFormatting>
  <conditionalFormatting sqref="J8:J28">
    <cfRule type="cellIs" dxfId="76" priority="701" operator="equal">
      <formula>"Finished"</formula>
    </cfRule>
    <cfRule type="cellIs" dxfId="75" priority="702" operator="equal">
      <formula>"Flag for Review"</formula>
    </cfRule>
    <cfRule type="cellIs" dxfId="74" priority="703" operator="equal">
      <formula>"Incomplete"</formula>
    </cfRule>
  </conditionalFormatting>
  <conditionalFormatting sqref="M8:S28">
    <cfRule type="expression" dxfId="73" priority="1">
      <formula>M8/C8&gt;=0.75</formula>
    </cfRule>
    <cfRule type="expression" dxfId="72" priority="2">
      <formula>M8/C8&gt;=0.65</formula>
    </cfRule>
    <cfRule type="expression" dxfId="71" priority="3">
      <formula>M8/C8&gt;=0</formula>
    </cfRule>
    <cfRule type="expression" dxfId="70" priority="4">
      <formula>_xlfn.IFNA(MATCH(M$7,INDIRECT("'"&amp;$L8&amp;"'!$A:$A"),0),0)=0</formula>
    </cfRule>
  </conditionalFormatting>
  <conditionalFormatting sqref="P30">
    <cfRule type="expression" dxfId="69" priority="162">
      <formula>LEN(P30)=0</formula>
    </cfRule>
    <cfRule type="cellIs" dxfId="68" priority="163" operator="greaterThanOrEqual">
      <formula>0.75</formula>
    </cfRule>
    <cfRule type="cellIs" dxfId="67" priority="164" operator="greaterThanOrEqual">
      <formula>0.65</formula>
    </cfRule>
    <cfRule type="cellIs" dxfId="66" priority="165" operator="greaterThanOrEqual">
      <formula>0</formula>
    </cfRule>
  </conditionalFormatting>
  <hyperlinks>
    <hyperlink ref="L8" location="'1'!A1" display="'1'!A1" xr:uid="{EEB2F41D-4C5E-45E3-868E-8AB4AC250B33}"/>
    <hyperlink ref="L9" location="'2'!A1" display="'2'!A1" xr:uid="{54381741-FA85-48C9-B9FB-0986002F461F}"/>
    <hyperlink ref="L10" location="'3'!A1" display="'3'!A1" xr:uid="{DDF5B344-2A0C-451F-B5F6-2DC7DE369462}"/>
    <hyperlink ref="L11" location="'4'!A1" display="'4'!A1" xr:uid="{0C5CB486-9354-4C70-9B6F-51C32CCB499E}"/>
    <hyperlink ref="L12" location="'5'!A1" display="'5'!A1" xr:uid="{7E78161F-0455-4E29-A481-EA8D02B932EB}"/>
    <hyperlink ref="L13" location="'6'!A1" display="'6'!A1" xr:uid="{46FCA9F3-44A4-4413-8871-6FA0DEA4DB3B}"/>
    <hyperlink ref="L14" location="'7'!A1" display="'7'!A1" xr:uid="{F2EEC1B2-4F14-4B01-BA35-AA223F0ECD59}"/>
    <hyperlink ref="L15" location="'8'!A1" display="'8'!A1" xr:uid="{380D658B-F52F-49C4-8FCA-15609F15FA96}"/>
    <hyperlink ref="L16" location="'9'!A1" display="'9'!A1" xr:uid="{9B904F90-8A04-433E-9672-86A2B5EFDA59}"/>
    <hyperlink ref="L17" location="'10'!A1" display="'10'!A1" xr:uid="{CF316553-E0E7-42B0-8473-99A45D63D55E}"/>
    <hyperlink ref="L18" location="'11'!A1" display="'11'!A1" xr:uid="{345DB5EE-FCF5-4D3D-A362-10CF234E082F}"/>
    <hyperlink ref="L19" location="'12'!A1" display="'12'!A1" xr:uid="{4887FA27-3BC9-42EE-9ABC-32F4BD751A2C}"/>
    <hyperlink ref="L20" location="'13'!A1" display="'13'!A1" xr:uid="{AD4932DB-B4FB-4D89-A19D-B6DE7FEA3ACA}"/>
    <hyperlink ref="L21" location="'14'!A1" display="'14'!A1" xr:uid="{FD757D54-1A04-407F-85BC-DC29B9D10B10}"/>
    <hyperlink ref="L22" location="'15'!A1" display="'15'!A1" xr:uid="{A83ECE4A-4379-483B-88B6-444BF642EA1B}"/>
    <hyperlink ref="L23" location="'16'!A1" display="'16'!A1" xr:uid="{5D5C15C2-7A88-423B-977E-029D784C93AC}"/>
    <hyperlink ref="L24" location="'17'!A1" display="'17'!A1" xr:uid="{05F5B110-EB25-4448-BE89-788FAE1A5BB4}"/>
    <hyperlink ref="L25" location="'18'!A1" display="'18'!A1" xr:uid="{AB290070-0626-4BED-824D-DEA8E8D5B249}"/>
    <hyperlink ref="A8" location="'1'!A1" display="'1'!A1" xr:uid="{CFFA0440-4925-4E1D-A7CA-9ACA304FC921}"/>
    <hyperlink ref="A9" location="'2'!A1" display="'2'!A1" xr:uid="{C9FB007F-D701-4146-914F-EF441BE99447}"/>
    <hyperlink ref="A10" location="'3'!A1" display="'3'!A1" xr:uid="{2A81A52B-304E-4A2C-BC60-8E16A8C48D9C}"/>
    <hyperlink ref="A11" location="'4'!A1" display="'4'!A1" xr:uid="{66B34D2F-C28F-4176-9B03-547846381DBA}"/>
    <hyperlink ref="A12" location="'5'!A1" display="'5'!A1" xr:uid="{5E4037E5-3452-4B2D-AE5D-77D930C05A9F}"/>
    <hyperlink ref="A13" location="'6'!A1" display="'6'!A1" xr:uid="{C391F207-22DC-4F14-BCDE-8844AD0AA3EE}"/>
    <hyperlink ref="A14" location="'7'!A1" display="'7'!A1" xr:uid="{A38AE76B-9BAB-4518-BD6F-1BE205A7E90D}"/>
    <hyperlink ref="A15" location="'8'!A1" display="'8'!A1" xr:uid="{E82C5443-01F4-411E-A0E3-3595F2B2BBF8}"/>
    <hyperlink ref="A16" location="'9'!A1" display="'9'!A1" xr:uid="{5E0C90FA-874D-4504-9C10-C716B3CA889D}"/>
    <hyperlink ref="A17" location="'10'!A1" display="'10'!A1" xr:uid="{4C7CE00C-44CF-4FAC-9E17-BD4E76C673EF}"/>
    <hyperlink ref="A18" location="'11'!A1" display="'11'!A1" xr:uid="{BE291FC8-A160-4657-A514-472E061AC027}"/>
    <hyperlink ref="A19" location="'12'!A1" display="'12'!A1" xr:uid="{7CF02CE4-BDDF-4F90-A592-40224EB2C865}"/>
    <hyperlink ref="A20" location="'13'!A1" display="'13'!A1" xr:uid="{67F981C5-2158-4BBF-A017-D5B8503E0856}"/>
    <hyperlink ref="A21" location="'14'!A1" display="'14'!A1" xr:uid="{DEDD0535-0E23-403C-8B61-C5D632CD8B6D}"/>
    <hyperlink ref="A22" location="'15'!A1" display="'15'!A1" xr:uid="{F104AFDA-3D58-4EB6-BA89-17E32A0F7487}"/>
    <hyperlink ref="A23" location="'16'!A1" display="'16'!A1" xr:uid="{96EFD0AE-78D2-4511-B3C6-ECA0F02625F1}"/>
    <hyperlink ref="A24" location="'17'!A1" display="'17'!A1" xr:uid="{4A5C76FB-9106-4EA6-915C-F426AA33CDB1}"/>
    <hyperlink ref="A25" location="'18'!A1" display="'18'!A1" xr:uid="{42493673-DCF0-42F5-8986-6B210F19B328}"/>
    <hyperlink ref="L26:L27" location="'18'!A1" display="'18'!A1" xr:uid="{C4D9CF10-E5D1-44D8-BEED-E94D3A691F0D}"/>
    <hyperlink ref="L26" location="'19'!A1" display="'19'!A1" xr:uid="{45E7DD16-5097-4199-89A5-1C572F5154EE}"/>
    <hyperlink ref="L27" location="'20'!A1" display="'20'!A1" xr:uid="{98EC568D-5619-4D5D-A332-ED3E319834DC}"/>
    <hyperlink ref="A26" location="'19'!A1" display="'19'!A1" xr:uid="{968A7BF9-EC4B-4460-B33D-04820E6CB37E}"/>
    <hyperlink ref="A27" location="'20'!A1" display="'20'!A1" xr:uid="{CDD9F52C-B31F-457D-A1DC-45DBD406B99E}"/>
    <hyperlink ref="A28" location="'21'!A1" display="'21'!A1" xr:uid="{8760D0BC-CA5E-4A34-991A-DD785413FFA6}"/>
    <hyperlink ref="L28" location="'21'!A1" display="'21'!A1" xr:uid="{0BEF0C71-33F2-41D1-B6E7-38FDDBFDBB25}"/>
  </hyperlinks>
  <pageMargins left="0.7" right="0.7" top="0.75" bottom="0.75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AA6938-8AFD-4EA5-8E1E-494DC6AC0CBB}">
  <sheetPr codeName="Sheet19"/>
  <dimension ref="A1:M33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4.7109375" style="3" customWidth="1"/>
    <col min="3" max="3" width="15" style="3" bestFit="1" customWidth="1"/>
    <col min="4" max="4" width="15.7109375" style="3" customWidth="1"/>
    <col min="5" max="5" width="14.5703125" style="3" customWidth="1"/>
    <col min="6" max="6" width="4.42578125" style="3" customWidth="1"/>
    <col min="7" max="7" width="3.7109375" style="40" customWidth="1"/>
    <col min="8" max="8" width="14.28515625" style="3" customWidth="1"/>
    <col min="9" max="9" width="12.140625" style="3" customWidth="1"/>
    <col min="10" max="10" width="6" style="3" bestFit="1" customWidth="1"/>
    <col min="11" max="11" width="13.42578125" style="3" customWidth="1"/>
    <col min="12" max="12" width="13.5703125" style="3" customWidth="1"/>
    <col min="13" max="13" width="12" style="3" bestFit="1" customWidth="1"/>
    <col min="14" max="16384" width="9.140625" style="3"/>
  </cols>
  <sheetData>
    <row r="1" spans="1:13" ht="15.75" x14ac:dyDescent="0.25">
      <c r="A1" s="8">
        <f ca="1">VALUE(MID(CELL("filename",A1),FIND("]",CELL("filename",A1))+1,LEN(CELL("filename",A1))-FIND("]",CELL("filename",A1))+1))</f>
        <v>17</v>
      </c>
      <c r="B1" s="57" t="s">
        <v>604</v>
      </c>
      <c r="C1" s="9"/>
      <c r="D1" s="9"/>
      <c r="E1" s="418" t="s">
        <v>41</v>
      </c>
      <c r="F1" s="419"/>
      <c r="H1" s="58" t="s">
        <v>31</v>
      </c>
    </row>
    <row r="2" spans="1:13" x14ac:dyDescent="0.25">
      <c r="A2" s="10"/>
      <c r="B2" s="5"/>
      <c r="C2" s="5"/>
      <c r="D2" s="5"/>
      <c r="E2" s="5"/>
      <c r="F2" s="11"/>
      <c r="G2" s="3" t="s">
        <v>605</v>
      </c>
      <c r="H2" s="3" t="s">
        <v>472</v>
      </c>
      <c r="K2" s="3" t="s">
        <v>474</v>
      </c>
    </row>
    <row r="3" spans="1:13" x14ac:dyDescent="0.25">
      <c r="A3" s="12" t="s">
        <v>14</v>
      </c>
      <c r="B3" s="5" t="s">
        <v>688</v>
      </c>
      <c r="C3" s="5"/>
      <c r="D3" s="5"/>
      <c r="E3" s="5"/>
      <c r="F3" s="11"/>
      <c r="G3" s="3"/>
      <c r="H3" s="112" t="s">
        <v>466</v>
      </c>
      <c r="I3" s="138" t="s">
        <v>473</v>
      </c>
      <c r="K3" s="136" t="s">
        <v>466</v>
      </c>
      <c r="L3" s="112" t="s">
        <v>475</v>
      </c>
      <c r="M3" s="138" t="s">
        <v>473</v>
      </c>
    </row>
    <row r="4" spans="1:13" x14ac:dyDescent="0.25">
      <c r="A4" s="13">
        <f ca="1">INDEX('Point Grid'!B:B,MATCH(VALUE('17'!A1),'Point Grid'!A:A,0))</f>
        <v>1</v>
      </c>
      <c r="B4" s="5" t="s">
        <v>689</v>
      </c>
      <c r="C4" s="5"/>
      <c r="D4" s="5"/>
      <c r="E4" s="5"/>
      <c r="F4" s="11"/>
      <c r="G4" s="3"/>
      <c r="H4" s="208">
        <f>B7</f>
        <v>1</v>
      </c>
      <c r="I4" s="216">
        <f>MIN($B$14,MAX(0,C7-$B$13))</f>
        <v>0</v>
      </c>
      <c r="K4" s="122">
        <f>B7</f>
        <v>1</v>
      </c>
      <c r="L4" s="118">
        <f>C7*(1+$B$15)</f>
        <v>545000</v>
      </c>
      <c r="M4" s="216">
        <f>MIN($B$14,MAX(0,L4-$B$13))</f>
        <v>45000</v>
      </c>
    </row>
    <row r="5" spans="1:13" x14ac:dyDescent="0.25">
      <c r="A5" s="10"/>
      <c r="B5" s="5"/>
      <c r="C5" s="5"/>
      <c r="D5" s="5"/>
      <c r="E5" s="5"/>
      <c r="F5" s="11"/>
      <c r="G5" s="3"/>
      <c r="H5" s="208">
        <f>B8</f>
        <v>2</v>
      </c>
      <c r="I5" s="216">
        <f>MIN($B$14,MAX(0,C8-$B$13))</f>
        <v>100000</v>
      </c>
      <c r="K5" s="122">
        <f>B8</f>
        <v>2</v>
      </c>
      <c r="L5" s="110">
        <f>C8*(1+$B$15)</f>
        <v>654000</v>
      </c>
      <c r="M5" s="216">
        <f>MIN($B$14,MAX(0,L5-$B$13))</f>
        <v>154000</v>
      </c>
    </row>
    <row r="6" spans="1:13" x14ac:dyDescent="0.25">
      <c r="A6" s="10"/>
      <c r="B6" s="54" t="s">
        <v>466</v>
      </c>
      <c r="C6" s="59" t="s">
        <v>467</v>
      </c>
      <c r="D6" s="5"/>
      <c r="E6" s="5"/>
      <c r="F6" s="11"/>
      <c r="G6" s="3"/>
      <c r="H6" s="208">
        <f>B9</f>
        <v>3</v>
      </c>
      <c r="I6" s="216">
        <f>MIN($B$14,MAX(0,C9-$B$13))</f>
        <v>0</v>
      </c>
      <c r="K6" s="122">
        <f>B9</f>
        <v>3</v>
      </c>
      <c r="L6" s="110">
        <f>C9*(1+$B$15)</f>
        <v>381500</v>
      </c>
      <c r="M6" s="216">
        <f>MIN($B$14,MAX(0,L6-$B$13))</f>
        <v>0</v>
      </c>
    </row>
    <row r="7" spans="1:13" x14ac:dyDescent="0.25">
      <c r="A7" s="10"/>
      <c r="B7" s="48">
        <v>1</v>
      </c>
      <c r="C7" s="77">
        <v>500000</v>
      </c>
      <c r="D7" s="5"/>
      <c r="E7" s="5"/>
      <c r="F7" s="11"/>
      <c r="G7" s="3"/>
      <c r="H7" s="208">
        <f>B10</f>
        <v>4</v>
      </c>
      <c r="I7" s="216">
        <f>MIN($B$14,MAX(0,C10-$B$13))</f>
        <v>500000</v>
      </c>
      <c r="K7" s="122">
        <f>B10</f>
        <v>4</v>
      </c>
      <c r="L7" s="110">
        <f>C10*(1+$B$15)</f>
        <v>1635000.0000000002</v>
      </c>
      <c r="M7" s="216">
        <f>MIN($B$14,MAX(0,L7-$B$13))</f>
        <v>500000</v>
      </c>
    </row>
    <row r="8" spans="1:13" x14ac:dyDescent="0.25">
      <c r="A8" s="10"/>
      <c r="B8" s="48">
        <v>2</v>
      </c>
      <c r="C8" s="77">
        <v>600000</v>
      </c>
      <c r="D8" s="5"/>
      <c r="E8" s="5"/>
      <c r="F8" s="11"/>
      <c r="G8" s="3"/>
      <c r="H8" s="209">
        <f>B11</f>
        <v>5</v>
      </c>
      <c r="I8" s="218">
        <f>MIN($B$14,MAX(0,C11-$B$13))</f>
        <v>450000</v>
      </c>
      <c r="K8" s="126">
        <f>B11</f>
        <v>5</v>
      </c>
      <c r="L8" s="111">
        <f>C11*(1+$B$15)</f>
        <v>1035500.0000000001</v>
      </c>
      <c r="M8" s="218">
        <f>MIN($B$14,MAX(0,L8-$B$13))</f>
        <v>500000</v>
      </c>
    </row>
    <row r="9" spans="1:13" x14ac:dyDescent="0.25">
      <c r="A9" s="10"/>
      <c r="B9" s="48">
        <v>3</v>
      </c>
      <c r="C9" s="77">
        <v>350000</v>
      </c>
      <c r="D9" s="5"/>
      <c r="E9" s="5"/>
      <c r="F9" s="11"/>
      <c r="G9" s="3"/>
    </row>
    <row r="10" spans="1:13" x14ac:dyDescent="0.25">
      <c r="A10" s="10"/>
      <c r="B10" s="48">
        <v>4</v>
      </c>
      <c r="C10" s="77">
        <v>1500000</v>
      </c>
      <c r="D10" s="5"/>
      <c r="E10" s="5"/>
      <c r="F10" s="11"/>
      <c r="G10" s="3"/>
      <c r="H10" s="40" t="s">
        <v>10</v>
      </c>
      <c r="I10" s="124">
        <f>SUM(I4:I8)</f>
        <v>1050000</v>
      </c>
      <c r="K10" s="40" t="s">
        <v>10</v>
      </c>
      <c r="M10" s="124">
        <f>SUM(M4:M8)</f>
        <v>1199000</v>
      </c>
    </row>
    <row r="11" spans="1:13" x14ac:dyDescent="0.25">
      <c r="A11" s="10"/>
      <c r="B11" s="49">
        <v>5</v>
      </c>
      <c r="C11" s="155">
        <v>950000</v>
      </c>
      <c r="D11" s="5"/>
      <c r="E11" s="5"/>
      <c r="F11" s="11"/>
      <c r="G11" s="3"/>
    </row>
    <row r="12" spans="1:13" x14ac:dyDescent="0.25">
      <c r="A12" s="10"/>
      <c r="B12" s="5"/>
      <c r="C12" s="5"/>
      <c r="D12" s="5"/>
      <c r="E12" s="5"/>
      <c r="F12" s="11"/>
      <c r="G12" s="3"/>
      <c r="H12" s="3" t="s">
        <v>476</v>
      </c>
      <c r="J12" s="373">
        <f>M10/I10-1</f>
        <v>0.14190476190476198</v>
      </c>
    </row>
    <row r="13" spans="1:13" x14ac:dyDescent="0.25">
      <c r="A13" s="10"/>
      <c r="B13" s="148">
        <v>500000</v>
      </c>
      <c r="C13" s="63" t="s">
        <v>468</v>
      </c>
      <c r="D13" s="169"/>
      <c r="E13" s="195"/>
      <c r="F13" s="11"/>
      <c r="G13" s="3"/>
    </row>
    <row r="14" spans="1:13" x14ac:dyDescent="0.25">
      <c r="A14" s="10"/>
      <c r="B14" s="149">
        <v>500000</v>
      </c>
      <c r="C14" s="65" t="s">
        <v>469</v>
      </c>
      <c r="D14" s="5"/>
      <c r="E14" s="166"/>
      <c r="F14" s="11"/>
      <c r="G14" s="3"/>
      <c r="H14" s="109" t="s">
        <v>477</v>
      </c>
    </row>
    <row r="15" spans="1:13" x14ac:dyDescent="0.25">
      <c r="A15" s="10"/>
      <c r="B15" s="214">
        <v>0.09</v>
      </c>
      <c r="C15" s="67" t="s">
        <v>470</v>
      </c>
      <c r="D15" s="69"/>
      <c r="E15" s="167"/>
      <c r="F15" s="11"/>
      <c r="G15" s="3"/>
      <c r="H15" s="109" t="s">
        <v>478</v>
      </c>
    </row>
    <row r="16" spans="1:13" x14ac:dyDescent="0.25">
      <c r="A16" s="10"/>
      <c r="B16" s="5"/>
      <c r="C16" s="5"/>
      <c r="D16" s="5"/>
      <c r="E16" s="5"/>
      <c r="F16" s="11"/>
      <c r="G16" s="3"/>
    </row>
    <row r="17" spans="1:12" x14ac:dyDescent="0.25">
      <c r="A17" s="14" t="s">
        <v>2</v>
      </c>
      <c r="B17" s="5" t="s">
        <v>471</v>
      </c>
      <c r="C17" s="5"/>
      <c r="D17" s="5"/>
      <c r="E17" s="5"/>
      <c r="F17" s="11"/>
      <c r="G17" s="3"/>
      <c r="H17" s="3" t="s">
        <v>480</v>
      </c>
      <c r="L17" s="157">
        <f>B13/(1+B15)</f>
        <v>458715.59633027518</v>
      </c>
    </row>
    <row r="18" spans="1:12" ht="15.75" thickBot="1" x14ac:dyDescent="0.3">
      <c r="A18" s="13">
        <f ca="1">INDEX('Point Grid'!$C$8:$I$27,MATCH($A$1,'Point Grid'!$A$8:$A$27,0),MATCH(A17,'Point Grid'!$C$7:$I$7,0))</f>
        <v>1</v>
      </c>
      <c r="B18" s="5"/>
      <c r="C18" s="5"/>
      <c r="D18" s="5"/>
      <c r="E18" s="5"/>
      <c r="F18" s="11"/>
      <c r="G18" s="3"/>
      <c r="H18" s="3" t="s">
        <v>479</v>
      </c>
      <c r="L18" s="157">
        <f>(B13+B14)/(1+B15)</f>
        <v>917431.19266055035</v>
      </c>
    </row>
    <row r="19" spans="1:12" ht="15.75" thickBot="1" x14ac:dyDescent="0.3">
      <c r="A19" s="4">
        <v>1</v>
      </c>
      <c r="B19" s="5"/>
      <c r="C19" s="5"/>
      <c r="D19" s="5"/>
      <c r="E19" s="5"/>
      <c r="F19" s="11"/>
      <c r="G19" s="3"/>
      <c r="H19" s="3" t="s">
        <v>482</v>
      </c>
      <c r="L19" s="157">
        <f>L18-L17</f>
        <v>458715.59633027518</v>
      </c>
    </row>
    <row r="20" spans="1:12" ht="15.75" thickBot="1" x14ac:dyDescent="0.3">
      <c r="A20" s="15"/>
      <c r="B20" s="16"/>
      <c r="C20" s="16"/>
      <c r="D20" s="16"/>
      <c r="E20" s="16"/>
      <c r="F20" s="17"/>
      <c r="G20" s="3"/>
    </row>
    <row r="21" spans="1:12" x14ac:dyDescent="0.25">
      <c r="G21" s="3"/>
      <c r="H21" s="3" t="s">
        <v>481</v>
      </c>
    </row>
    <row r="22" spans="1:12" x14ac:dyDescent="0.25">
      <c r="G22" s="3"/>
      <c r="H22" s="112" t="s">
        <v>466</v>
      </c>
      <c r="I22" s="138" t="s">
        <v>473</v>
      </c>
    </row>
    <row r="23" spans="1:12" x14ac:dyDescent="0.25">
      <c r="G23" s="3"/>
      <c r="H23" s="208">
        <f>B7</f>
        <v>1</v>
      </c>
      <c r="I23" s="216">
        <f>MIN($L$19,MAX(0,C7-$L$17))</f>
        <v>41284.403669724823</v>
      </c>
    </row>
    <row r="24" spans="1:12" x14ac:dyDescent="0.25">
      <c r="G24" s="3"/>
      <c r="H24" s="208">
        <f>B8</f>
        <v>2</v>
      </c>
      <c r="I24" s="216">
        <f>MIN($L$19,MAX(0,C8-$L$17))</f>
        <v>141284.40366972482</v>
      </c>
    </row>
    <row r="25" spans="1:12" x14ac:dyDescent="0.25">
      <c r="G25" s="3"/>
      <c r="H25" s="208">
        <f>B9</f>
        <v>3</v>
      </c>
      <c r="I25" s="216">
        <f>MIN($L$19,MAX(0,C9-$L$17))</f>
        <v>0</v>
      </c>
    </row>
    <row r="26" spans="1:12" x14ac:dyDescent="0.25">
      <c r="H26" s="208">
        <f>B10</f>
        <v>4</v>
      </c>
      <c r="I26" s="216">
        <f>MIN($L$19,MAX(0,C10-$L$17))</f>
        <v>458715.59633027518</v>
      </c>
    </row>
    <row r="27" spans="1:12" x14ac:dyDescent="0.25">
      <c r="H27" s="209">
        <f>B11</f>
        <v>5</v>
      </c>
      <c r="I27" s="218">
        <f>MIN($L$19,MAX(0,C11-$L$17))</f>
        <v>458715.59633027518</v>
      </c>
    </row>
    <row r="29" spans="1:12" x14ac:dyDescent="0.25">
      <c r="H29" s="3" t="s">
        <v>10</v>
      </c>
      <c r="I29" s="157">
        <f>SUM(I23:I27)</f>
        <v>1100000</v>
      </c>
    </row>
    <row r="31" spans="1:12" x14ac:dyDescent="0.25">
      <c r="H31" s="3" t="s">
        <v>483</v>
      </c>
      <c r="J31" s="228">
        <f>I29/I10-1</f>
        <v>4.7619047619047672E-2</v>
      </c>
    </row>
    <row r="32" spans="1:12" x14ac:dyDescent="0.25">
      <c r="H32" s="3" t="s">
        <v>484</v>
      </c>
      <c r="J32" s="374">
        <f>(1+J31)*(1+B15)-1</f>
        <v>0.14190476190476198</v>
      </c>
      <c r="K32" s="109" t="s">
        <v>485</v>
      </c>
    </row>
    <row r="33" spans="11:11" x14ac:dyDescent="0.25">
      <c r="K33" s="109" t="s">
        <v>486</v>
      </c>
    </row>
  </sheetData>
  <sheetProtection formatCells="0" formatColumns="0" formatRows="0"/>
  <mergeCells count="1">
    <mergeCell ref="E1:F1"/>
  </mergeCells>
  <conditionalFormatting sqref="B1">
    <cfRule type="cellIs" dxfId="14" priority="1" operator="equal">
      <formula>"Incomplete"</formula>
    </cfRule>
    <cfRule type="cellIs" dxfId="13" priority="2" operator="equal">
      <formula>"Flag for Review"</formula>
    </cfRule>
    <cfRule type="cellIs" dxfId="12" priority="3" operator="equal">
      <formula>"Finished"</formula>
    </cfRule>
  </conditionalFormatting>
  <dataValidations count="2">
    <dataValidation type="list" allowBlank="1" showInputMessage="1" showErrorMessage="1" sqref="B1" xr:uid="{6BAE4AC5-3F5D-4A8F-A010-9345E50B3D5C}">
      <formula1>"Finished, Flag for Review, Incomplete"</formula1>
    </dataValidation>
    <dataValidation type="decimal" allowBlank="1" showInputMessage="1" showErrorMessage="1" sqref="A19" xr:uid="{CCA5247A-F6D2-401D-89E6-A673EFABBC88}">
      <formula1>0</formula1>
      <formula2>A18</formula2>
    </dataValidation>
  </dataValidations>
  <hyperlinks>
    <hyperlink ref="E1" location="Navigator!A1" display="Navigator" xr:uid="{17CD3B29-2C89-4425-BD16-10026FC01112}"/>
  </hyperlink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9B1C06-A5A5-4CF9-B123-20755A8AB91D}">
  <sheetPr codeName="Sheet20"/>
  <dimension ref="A1:U42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5.28515625" style="3" customWidth="1"/>
    <col min="3" max="4" width="9.28515625" style="3" customWidth="1"/>
    <col min="5" max="5" width="10" style="3" bestFit="1" customWidth="1"/>
    <col min="6" max="6" width="9.28515625" style="3" customWidth="1"/>
    <col min="7" max="7" width="11.42578125" style="3" customWidth="1"/>
    <col min="8" max="8" width="14.5703125" style="3" customWidth="1"/>
    <col min="9" max="9" width="3.7109375" style="40" customWidth="1"/>
    <col min="10" max="11" width="10.42578125" style="3" customWidth="1"/>
    <col min="12" max="12" width="10.5703125" style="3" bestFit="1" customWidth="1"/>
    <col min="13" max="14" width="10.42578125" style="3" bestFit="1" customWidth="1"/>
    <col min="15" max="15" width="9.42578125" style="3" bestFit="1" customWidth="1"/>
    <col min="16" max="16" width="11" style="3" bestFit="1" customWidth="1"/>
    <col min="17" max="17" width="10.7109375" style="3" bestFit="1" customWidth="1"/>
    <col min="18" max="16384" width="9.140625" style="3"/>
  </cols>
  <sheetData>
    <row r="1" spans="1:21" ht="15.75" x14ac:dyDescent="0.25">
      <c r="A1" s="8">
        <f ca="1">VALUE(MID(CELL("filename",A1),FIND("]",CELL("filename",A1))+1,LEN(CELL("filename",A1))-FIND("]",CELL("filename",A1))+1))</f>
        <v>18</v>
      </c>
      <c r="B1" s="57" t="s">
        <v>604</v>
      </c>
      <c r="C1" s="144"/>
      <c r="D1" s="9"/>
      <c r="E1" s="9"/>
      <c r="F1" s="9"/>
      <c r="G1" s="418" t="s">
        <v>41</v>
      </c>
      <c r="H1" s="419"/>
      <c r="J1" s="58" t="s">
        <v>31</v>
      </c>
    </row>
    <row r="2" spans="1:21" x14ac:dyDescent="0.25">
      <c r="A2" s="10"/>
      <c r="B2" s="5"/>
      <c r="C2" s="5"/>
      <c r="D2" s="5"/>
      <c r="E2" s="5"/>
      <c r="F2" s="5"/>
      <c r="G2" s="5"/>
      <c r="H2" s="11"/>
      <c r="I2" t="s">
        <v>605</v>
      </c>
      <c r="J2" t="s">
        <v>772</v>
      </c>
      <c r="K2"/>
      <c r="L2"/>
      <c r="M2"/>
      <c r="N2"/>
      <c r="O2"/>
      <c r="P2"/>
      <c r="Q2"/>
      <c r="R2"/>
      <c r="S2"/>
      <c r="T2"/>
      <c r="U2"/>
    </row>
    <row r="3" spans="1:21" x14ac:dyDescent="0.25">
      <c r="A3" s="12" t="s">
        <v>14</v>
      </c>
      <c r="B3" s="260" t="s">
        <v>763</v>
      </c>
      <c r="C3" s="5"/>
      <c r="D3" s="5"/>
      <c r="E3" s="5"/>
      <c r="F3" s="5"/>
      <c r="G3" s="5"/>
      <c r="H3" s="11"/>
      <c r="I3"/>
      <c r="J3"/>
      <c r="K3"/>
      <c r="L3"/>
      <c r="M3"/>
      <c r="N3"/>
      <c r="O3"/>
      <c r="P3"/>
      <c r="Q3"/>
      <c r="R3"/>
      <c r="S3"/>
      <c r="T3"/>
      <c r="U3"/>
    </row>
    <row r="4" spans="1:21" x14ac:dyDescent="0.25">
      <c r="A4" s="13">
        <f ca="1">INDEX('Point Grid'!B:B,MATCH('18'!A1,'Point Grid'!A:A,0))</f>
        <v>3.25</v>
      </c>
      <c r="B4" s="260" t="s">
        <v>786</v>
      </c>
      <c r="C4" s="5"/>
      <c r="D4" s="5"/>
      <c r="E4" s="5"/>
      <c r="F4" s="5"/>
      <c r="G4" s="5"/>
      <c r="H4" s="11"/>
      <c r="I4"/>
      <c r="J4"/>
      <c r="K4"/>
      <c r="L4"/>
      <c r="M4"/>
      <c r="N4"/>
      <c r="O4"/>
      <c r="P4"/>
      <c r="Q4"/>
      <c r="R4"/>
      <c r="S4"/>
      <c r="T4"/>
      <c r="U4"/>
    </row>
    <row r="5" spans="1:21" x14ac:dyDescent="0.25">
      <c r="A5" s="10"/>
      <c r="B5" s="5"/>
      <c r="C5" s="5"/>
      <c r="D5" s="5"/>
      <c r="E5" s="5"/>
      <c r="F5" s="5"/>
      <c r="G5" s="5"/>
      <c r="H5" s="11"/>
      <c r="I5"/>
      <c r="J5" s="254">
        <f>AVERAGE(0,18000)</f>
        <v>9000</v>
      </c>
      <c r="K5" t="s">
        <v>764</v>
      </c>
      <c r="L5"/>
      <c r="M5"/>
      <c r="N5"/>
      <c r="O5"/>
      <c r="P5"/>
      <c r="Q5"/>
      <c r="R5"/>
      <c r="S5"/>
      <c r="T5"/>
      <c r="U5"/>
    </row>
    <row r="6" spans="1:21" x14ac:dyDescent="0.25">
      <c r="A6" s="14" t="s">
        <v>2</v>
      </c>
      <c r="B6" s="260" t="s">
        <v>787</v>
      </c>
      <c r="C6" s="5"/>
      <c r="D6" s="5"/>
      <c r="E6" s="5"/>
      <c r="F6" s="5"/>
      <c r="G6" s="5"/>
      <c r="H6" s="11"/>
      <c r="I6"/>
      <c r="J6"/>
      <c r="K6"/>
      <c r="L6"/>
      <c r="M6"/>
      <c r="N6"/>
      <c r="O6"/>
      <c r="P6"/>
      <c r="Q6"/>
      <c r="R6"/>
      <c r="S6"/>
      <c r="T6"/>
      <c r="U6"/>
    </row>
    <row r="7" spans="1:21" ht="18.75" thickBot="1" x14ac:dyDescent="0.4">
      <c r="A7" s="13">
        <f ca="1">INDEX('Point Grid'!$C$8:$I$27,MATCH($A$1,'Point Grid'!$A$8:$A$27,0),MATCH(A6,'Point Grid'!$C$7:$I$7,0))</f>
        <v>2</v>
      </c>
      <c r="B7" s="260" t="s">
        <v>781</v>
      </c>
      <c r="C7" s="5"/>
      <c r="D7" s="5"/>
      <c r="E7" s="5"/>
      <c r="F7" s="5"/>
      <c r="G7" s="5"/>
      <c r="H7" s="11"/>
      <c r="I7"/>
      <c r="J7" s="265" t="s">
        <v>765</v>
      </c>
      <c r="K7" s="267" t="s">
        <v>766</v>
      </c>
      <c r="L7" s="350" t="s">
        <v>767</v>
      </c>
      <c r="M7" s="267" t="s">
        <v>768</v>
      </c>
      <c r="N7" s="350" t="s">
        <v>769</v>
      </c>
      <c r="O7" s="267" t="s">
        <v>770</v>
      </c>
      <c r="P7" s="266" t="s">
        <v>771</v>
      </c>
      <c r="Q7"/>
      <c r="R7"/>
      <c r="S7"/>
      <c r="T7"/>
      <c r="U7"/>
    </row>
    <row r="8" spans="1:21" ht="15.75" thickBot="1" x14ac:dyDescent="0.3">
      <c r="A8" s="4">
        <v>2</v>
      </c>
      <c r="B8" s="260" t="s">
        <v>780</v>
      </c>
      <c r="C8" s="5"/>
      <c r="D8" s="5"/>
      <c r="E8" s="5"/>
      <c r="F8" s="5"/>
      <c r="G8" s="5"/>
      <c r="H8" s="11"/>
      <c r="I8"/>
      <c r="J8" s="366">
        <v>0</v>
      </c>
      <c r="K8" s="334">
        <f>(1-J8/18000)^2</f>
        <v>1</v>
      </c>
      <c r="L8" s="352">
        <f>(1-K8)*$J$5</f>
        <v>0</v>
      </c>
      <c r="M8" s="337">
        <v>0</v>
      </c>
      <c r="N8" s="315">
        <f t="shared" ref="N8:N13" si="0">1-M9/(J9-J8)</f>
        <v>8.3333333333333592E-2</v>
      </c>
      <c r="O8" s="334">
        <f>N8</f>
        <v>8.3333333333333592E-2</v>
      </c>
      <c r="P8" s="369">
        <v>0</v>
      </c>
      <c r="Q8"/>
      <c r="R8"/>
      <c r="S8"/>
      <c r="T8"/>
      <c r="U8"/>
    </row>
    <row r="9" spans="1:21" x14ac:dyDescent="0.25">
      <c r="A9" s="10"/>
      <c r="B9" s="5"/>
      <c r="C9" s="5"/>
      <c r="D9" s="5"/>
      <c r="E9" s="5"/>
      <c r="F9" s="5"/>
      <c r="G9" s="5"/>
      <c r="H9" s="11"/>
      <c r="I9"/>
      <c r="J9" s="367">
        <v>3000</v>
      </c>
      <c r="K9" s="335">
        <f t="shared" ref="K9:K14" si="1">(1-J9/18000)^2</f>
        <v>0.69444444444444453</v>
      </c>
      <c r="L9" s="254">
        <f t="shared" ref="L9:L14" si="2">(1-K9)*$J$5</f>
        <v>2749.9999999999991</v>
      </c>
      <c r="M9" s="338">
        <f t="shared" ref="M9:M14" si="3">L9-L8</f>
        <v>2749.9999999999991</v>
      </c>
      <c r="N9" s="318">
        <f t="shared" si="0"/>
        <v>0.25</v>
      </c>
      <c r="O9" s="335">
        <f t="shared" ref="O9:O14" si="4">N9-N8</f>
        <v>0.16666666666666641</v>
      </c>
      <c r="P9" s="370">
        <f t="shared" ref="P9:P14" si="5">O9/(1-$O$8)</f>
        <v>0.18181818181818157</v>
      </c>
      <c r="Q9"/>
      <c r="R9"/>
      <c r="S9"/>
      <c r="T9"/>
      <c r="U9"/>
    </row>
    <row r="10" spans="1:21" x14ac:dyDescent="0.25">
      <c r="A10" s="257"/>
      <c r="B10" s="260" t="s">
        <v>779</v>
      </c>
      <c r="C10" s="5"/>
      <c r="D10" s="5"/>
      <c r="E10" s="5"/>
      <c r="F10" s="5"/>
      <c r="G10" s="5"/>
      <c r="H10" s="11"/>
      <c r="I10"/>
      <c r="J10" s="367">
        <v>6000</v>
      </c>
      <c r="K10" s="335">
        <f t="shared" si="1"/>
        <v>0.44444444444444453</v>
      </c>
      <c r="L10" s="254">
        <f t="shared" si="2"/>
        <v>4999.9999999999991</v>
      </c>
      <c r="M10" s="338">
        <f t="shared" si="3"/>
        <v>2250</v>
      </c>
      <c r="N10" s="318">
        <f t="shared" si="0"/>
        <v>0.41666666666666641</v>
      </c>
      <c r="O10" s="335">
        <f t="shared" si="4"/>
        <v>0.16666666666666641</v>
      </c>
      <c r="P10" s="370">
        <f t="shared" si="5"/>
        <v>0.18181818181818157</v>
      </c>
      <c r="Q10"/>
      <c r="R10"/>
      <c r="S10"/>
      <c r="T10"/>
      <c r="U10"/>
    </row>
    <row r="11" spans="1:21" x14ac:dyDescent="0.25">
      <c r="A11" s="257"/>
      <c r="B11" s="260" t="s">
        <v>785</v>
      </c>
      <c r="C11" s="260"/>
      <c r="D11" s="260"/>
      <c r="E11" s="260"/>
      <c r="F11" s="260"/>
      <c r="G11" s="260"/>
      <c r="H11" s="261"/>
      <c r="I11"/>
      <c r="J11" s="367">
        <v>9000</v>
      </c>
      <c r="K11" s="335">
        <f t="shared" si="1"/>
        <v>0.25</v>
      </c>
      <c r="L11" s="254">
        <f t="shared" si="2"/>
        <v>6750</v>
      </c>
      <c r="M11" s="338">
        <f t="shared" si="3"/>
        <v>1750.0000000000009</v>
      </c>
      <c r="N11" s="318">
        <f t="shared" si="0"/>
        <v>0.58333333333333326</v>
      </c>
      <c r="O11" s="335">
        <f t="shared" si="4"/>
        <v>0.16666666666666685</v>
      </c>
      <c r="P11" s="370">
        <f t="shared" si="5"/>
        <v>0.18181818181818207</v>
      </c>
      <c r="Q11"/>
      <c r="R11"/>
      <c r="S11"/>
      <c r="T11"/>
      <c r="U11"/>
    </row>
    <row r="12" spans="1:21" x14ac:dyDescent="0.25">
      <c r="A12" s="10"/>
      <c r="B12" s="260"/>
      <c r="C12" s="260"/>
      <c r="D12" s="260"/>
      <c r="E12" s="260"/>
      <c r="F12" s="260"/>
      <c r="G12" s="260"/>
      <c r="H12" s="261"/>
      <c r="I12"/>
      <c r="J12" s="367">
        <v>12000</v>
      </c>
      <c r="K12" s="335">
        <f t="shared" si="1"/>
        <v>0.11111111111111113</v>
      </c>
      <c r="L12" s="254">
        <f t="shared" si="2"/>
        <v>8000</v>
      </c>
      <c r="M12" s="338">
        <f t="shared" si="3"/>
        <v>1250</v>
      </c>
      <c r="N12" s="318">
        <f t="shared" si="0"/>
        <v>0.75</v>
      </c>
      <c r="O12" s="335">
        <f t="shared" si="4"/>
        <v>0.16666666666666674</v>
      </c>
      <c r="P12" s="370">
        <f t="shared" si="5"/>
        <v>0.18181818181818196</v>
      </c>
      <c r="Q12"/>
      <c r="R12"/>
      <c r="S12"/>
      <c r="T12"/>
      <c r="U12"/>
    </row>
    <row r="13" spans="1:21" x14ac:dyDescent="0.25">
      <c r="A13" s="10"/>
      <c r="B13" s="356"/>
      <c r="C13" s="64" t="s">
        <v>773</v>
      </c>
      <c r="D13" s="64" t="s">
        <v>774</v>
      </c>
      <c r="E13" s="235" t="s">
        <v>776</v>
      </c>
      <c r="F13" s="260"/>
      <c r="G13" s="5"/>
      <c r="H13" s="11"/>
      <c r="I13"/>
      <c r="J13" s="367">
        <v>15000</v>
      </c>
      <c r="K13" s="335">
        <f t="shared" si="1"/>
        <v>2.7777777777777766E-2</v>
      </c>
      <c r="L13" s="254">
        <f t="shared" si="2"/>
        <v>8750</v>
      </c>
      <c r="M13" s="338">
        <f t="shared" si="3"/>
        <v>750</v>
      </c>
      <c r="N13" s="318">
        <f t="shared" si="0"/>
        <v>0.91666666666666663</v>
      </c>
      <c r="O13" s="335">
        <f t="shared" si="4"/>
        <v>0.16666666666666663</v>
      </c>
      <c r="P13" s="370">
        <f t="shared" si="5"/>
        <v>0.18181818181818182</v>
      </c>
      <c r="Q13"/>
      <c r="R13"/>
      <c r="S13"/>
      <c r="T13"/>
      <c r="U13"/>
    </row>
    <row r="14" spans="1:21" x14ac:dyDescent="0.25">
      <c r="A14" s="257"/>
      <c r="B14" s="86" t="s">
        <v>241</v>
      </c>
      <c r="C14" s="49" t="s">
        <v>296</v>
      </c>
      <c r="D14" s="49" t="s">
        <v>775</v>
      </c>
      <c r="E14" s="68" t="s">
        <v>777</v>
      </c>
      <c r="F14" s="260"/>
      <c r="G14" s="5"/>
      <c r="H14" s="11"/>
      <c r="I14"/>
      <c r="J14" s="368">
        <v>18000</v>
      </c>
      <c r="K14" s="336">
        <f t="shared" si="1"/>
        <v>0</v>
      </c>
      <c r="L14" s="353">
        <f t="shared" si="2"/>
        <v>9000</v>
      </c>
      <c r="M14" s="339">
        <f t="shared" si="3"/>
        <v>250</v>
      </c>
      <c r="N14" s="323">
        <v>1</v>
      </c>
      <c r="O14" s="336">
        <f t="shared" si="4"/>
        <v>8.333333333333337E-2</v>
      </c>
      <c r="P14" s="371">
        <f t="shared" si="5"/>
        <v>9.0909090909090981E-2</v>
      </c>
      <c r="Q14"/>
      <c r="R14"/>
      <c r="S14"/>
      <c r="T14"/>
      <c r="U14"/>
    </row>
    <row r="15" spans="1:21" x14ac:dyDescent="0.25">
      <c r="A15" s="10"/>
      <c r="B15" s="354" t="s">
        <v>778</v>
      </c>
      <c r="C15" s="48" t="s">
        <v>169</v>
      </c>
      <c r="D15" s="149">
        <v>240000</v>
      </c>
      <c r="E15" s="77">
        <v>15000</v>
      </c>
      <c r="F15" s="260"/>
      <c r="G15" s="5"/>
      <c r="H15" s="11"/>
      <c r="I15"/>
      <c r="J15"/>
      <c r="K15"/>
      <c r="L15"/>
      <c r="M15"/>
      <c r="N15"/>
      <c r="O15"/>
      <c r="P15"/>
      <c r="Q15"/>
      <c r="R15"/>
      <c r="S15"/>
      <c r="T15"/>
      <c r="U15"/>
    </row>
    <row r="16" spans="1:21" ht="17.25" x14ac:dyDescent="0.25">
      <c r="A16" s="257"/>
      <c r="B16" s="86" t="s">
        <v>244</v>
      </c>
      <c r="C16" s="49" t="s">
        <v>277</v>
      </c>
      <c r="D16" s="152">
        <v>171000</v>
      </c>
      <c r="E16" s="155">
        <v>9000</v>
      </c>
      <c r="F16" s="260"/>
      <c r="G16" s="5"/>
      <c r="H16" s="11"/>
      <c r="I16" t="s">
        <v>618</v>
      </c>
      <c r="J16" t="s">
        <v>788</v>
      </c>
      <c r="K16" s="3">
        <f>D15/E15+D16/E16</f>
        <v>35</v>
      </c>
    </row>
    <row r="17" spans="1:12" ht="17.25" x14ac:dyDescent="0.25">
      <c r="A17" s="257"/>
      <c r="B17" s="5"/>
      <c r="C17" s="5"/>
      <c r="D17" s="5"/>
      <c r="E17" s="5"/>
      <c r="F17" s="5"/>
      <c r="G17" s="5"/>
      <c r="H17" s="11"/>
      <c r="I17"/>
      <c r="J17" t="s">
        <v>789</v>
      </c>
      <c r="K17" s="3">
        <f>1.5*K16^0.75</f>
        <v>21.584514887277287</v>
      </c>
    </row>
    <row r="18" spans="1:12" ht="17.25" x14ac:dyDescent="0.25">
      <c r="A18" s="257"/>
      <c r="B18" s="351" t="s">
        <v>782</v>
      </c>
      <c r="C18" s="5"/>
      <c r="D18" s="5"/>
      <c r="E18" s="5"/>
      <c r="F18" s="5"/>
      <c r="G18" s="5"/>
      <c r="H18" s="11"/>
      <c r="I18"/>
      <c r="J18" t="s">
        <v>790</v>
      </c>
      <c r="K18" s="3">
        <f>K17*K16</f>
        <v>755.458021054705</v>
      </c>
    </row>
    <row r="19" spans="1:12" ht="17.25" x14ac:dyDescent="0.25">
      <c r="A19" s="10"/>
      <c r="B19" s="351" t="s">
        <v>783</v>
      </c>
      <c r="C19" s="5"/>
      <c r="D19" s="5"/>
      <c r="E19" s="5"/>
      <c r="F19" s="5"/>
      <c r="G19" s="5"/>
      <c r="H19" s="11"/>
      <c r="I19"/>
      <c r="J19"/>
    </row>
    <row r="20" spans="1:12" ht="18.75" x14ac:dyDescent="0.35">
      <c r="A20" s="257"/>
      <c r="B20" s="5" t="s">
        <v>784</v>
      </c>
      <c r="C20" s="5"/>
      <c r="D20" s="5"/>
      <c r="E20" s="5"/>
      <c r="F20" s="5"/>
      <c r="G20" s="5"/>
      <c r="H20" s="11"/>
      <c r="I20"/>
      <c r="J20" t="s">
        <v>791</v>
      </c>
      <c r="L20" s="355">
        <f>1-O8</f>
        <v>0.91666666666666641</v>
      </c>
    </row>
    <row r="21" spans="1:12" x14ac:dyDescent="0.25">
      <c r="A21" s="257"/>
      <c r="B21" s="5"/>
      <c r="C21" s="5"/>
      <c r="D21" s="5"/>
      <c r="E21" s="5"/>
      <c r="F21" s="5"/>
      <c r="G21" s="5"/>
      <c r="H21" s="11"/>
      <c r="I21"/>
      <c r="J21"/>
    </row>
    <row r="22" spans="1:12" ht="17.25" x14ac:dyDescent="0.25">
      <c r="A22" s="14" t="s">
        <v>3</v>
      </c>
      <c r="B22" s="5" t="s">
        <v>794</v>
      </c>
      <c r="C22" s="5"/>
      <c r="D22" s="5"/>
      <c r="E22" s="5"/>
      <c r="F22" s="5"/>
      <c r="G22" s="5"/>
      <c r="H22" s="11"/>
      <c r="I22"/>
      <c r="J22" t="s">
        <v>792</v>
      </c>
      <c r="K22" s="372">
        <f>K16*L20</f>
        <v>32.083333333333321</v>
      </c>
    </row>
    <row r="23" spans="1:12" ht="18" thickBot="1" x14ac:dyDescent="0.3">
      <c r="A23" s="13">
        <f ca="1">INDEX('Point Grid'!$C$8:$I$27,MATCH($A$1,'Point Grid'!$A$8:$A$27,0),MATCH(A22,'Point Grid'!$C$7:$I$7,0))</f>
        <v>1</v>
      </c>
      <c r="B23" s="5" t="s">
        <v>795</v>
      </c>
      <c r="C23" s="5"/>
      <c r="D23" s="5"/>
      <c r="E23" s="5"/>
      <c r="F23" s="5"/>
      <c r="G23" s="5"/>
      <c r="H23" s="11"/>
      <c r="I23"/>
      <c r="J23" t="s">
        <v>793</v>
      </c>
      <c r="K23" s="372">
        <f>K17*L20</f>
        <v>19.785805313337509</v>
      </c>
    </row>
    <row r="24" spans="1:12" ht="15.75" thickBot="1" x14ac:dyDescent="0.3">
      <c r="A24" s="4">
        <v>1</v>
      </c>
      <c r="B24" s="5"/>
      <c r="C24" s="5"/>
      <c r="D24" s="5"/>
      <c r="E24" s="5"/>
      <c r="F24" s="5"/>
      <c r="G24" s="5"/>
      <c r="H24" s="11"/>
      <c r="I24"/>
      <c r="J24"/>
    </row>
    <row r="25" spans="1:12" x14ac:dyDescent="0.25">
      <c r="A25" s="10"/>
      <c r="B25" s="5"/>
      <c r="C25" s="5"/>
      <c r="D25" s="5"/>
      <c r="E25" s="5"/>
      <c r="F25" s="5"/>
      <c r="G25" s="5"/>
      <c r="H25" s="11"/>
      <c r="I25" t="s">
        <v>658</v>
      </c>
      <c r="J25" t="s">
        <v>798</v>
      </c>
    </row>
    <row r="26" spans="1:12" x14ac:dyDescent="0.25">
      <c r="A26" s="14" t="s">
        <v>4</v>
      </c>
      <c r="B26" s="5" t="s">
        <v>796</v>
      </c>
      <c r="C26" s="5"/>
      <c r="D26" s="5"/>
      <c r="E26" s="5"/>
      <c r="F26" s="5"/>
      <c r="G26" s="5"/>
      <c r="H26" s="11"/>
      <c r="I26"/>
      <c r="J26" t="s">
        <v>799</v>
      </c>
    </row>
    <row r="27" spans="1:12" ht="15.75" thickBot="1" x14ac:dyDescent="0.3">
      <c r="A27" s="13">
        <f ca="1">INDEX('Point Grid'!$C$8:$I$27,MATCH($A$1,'Point Grid'!$A$8:$A$27,0),MATCH(A26,'Point Grid'!$C$7:$I$7,0))</f>
        <v>0.25</v>
      </c>
      <c r="B27" s="5" t="s">
        <v>797</v>
      </c>
      <c r="C27" s="5"/>
      <c r="D27" s="5"/>
      <c r="E27" s="5"/>
      <c r="F27" s="5"/>
      <c r="G27" s="5"/>
      <c r="H27" s="11"/>
      <c r="I27"/>
      <c r="J27"/>
    </row>
    <row r="28" spans="1:12" ht="15.75" thickBot="1" x14ac:dyDescent="0.3">
      <c r="A28" s="4">
        <v>0.25</v>
      </c>
      <c r="B28" s="5"/>
      <c r="C28" s="5"/>
      <c r="D28" s="5"/>
      <c r="E28" s="5"/>
      <c r="F28" s="5"/>
      <c r="G28" s="5"/>
      <c r="H28" s="11"/>
      <c r="I28"/>
      <c r="J28"/>
    </row>
    <row r="29" spans="1:12" ht="15.75" thickBot="1" x14ac:dyDescent="0.3">
      <c r="A29" s="15"/>
      <c r="B29" s="16"/>
      <c r="C29" s="16"/>
      <c r="D29" s="16"/>
      <c r="E29" s="16"/>
      <c r="F29" s="16"/>
      <c r="G29" s="16"/>
      <c r="H29" s="17"/>
      <c r="I29"/>
      <c r="J29"/>
    </row>
    <row r="30" spans="1:12" x14ac:dyDescent="0.25">
      <c r="A30"/>
      <c r="B30"/>
      <c r="C30"/>
      <c r="D30"/>
      <c r="E30"/>
      <c r="F30"/>
      <c r="G30"/>
      <c r="H30"/>
      <c r="I30"/>
      <c r="J30"/>
    </row>
    <row r="31" spans="1:12" x14ac:dyDescent="0.25">
      <c r="A31"/>
      <c r="B31"/>
      <c r="C31"/>
      <c r="D31"/>
      <c r="E31"/>
      <c r="F31"/>
      <c r="G31"/>
      <c r="H31"/>
      <c r="I31"/>
      <c r="J31"/>
    </row>
    <row r="32" spans="1:12" x14ac:dyDescent="0.25">
      <c r="A32"/>
      <c r="B32"/>
      <c r="C32"/>
      <c r="D32"/>
      <c r="E32"/>
      <c r="F32"/>
      <c r="G32"/>
      <c r="H32"/>
      <c r="I32"/>
      <c r="J32"/>
    </row>
    <row r="33" spans="1:10" x14ac:dyDescent="0.25">
      <c r="A33"/>
      <c r="B33"/>
      <c r="C33"/>
      <c r="D33"/>
      <c r="E33"/>
      <c r="F33"/>
      <c r="G33"/>
      <c r="H33"/>
      <c r="I33"/>
      <c r="J33"/>
    </row>
    <row r="34" spans="1:10" x14ac:dyDescent="0.25">
      <c r="A34"/>
      <c r="B34"/>
      <c r="C34"/>
      <c r="D34"/>
      <c r="E34"/>
      <c r="F34"/>
      <c r="G34"/>
      <c r="H34"/>
      <c r="I34"/>
      <c r="J34"/>
    </row>
    <row r="35" spans="1:10" x14ac:dyDescent="0.25">
      <c r="B35"/>
      <c r="C35"/>
      <c r="D35"/>
      <c r="E35"/>
      <c r="F35"/>
      <c r="G35"/>
      <c r="H35"/>
      <c r="I35"/>
      <c r="J35"/>
    </row>
    <row r="36" spans="1:10" x14ac:dyDescent="0.25">
      <c r="B36"/>
      <c r="C36"/>
      <c r="D36"/>
      <c r="E36"/>
      <c r="F36"/>
      <c r="G36"/>
      <c r="H36"/>
      <c r="I36"/>
      <c r="J36"/>
    </row>
    <row r="37" spans="1:10" x14ac:dyDescent="0.25">
      <c r="B37"/>
      <c r="C37"/>
      <c r="D37"/>
      <c r="E37"/>
      <c r="F37"/>
      <c r="G37"/>
      <c r="H37"/>
      <c r="I37"/>
      <c r="J37"/>
    </row>
    <row r="38" spans="1:10" x14ac:dyDescent="0.25">
      <c r="B38"/>
      <c r="C38"/>
      <c r="D38"/>
      <c r="E38"/>
      <c r="F38"/>
      <c r="G38"/>
      <c r="H38"/>
      <c r="I38"/>
      <c r="J38"/>
    </row>
    <row r="39" spans="1:10" x14ac:dyDescent="0.25">
      <c r="B39"/>
      <c r="C39"/>
      <c r="D39"/>
      <c r="E39"/>
      <c r="F39"/>
      <c r="G39"/>
      <c r="H39"/>
      <c r="I39"/>
      <c r="J39"/>
    </row>
    <row r="40" spans="1:10" x14ac:dyDescent="0.25">
      <c r="B40"/>
      <c r="C40"/>
      <c r="D40"/>
      <c r="E40"/>
      <c r="F40"/>
      <c r="G40"/>
      <c r="H40"/>
      <c r="I40"/>
      <c r="J40"/>
    </row>
    <row r="41" spans="1:10" x14ac:dyDescent="0.25">
      <c r="B41"/>
      <c r="C41"/>
      <c r="D41"/>
      <c r="E41"/>
      <c r="F41"/>
      <c r="G41"/>
      <c r="H41"/>
      <c r="I41"/>
      <c r="J41"/>
    </row>
    <row r="42" spans="1:10" x14ac:dyDescent="0.25">
      <c r="B42"/>
      <c r="C42"/>
      <c r="D42"/>
      <c r="E42"/>
      <c r="F42"/>
      <c r="G42"/>
      <c r="H42"/>
      <c r="I42"/>
      <c r="J42"/>
    </row>
  </sheetData>
  <sheetProtection formatCells="0" formatColumns="0" formatRows="0"/>
  <mergeCells count="1">
    <mergeCell ref="G1:H1"/>
  </mergeCells>
  <conditionalFormatting sqref="B1:C1">
    <cfRule type="cellIs" dxfId="11" priority="1" operator="equal">
      <formula>"Incomplete"</formula>
    </cfRule>
    <cfRule type="cellIs" dxfId="10" priority="2" operator="equal">
      <formula>"Flag for Review"</formula>
    </cfRule>
    <cfRule type="cellIs" dxfId="9" priority="3" operator="equal">
      <formula>"Finished"</formula>
    </cfRule>
  </conditionalFormatting>
  <dataValidations count="2">
    <dataValidation type="decimal" allowBlank="1" showInputMessage="1" showErrorMessage="1" sqref="A8 A24 A28" xr:uid="{EE061112-41CD-4419-90B2-B0FA0CA10E26}">
      <formula1>0</formula1>
      <formula2>A7</formula2>
    </dataValidation>
    <dataValidation type="list" allowBlank="1" showInputMessage="1" showErrorMessage="1" sqref="B1:C1" xr:uid="{56F1E708-C4EC-497E-8BE8-A8619ECAECA1}">
      <formula1>"Finished, Flag for Review, Incomplete"</formula1>
    </dataValidation>
  </dataValidations>
  <hyperlinks>
    <hyperlink ref="G1" location="Navigator!A1" display="Navigator" xr:uid="{53269822-2A0F-4068-B8CF-BC0D91AD301C}"/>
  </hyperlinks>
  <pageMargins left="0.7" right="0.7" top="0.75" bottom="0.75" header="0.3" footer="0.3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92A7F8-A8FA-44E6-A968-BD5F81EB92F0}">
  <sheetPr codeName="Sheet21"/>
  <dimension ref="A1:T49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2.42578125" style="3" customWidth="1"/>
    <col min="3" max="3" width="9.28515625" style="3" customWidth="1"/>
    <col min="4" max="4" width="8.140625" style="3" bestFit="1" customWidth="1"/>
    <col min="5" max="5" width="5.7109375" style="3" customWidth="1"/>
    <col min="6" max="8" width="9.28515625" style="3" customWidth="1"/>
    <col min="9" max="9" width="4.140625" style="3" customWidth="1"/>
    <col min="10" max="10" width="3.7109375" style="40" customWidth="1"/>
    <col min="11" max="11" width="9.28515625" style="3" customWidth="1"/>
    <col min="12" max="12" width="14.85546875" style="3" bestFit="1" customWidth="1"/>
    <col min="13" max="13" width="14" style="3" bestFit="1" customWidth="1"/>
    <col min="14" max="20" width="9.28515625" style="3" customWidth="1"/>
    <col min="21" max="16384" width="9.140625" style="3"/>
  </cols>
  <sheetData>
    <row r="1" spans="1:20" ht="15.75" x14ac:dyDescent="0.25">
      <c r="A1" s="8">
        <f ca="1">VALUE(MID(CELL("filename",A1),FIND("]",CELL("filename",A1))+1,LEN(CELL("filename",A1))-FIND("]",CELL("filename",A1))+1))</f>
        <v>19</v>
      </c>
      <c r="B1" s="57" t="s">
        <v>604</v>
      </c>
      <c r="C1" s="9"/>
      <c r="D1" s="9"/>
      <c r="E1" s="9"/>
      <c r="F1" s="9"/>
      <c r="G1" s="9"/>
      <c r="H1" s="418" t="s">
        <v>41</v>
      </c>
      <c r="I1" s="419"/>
      <c r="K1" s="58" t="s">
        <v>31</v>
      </c>
    </row>
    <row r="2" spans="1:20" x14ac:dyDescent="0.25">
      <c r="A2" s="10"/>
      <c r="B2" s="5"/>
      <c r="C2" s="5"/>
      <c r="D2" s="5"/>
      <c r="E2" s="5"/>
      <c r="F2" s="5"/>
      <c r="G2" s="5"/>
      <c r="H2" s="5"/>
      <c r="I2" s="11"/>
      <c r="J2" s="3" t="s">
        <v>605</v>
      </c>
      <c r="K2" t="s">
        <v>806</v>
      </c>
      <c r="L2"/>
      <c r="M2"/>
      <c r="N2"/>
      <c r="O2"/>
      <c r="P2"/>
      <c r="Q2"/>
      <c r="R2"/>
      <c r="S2"/>
      <c r="T2"/>
    </row>
    <row r="3" spans="1:20" x14ac:dyDescent="0.25">
      <c r="A3" s="12" t="s">
        <v>14</v>
      </c>
      <c r="B3" s="5" t="s">
        <v>802</v>
      </c>
      <c r="C3" s="5"/>
      <c r="D3" s="5"/>
      <c r="E3" s="5"/>
      <c r="F3" s="5"/>
      <c r="G3" s="5"/>
      <c r="H3" s="5"/>
      <c r="I3" s="11"/>
      <c r="J3"/>
      <c r="K3" t="s">
        <v>807</v>
      </c>
      <c r="L3"/>
      <c r="M3"/>
      <c r="N3"/>
      <c r="O3"/>
      <c r="P3"/>
      <c r="Q3"/>
      <c r="R3"/>
      <c r="S3"/>
      <c r="T3"/>
    </row>
    <row r="4" spans="1:20" x14ac:dyDescent="0.25">
      <c r="A4" s="13">
        <f ca="1">INDEX('Point Grid'!B:B,MATCH('19'!A1,'Point Grid'!A:A,0))</f>
        <v>2.5</v>
      </c>
      <c r="B4" s="5" t="s">
        <v>803</v>
      </c>
      <c r="C4" s="5"/>
      <c r="D4" s="5"/>
      <c r="E4" s="5"/>
      <c r="F4" s="5"/>
      <c r="G4" s="5"/>
      <c r="H4" s="5"/>
      <c r="I4" s="11"/>
      <c r="J4"/>
      <c r="K4" s="360"/>
      <c r="L4" s="357" t="s">
        <v>825</v>
      </c>
      <c r="M4" s="357"/>
      <c r="N4" s="358"/>
      <c r="O4"/>
      <c r="P4"/>
      <c r="Q4"/>
      <c r="R4"/>
      <c r="S4"/>
      <c r="T4"/>
    </row>
    <row r="5" spans="1:20" x14ac:dyDescent="0.25">
      <c r="A5" s="10"/>
      <c r="B5" s="5"/>
      <c r="C5" s="5"/>
      <c r="D5" s="5"/>
      <c r="E5" s="5"/>
      <c r="F5" s="5"/>
      <c r="G5" s="5"/>
      <c r="H5" s="5"/>
      <c r="I5" s="11"/>
      <c r="J5"/>
      <c r="K5" s="329" t="s">
        <v>808</v>
      </c>
      <c r="L5" s="267" t="s">
        <v>827</v>
      </c>
      <c r="M5" s="267" t="s">
        <v>826</v>
      </c>
      <c r="N5" s="267" t="s">
        <v>828</v>
      </c>
      <c r="O5"/>
      <c r="P5"/>
      <c r="Q5"/>
      <c r="R5"/>
      <c r="S5"/>
      <c r="T5"/>
    </row>
    <row r="6" spans="1:20" x14ac:dyDescent="0.25">
      <c r="A6" s="10"/>
      <c r="B6" s="260"/>
      <c r="C6" s="54" t="s">
        <v>800</v>
      </c>
      <c r="D6" s="59" t="s">
        <v>801</v>
      </c>
      <c r="E6" s="238"/>
      <c r="F6" s="54" t="s">
        <v>800</v>
      </c>
      <c r="G6" s="59" t="s">
        <v>801</v>
      </c>
      <c r="H6" s="5"/>
      <c r="I6" s="11"/>
      <c r="J6"/>
      <c r="K6" s="328">
        <v>1</v>
      </c>
      <c r="L6" s="338">
        <f>IF(D7&lt;500,D7,IF(D7&gt;1500,0,500/(1500-500)*(1500-D7)))</f>
        <v>325</v>
      </c>
      <c r="M6" s="338">
        <f>IF(D7&lt;=1500,D7,0)</f>
        <v>850</v>
      </c>
      <c r="N6" s="320">
        <f>MIN(D7,500)</f>
        <v>500</v>
      </c>
      <c r="O6"/>
      <c r="P6"/>
      <c r="Q6"/>
      <c r="R6"/>
      <c r="S6"/>
      <c r="T6"/>
    </row>
    <row r="7" spans="1:20" x14ac:dyDescent="0.25">
      <c r="A7" s="10"/>
      <c r="B7" s="260"/>
      <c r="C7" s="48">
        <v>1</v>
      </c>
      <c r="D7" s="77">
        <v>850</v>
      </c>
      <c r="E7" s="238"/>
      <c r="F7" s="48">
        <v>9</v>
      </c>
      <c r="G7" s="77">
        <v>400</v>
      </c>
      <c r="H7" s="5"/>
      <c r="I7" s="11"/>
      <c r="J7"/>
      <c r="K7" s="328">
        <v>2</v>
      </c>
      <c r="L7" s="338">
        <f t="shared" ref="L7:L13" si="0">IF(D8&lt;500,D8,IF(D8&gt;1500,0,500/(1500-500)*(1500-D8)))</f>
        <v>0</v>
      </c>
      <c r="M7" s="338">
        <f t="shared" ref="M7:M13" si="1">IF(D8&lt;=1500,D8,0)</f>
        <v>0</v>
      </c>
      <c r="N7" s="320">
        <f t="shared" ref="N7:N13" si="2">MIN(D8,500)</f>
        <v>500</v>
      </c>
      <c r="O7"/>
      <c r="P7"/>
      <c r="Q7"/>
      <c r="R7"/>
      <c r="S7"/>
      <c r="T7"/>
    </row>
    <row r="8" spans="1:20" x14ac:dyDescent="0.25">
      <c r="A8" s="10"/>
      <c r="B8" s="260"/>
      <c r="C8" s="48">
        <v>2</v>
      </c>
      <c r="D8" s="77">
        <v>2250</v>
      </c>
      <c r="E8" s="238"/>
      <c r="F8" s="48">
        <v>10</v>
      </c>
      <c r="G8" s="77">
        <v>5000</v>
      </c>
      <c r="H8" s="5"/>
      <c r="I8" s="11"/>
      <c r="J8"/>
      <c r="K8" s="328">
        <v>3</v>
      </c>
      <c r="L8" s="338">
        <f t="shared" si="0"/>
        <v>125</v>
      </c>
      <c r="M8" s="338">
        <f t="shared" si="1"/>
        <v>1250</v>
      </c>
      <c r="N8" s="320">
        <f t="shared" si="2"/>
        <v>500</v>
      </c>
      <c r="O8"/>
      <c r="P8"/>
      <c r="Q8"/>
      <c r="R8"/>
      <c r="S8"/>
      <c r="T8"/>
    </row>
    <row r="9" spans="1:20" x14ac:dyDescent="0.25">
      <c r="A9" s="10"/>
      <c r="B9" s="260"/>
      <c r="C9" s="48">
        <v>3</v>
      </c>
      <c r="D9" s="77">
        <v>1250</v>
      </c>
      <c r="E9" s="238"/>
      <c r="F9" s="48">
        <v>11</v>
      </c>
      <c r="G9" s="77">
        <v>1500</v>
      </c>
      <c r="H9" s="5"/>
      <c r="I9" s="11"/>
      <c r="J9"/>
      <c r="K9" s="328">
        <v>4</v>
      </c>
      <c r="L9" s="338">
        <f t="shared" si="0"/>
        <v>250</v>
      </c>
      <c r="M9" s="338">
        <f t="shared" si="1"/>
        <v>1000</v>
      </c>
      <c r="N9" s="320">
        <f t="shared" si="2"/>
        <v>500</v>
      </c>
      <c r="O9"/>
      <c r="P9"/>
      <c r="Q9"/>
      <c r="R9"/>
      <c r="S9"/>
      <c r="T9"/>
    </row>
    <row r="10" spans="1:20" x14ac:dyDescent="0.25">
      <c r="A10" s="10"/>
      <c r="B10" s="260"/>
      <c r="C10" s="48">
        <v>4</v>
      </c>
      <c r="D10" s="77">
        <v>1000</v>
      </c>
      <c r="E10" s="238"/>
      <c r="F10" s="48">
        <v>12</v>
      </c>
      <c r="G10" s="77">
        <v>2000</v>
      </c>
      <c r="H10" s="5"/>
      <c r="I10" s="11"/>
      <c r="J10"/>
      <c r="K10" s="328">
        <v>5</v>
      </c>
      <c r="L10" s="338">
        <f t="shared" si="0"/>
        <v>0</v>
      </c>
      <c r="M10" s="338">
        <f t="shared" si="1"/>
        <v>0</v>
      </c>
      <c r="N10" s="320">
        <f t="shared" si="2"/>
        <v>500</v>
      </c>
      <c r="O10"/>
      <c r="P10"/>
      <c r="Q10"/>
      <c r="R10"/>
      <c r="S10"/>
      <c r="T10"/>
    </row>
    <row r="11" spans="1:20" x14ac:dyDescent="0.25">
      <c r="A11" s="10"/>
      <c r="B11" s="260"/>
      <c r="C11" s="48">
        <v>5</v>
      </c>
      <c r="D11" s="77">
        <v>2750</v>
      </c>
      <c r="E11" s="238"/>
      <c r="F11" s="48">
        <v>13</v>
      </c>
      <c r="G11" s="77">
        <v>100</v>
      </c>
      <c r="H11" s="5"/>
      <c r="I11" s="11"/>
      <c r="J11"/>
      <c r="K11" s="328">
        <v>6</v>
      </c>
      <c r="L11" s="338">
        <f t="shared" si="0"/>
        <v>500</v>
      </c>
      <c r="M11" s="338">
        <f t="shared" si="1"/>
        <v>500</v>
      </c>
      <c r="N11" s="320">
        <f t="shared" si="2"/>
        <v>500</v>
      </c>
      <c r="O11"/>
      <c r="P11"/>
      <c r="Q11"/>
      <c r="R11"/>
      <c r="S11"/>
      <c r="T11"/>
    </row>
    <row r="12" spans="1:20" x14ac:dyDescent="0.25">
      <c r="A12" s="10"/>
      <c r="B12" s="260"/>
      <c r="C12" s="48">
        <v>6</v>
      </c>
      <c r="D12" s="77">
        <v>500</v>
      </c>
      <c r="E12" s="238"/>
      <c r="F12" s="48">
        <v>14</v>
      </c>
      <c r="G12" s="77">
        <v>900</v>
      </c>
      <c r="H12" s="5"/>
      <c r="I12" s="11"/>
      <c r="J12"/>
      <c r="K12" s="328">
        <v>7</v>
      </c>
      <c r="L12" s="338">
        <f t="shared" si="0"/>
        <v>250</v>
      </c>
      <c r="M12" s="338">
        <f t="shared" si="1"/>
        <v>250</v>
      </c>
      <c r="N12" s="320">
        <f t="shared" si="2"/>
        <v>250</v>
      </c>
      <c r="O12"/>
      <c r="P12"/>
      <c r="Q12"/>
      <c r="R12"/>
      <c r="S12"/>
      <c r="T12"/>
    </row>
    <row r="13" spans="1:20" x14ac:dyDescent="0.25">
      <c r="A13" s="10"/>
      <c r="B13" s="260"/>
      <c r="C13" s="48">
        <v>7</v>
      </c>
      <c r="D13" s="77">
        <v>250</v>
      </c>
      <c r="E13" s="238"/>
      <c r="F13" s="49">
        <v>15</v>
      </c>
      <c r="G13" s="155">
        <v>1750</v>
      </c>
      <c r="H13" s="5"/>
      <c r="I13" s="11"/>
      <c r="J13"/>
      <c r="K13" s="328">
        <v>8</v>
      </c>
      <c r="L13" s="338">
        <f t="shared" si="0"/>
        <v>0</v>
      </c>
      <c r="M13" s="338">
        <f t="shared" si="1"/>
        <v>0</v>
      </c>
      <c r="N13" s="320">
        <f t="shared" si="2"/>
        <v>500</v>
      </c>
      <c r="O13"/>
      <c r="P13"/>
      <c r="Q13"/>
      <c r="R13"/>
      <c r="S13"/>
      <c r="T13"/>
    </row>
    <row r="14" spans="1:20" x14ac:dyDescent="0.25">
      <c r="A14" s="10"/>
      <c r="B14" s="260"/>
      <c r="C14" s="49">
        <v>8</v>
      </c>
      <c r="D14" s="155">
        <v>3500</v>
      </c>
      <c r="E14" s="238"/>
      <c r="F14" s="238"/>
      <c r="G14" s="238"/>
      <c r="H14" s="5"/>
      <c r="I14" s="11"/>
      <c r="J14"/>
      <c r="K14" s="328">
        <v>9</v>
      </c>
      <c r="L14" s="338">
        <f>IF(G7&lt;500,G7,IF(G7&gt;1500,0,500/(1500-500)*(1500-G7)))</f>
        <v>400</v>
      </c>
      <c r="M14" s="338">
        <f>IF(G7&lt;=1500,G7,0)</f>
        <v>400</v>
      </c>
      <c r="N14" s="320">
        <f>MIN(G7,500)</f>
        <v>400</v>
      </c>
      <c r="O14"/>
      <c r="P14"/>
      <c r="Q14"/>
      <c r="R14"/>
      <c r="S14"/>
      <c r="T14"/>
    </row>
    <row r="15" spans="1:20" x14ac:dyDescent="0.25">
      <c r="A15" s="10"/>
      <c r="B15" s="260"/>
      <c r="C15" s="260"/>
      <c r="D15" s="5"/>
      <c r="E15" s="5"/>
      <c r="F15" s="5"/>
      <c r="G15" s="5"/>
      <c r="H15" s="5"/>
      <c r="I15" s="11"/>
      <c r="J15"/>
      <c r="K15" s="328">
        <v>10</v>
      </c>
      <c r="L15" s="338">
        <f t="shared" ref="L15:L20" si="3">IF(G8&lt;500,G8,IF(G8&gt;1500,0,500/(1500-500)*(1500-G8)))</f>
        <v>0</v>
      </c>
      <c r="M15" s="338">
        <f t="shared" ref="M15:M20" si="4">IF(G8&lt;=1500,G8,0)</f>
        <v>0</v>
      </c>
      <c r="N15" s="320">
        <f t="shared" ref="N15:N20" si="5">MIN(G8,500)</f>
        <v>500</v>
      </c>
      <c r="O15"/>
      <c r="P15"/>
      <c r="Q15"/>
      <c r="R15"/>
      <c r="S15"/>
      <c r="T15"/>
    </row>
    <row r="16" spans="1:20" x14ac:dyDescent="0.25">
      <c r="A16" s="14" t="s">
        <v>2</v>
      </c>
      <c r="B16" s="260" t="s">
        <v>804</v>
      </c>
      <c r="C16" s="260"/>
      <c r="D16" s="5"/>
      <c r="E16" s="5"/>
      <c r="F16" s="5"/>
      <c r="G16" s="5"/>
      <c r="H16" s="5"/>
      <c r="I16" s="11"/>
      <c r="J16"/>
      <c r="K16" s="328">
        <v>11</v>
      </c>
      <c r="L16" s="338">
        <f t="shared" si="3"/>
        <v>0</v>
      </c>
      <c r="M16" s="338">
        <f t="shared" si="4"/>
        <v>1500</v>
      </c>
      <c r="N16" s="320">
        <f t="shared" si="5"/>
        <v>500</v>
      </c>
      <c r="O16"/>
      <c r="P16"/>
      <c r="Q16"/>
      <c r="R16"/>
      <c r="S16"/>
      <c r="T16"/>
    </row>
    <row r="17" spans="1:20" ht="15.75" thickBot="1" x14ac:dyDescent="0.3">
      <c r="A17" s="13">
        <f ca="1">INDEX('Point Grid'!$C$8:$I$27,MATCH($A$1,'Point Grid'!$A$8:$A$27,0),MATCH(A16,'Point Grid'!$C$7:$I$7,0))</f>
        <v>1</v>
      </c>
      <c r="B17" s="260" t="s">
        <v>805</v>
      </c>
      <c r="C17" s="260"/>
      <c r="D17" s="5"/>
      <c r="E17" s="5"/>
      <c r="F17" s="5"/>
      <c r="G17" s="5"/>
      <c r="H17" s="5"/>
      <c r="I17" s="11"/>
      <c r="J17"/>
      <c r="K17" s="328">
        <v>12</v>
      </c>
      <c r="L17" s="338">
        <f t="shared" si="3"/>
        <v>0</v>
      </c>
      <c r="M17" s="338">
        <f t="shared" si="4"/>
        <v>0</v>
      </c>
      <c r="N17" s="320">
        <f t="shared" si="5"/>
        <v>500</v>
      </c>
      <c r="O17"/>
      <c r="P17"/>
      <c r="Q17"/>
      <c r="R17"/>
      <c r="S17"/>
      <c r="T17"/>
    </row>
    <row r="18" spans="1:20" ht="15.75" thickBot="1" x14ac:dyDescent="0.3">
      <c r="A18" s="4">
        <v>1</v>
      </c>
      <c r="B18" s="260"/>
      <c r="C18" s="260"/>
      <c r="D18" s="5"/>
      <c r="E18" s="5"/>
      <c r="F18" s="5"/>
      <c r="G18" s="5"/>
      <c r="H18" s="5"/>
      <c r="I18" s="11"/>
      <c r="J18"/>
      <c r="K18" s="328">
        <v>13</v>
      </c>
      <c r="L18" s="338">
        <f t="shared" si="3"/>
        <v>100</v>
      </c>
      <c r="M18" s="338">
        <f t="shared" si="4"/>
        <v>100</v>
      </c>
      <c r="N18" s="320">
        <f t="shared" si="5"/>
        <v>100</v>
      </c>
      <c r="O18"/>
      <c r="P18"/>
      <c r="Q18"/>
      <c r="R18"/>
      <c r="S18"/>
      <c r="T18"/>
    </row>
    <row r="19" spans="1:20" x14ac:dyDescent="0.25">
      <c r="A19" s="10"/>
      <c r="B19" s="5"/>
      <c r="C19" s="5"/>
      <c r="D19" s="5"/>
      <c r="E19" s="5"/>
      <c r="F19" s="5"/>
      <c r="G19" s="5"/>
      <c r="H19" s="5"/>
      <c r="I19" s="11"/>
      <c r="J19"/>
      <c r="K19" s="328">
        <v>14</v>
      </c>
      <c r="L19" s="338">
        <f t="shared" si="3"/>
        <v>300</v>
      </c>
      <c r="M19" s="338">
        <f t="shared" si="4"/>
        <v>900</v>
      </c>
      <c r="N19" s="320">
        <f t="shared" si="5"/>
        <v>500</v>
      </c>
      <c r="O19"/>
      <c r="P19"/>
      <c r="Q19"/>
      <c r="R19"/>
      <c r="S19"/>
      <c r="T19"/>
    </row>
    <row r="20" spans="1:20" x14ac:dyDescent="0.25">
      <c r="A20" s="257"/>
      <c r="B20" s="260" t="s">
        <v>810</v>
      </c>
      <c r="C20" s="260"/>
      <c r="D20" s="5"/>
      <c r="E20" s="5"/>
      <c r="F20" s="5"/>
      <c r="G20" s="5"/>
      <c r="H20" s="5"/>
      <c r="I20" s="11"/>
      <c r="J20"/>
      <c r="K20" s="328">
        <v>15</v>
      </c>
      <c r="L20" s="338">
        <f t="shared" si="3"/>
        <v>0</v>
      </c>
      <c r="M20" s="338">
        <f t="shared" si="4"/>
        <v>0</v>
      </c>
      <c r="N20" s="320">
        <f t="shared" si="5"/>
        <v>500</v>
      </c>
      <c r="O20"/>
      <c r="P20"/>
      <c r="Q20"/>
      <c r="R20"/>
      <c r="S20"/>
      <c r="T20"/>
    </row>
    <row r="21" spans="1:20" x14ac:dyDescent="0.25">
      <c r="A21" s="257"/>
      <c r="B21" s="260" t="s">
        <v>811</v>
      </c>
      <c r="C21" s="260"/>
      <c r="D21" s="5"/>
      <c r="E21" s="5"/>
      <c r="F21" s="5"/>
      <c r="G21" s="5"/>
      <c r="H21" s="5"/>
      <c r="I21" s="11"/>
      <c r="J21"/>
      <c r="K21" s="267" t="s">
        <v>10</v>
      </c>
      <c r="L21" s="361">
        <f>SUM(L6:L20)</f>
        <v>2250</v>
      </c>
      <c r="M21" s="361">
        <f>SUM(M6:M20)</f>
        <v>6750</v>
      </c>
      <c r="N21" s="359">
        <f>SUM(N6:N20)</f>
        <v>6750</v>
      </c>
      <c r="O21"/>
      <c r="P21"/>
      <c r="Q21"/>
      <c r="R21"/>
      <c r="S21"/>
      <c r="T21"/>
    </row>
    <row r="22" spans="1:20" x14ac:dyDescent="0.25">
      <c r="A22" s="257"/>
      <c r="B22" s="5" t="s">
        <v>814</v>
      </c>
      <c r="C22" s="5"/>
      <c r="D22" s="5"/>
      <c r="E22" s="5"/>
      <c r="F22" s="5"/>
      <c r="G22" s="5"/>
      <c r="H22" s="5"/>
      <c r="I22" s="11"/>
      <c r="J22"/>
      <c r="K22"/>
      <c r="L22"/>
      <c r="M22"/>
      <c r="N22"/>
      <c r="O22"/>
      <c r="P22"/>
      <c r="Q22"/>
      <c r="R22"/>
      <c r="S22"/>
      <c r="T22"/>
    </row>
    <row r="23" spans="1:20" x14ac:dyDescent="0.25">
      <c r="A23" s="257"/>
      <c r="B23" s="5" t="s">
        <v>815</v>
      </c>
      <c r="C23" s="5"/>
      <c r="D23" s="5"/>
      <c r="E23" s="5"/>
      <c r="F23" s="5"/>
      <c r="G23" s="5"/>
      <c r="H23" s="5"/>
      <c r="I23" s="11"/>
      <c r="J23"/>
      <c r="K23" t="s">
        <v>809</v>
      </c>
      <c r="L23" s="254">
        <f>SUM(D7:D14,G7:G13)</f>
        <v>24000</v>
      </c>
      <c r="M23"/>
      <c r="N23"/>
      <c r="O23"/>
      <c r="P23"/>
      <c r="Q23"/>
      <c r="R23"/>
      <c r="S23"/>
      <c r="T23"/>
    </row>
    <row r="24" spans="1:20" x14ac:dyDescent="0.25">
      <c r="A24" s="257"/>
      <c r="B24" s="260"/>
      <c r="C24" s="5"/>
      <c r="D24" s="5"/>
      <c r="E24" s="5"/>
      <c r="F24" s="5"/>
      <c r="G24" s="5"/>
      <c r="H24" s="5"/>
      <c r="I24" s="11"/>
      <c r="J24"/>
      <c r="K24"/>
      <c r="L24"/>
      <c r="M24"/>
      <c r="N24"/>
      <c r="O24"/>
      <c r="P24"/>
      <c r="Q24"/>
      <c r="R24"/>
      <c r="S24"/>
      <c r="T24"/>
    </row>
    <row r="25" spans="1:20" x14ac:dyDescent="0.25">
      <c r="A25" s="14" t="s">
        <v>3</v>
      </c>
      <c r="B25" s="260" t="s">
        <v>816</v>
      </c>
      <c r="C25" s="5"/>
      <c r="D25" s="5"/>
      <c r="E25" s="5"/>
      <c r="F25" s="5"/>
      <c r="G25" s="5"/>
      <c r="H25" s="5"/>
      <c r="I25" s="11"/>
      <c r="J25"/>
      <c r="K25" t="s">
        <v>383</v>
      </c>
      <c r="L25" s="363">
        <f>L21/L23</f>
        <v>9.375E-2</v>
      </c>
      <c r="M25" s="362">
        <f>M21/L23</f>
        <v>0.28125</v>
      </c>
      <c r="N25" s="362">
        <f>N21/L23</f>
        <v>0.28125</v>
      </c>
      <c r="O25"/>
      <c r="P25"/>
      <c r="Q25"/>
      <c r="R25"/>
      <c r="S25"/>
      <c r="T25"/>
    </row>
    <row r="26" spans="1:20" ht="15.75" thickBot="1" x14ac:dyDescent="0.3">
      <c r="A26" s="13">
        <f ca="1">INDEX('Point Grid'!$C$8:$I$27,MATCH($A$1,'Point Grid'!$A$8:$A$27,0),MATCH(A25,'Point Grid'!$C$7:$I$7,0))</f>
        <v>0.5</v>
      </c>
      <c r="B26" s="5"/>
      <c r="C26" s="5"/>
      <c r="D26" s="5"/>
      <c r="E26" s="5"/>
      <c r="F26" s="5"/>
      <c r="G26" s="5"/>
      <c r="H26" s="5"/>
      <c r="I26" s="11"/>
      <c r="J26"/>
      <c r="K26"/>
      <c r="L26"/>
      <c r="M26"/>
      <c r="N26"/>
      <c r="O26"/>
      <c r="P26"/>
      <c r="Q26"/>
      <c r="R26"/>
      <c r="S26"/>
      <c r="T26"/>
    </row>
    <row r="27" spans="1:20" ht="15.75" thickBot="1" x14ac:dyDescent="0.3">
      <c r="A27" s="4">
        <v>0.5</v>
      </c>
      <c r="B27" s="5"/>
      <c r="C27" s="5"/>
      <c r="D27" s="5"/>
      <c r="E27" s="5"/>
      <c r="F27" s="5"/>
      <c r="G27" s="5"/>
      <c r="H27" s="5"/>
      <c r="I27" s="11"/>
      <c r="J27" t="s">
        <v>618</v>
      </c>
      <c r="K27" s="3" t="s">
        <v>817</v>
      </c>
      <c r="L27"/>
      <c r="M27"/>
      <c r="N27"/>
      <c r="O27"/>
      <c r="P27"/>
      <c r="Q27"/>
      <c r="R27"/>
      <c r="S27"/>
      <c r="T27"/>
    </row>
    <row r="28" spans="1:20" x14ac:dyDescent="0.25">
      <c r="A28" s="10"/>
      <c r="B28" s="260"/>
      <c r="C28" s="5"/>
      <c r="D28" s="5"/>
      <c r="E28" s="5"/>
      <c r="F28" s="5"/>
      <c r="G28" s="5"/>
      <c r="H28" s="5"/>
      <c r="I28" s="11"/>
      <c r="J28"/>
      <c r="K28" t="s">
        <v>818</v>
      </c>
      <c r="L28"/>
      <c r="M28"/>
      <c r="N28"/>
      <c r="O28"/>
      <c r="P28"/>
      <c r="Q28"/>
      <c r="R28"/>
      <c r="S28"/>
      <c r="T28"/>
    </row>
    <row r="29" spans="1:20" x14ac:dyDescent="0.25">
      <c r="A29" s="14" t="s">
        <v>4</v>
      </c>
      <c r="B29" s="5" t="s">
        <v>812</v>
      </c>
      <c r="C29" s="5"/>
      <c r="D29" s="5"/>
      <c r="E29" s="5"/>
      <c r="F29" s="5"/>
      <c r="G29" s="5"/>
      <c r="H29" s="5"/>
      <c r="I29" s="11"/>
      <c r="J29"/>
      <c r="K29"/>
      <c r="L29"/>
      <c r="M29"/>
      <c r="N29"/>
      <c r="O29"/>
      <c r="P29"/>
      <c r="Q29"/>
      <c r="R29"/>
      <c r="S29"/>
      <c r="T29"/>
    </row>
    <row r="30" spans="1:20" ht="15.75" thickBot="1" x14ac:dyDescent="0.3">
      <c r="A30" s="13">
        <f ca="1">INDEX('Point Grid'!$C$8:$I$27,MATCH($A$1,'Point Grid'!$A$8:$A$27,0),MATCH(A29,'Point Grid'!$C$7:$I$7,0))</f>
        <v>1</v>
      </c>
      <c r="B30" s="5" t="s">
        <v>813</v>
      </c>
      <c r="C30" s="5"/>
      <c r="D30" s="5"/>
      <c r="E30" s="5"/>
      <c r="F30" s="5"/>
      <c r="G30" s="5"/>
      <c r="H30" s="5"/>
      <c r="I30" s="11"/>
      <c r="J30" t="s">
        <v>658</v>
      </c>
      <c r="K30" t="s">
        <v>819</v>
      </c>
      <c r="L30"/>
      <c r="M30"/>
      <c r="N30"/>
      <c r="O30"/>
      <c r="P30"/>
      <c r="Q30"/>
      <c r="R30"/>
      <c r="S30"/>
      <c r="T30"/>
    </row>
    <row r="31" spans="1:20" ht="15.75" thickBot="1" x14ac:dyDescent="0.3">
      <c r="A31" s="4">
        <v>1</v>
      </c>
      <c r="B31" s="5"/>
      <c r="C31" s="5"/>
      <c r="D31" s="5"/>
      <c r="E31" s="5"/>
      <c r="F31" s="5"/>
      <c r="G31" s="5"/>
      <c r="H31" s="5"/>
      <c r="I31" s="11"/>
      <c r="J31"/>
      <c r="K31" t="s">
        <v>820</v>
      </c>
      <c r="L31"/>
      <c r="M31"/>
      <c r="N31"/>
      <c r="O31"/>
      <c r="P31"/>
      <c r="Q31"/>
      <c r="R31"/>
      <c r="S31"/>
      <c r="T31"/>
    </row>
    <row r="32" spans="1:20" ht="15.75" thickBot="1" x14ac:dyDescent="0.3">
      <c r="A32" s="277"/>
      <c r="B32" s="16"/>
      <c r="C32" s="16"/>
      <c r="D32" s="16"/>
      <c r="E32" s="16"/>
      <c r="F32" s="16"/>
      <c r="G32" s="16"/>
      <c r="H32" s="16"/>
      <c r="I32" s="17"/>
      <c r="J32"/>
      <c r="K32" t="s">
        <v>821</v>
      </c>
      <c r="L32"/>
      <c r="M32"/>
      <c r="N32"/>
      <c r="O32"/>
      <c r="P32"/>
      <c r="Q32"/>
      <c r="R32"/>
      <c r="S32"/>
      <c r="T32"/>
    </row>
    <row r="33" spans="2:20" x14ac:dyDescent="0.25"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</row>
    <row r="34" spans="2:20" x14ac:dyDescent="0.25">
      <c r="B34"/>
      <c r="C34"/>
      <c r="D34"/>
      <c r="E34"/>
      <c r="F34"/>
      <c r="G34"/>
      <c r="H34"/>
      <c r="I34"/>
      <c r="J34"/>
      <c r="K34" t="s">
        <v>822</v>
      </c>
      <c r="L34"/>
      <c r="M34"/>
      <c r="N34"/>
      <c r="O34"/>
      <c r="P34"/>
      <c r="Q34"/>
      <c r="R34"/>
      <c r="S34"/>
      <c r="T34"/>
    </row>
    <row r="35" spans="2:20" x14ac:dyDescent="0.25">
      <c r="B35"/>
      <c r="C35"/>
      <c r="D35"/>
      <c r="E35"/>
      <c r="F35"/>
      <c r="G35"/>
      <c r="H35"/>
      <c r="I35"/>
      <c r="J35"/>
      <c r="K35" t="s">
        <v>823</v>
      </c>
      <c r="L35"/>
      <c r="M35"/>
      <c r="N35"/>
      <c r="O35"/>
      <c r="P35"/>
      <c r="Q35"/>
      <c r="R35"/>
      <c r="S35"/>
      <c r="T35"/>
    </row>
    <row r="36" spans="2:20" x14ac:dyDescent="0.25">
      <c r="B36"/>
      <c r="C36"/>
      <c r="D36"/>
      <c r="E36"/>
      <c r="F36"/>
      <c r="G36"/>
      <c r="H36"/>
      <c r="I36"/>
      <c r="J36"/>
      <c r="K36" t="s">
        <v>824</v>
      </c>
      <c r="L36"/>
      <c r="M36"/>
      <c r="N36"/>
      <c r="O36"/>
      <c r="P36"/>
      <c r="Q36"/>
      <c r="R36"/>
      <c r="S36"/>
      <c r="T36"/>
    </row>
    <row r="37" spans="2:20" x14ac:dyDescent="0.25"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</row>
    <row r="38" spans="2:20" x14ac:dyDescent="0.25">
      <c r="B38"/>
      <c r="C38"/>
      <c r="D38"/>
      <c r="E38"/>
      <c r="F38"/>
      <c r="G38"/>
      <c r="H38"/>
      <c r="I38"/>
      <c r="J38"/>
    </row>
    <row r="39" spans="2:20" x14ac:dyDescent="0.25">
      <c r="B39"/>
      <c r="C39"/>
      <c r="D39"/>
      <c r="E39"/>
      <c r="F39"/>
      <c r="G39"/>
      <c r="H39"/>
      <c r="I39"/>
      <c r="J39"/>
    </row>
    <row r="40" spans="2:20" x14ac:dyDescent="0.25">
      <c r="J40" s="3"/>
    </row>
    <row r="41" spans="2:20" x14ac:dyDescent="0.25">
      <c r="J41" s="3"/>
    </row>
    <row r="42" spans="2:20" x14ac:dyDescent="0.25">
      <c r="J42" s="3"/>
    </row>
    <row r="43" spans="2:20" x14ac:dyDescent="0.25">
      <c r="J43" s="3"/>
    </row>
    <row r="44" spans="2:20" x14ac:dyDescent="0.25">
      <c r="J44" s="3"/>
    </row>
    <row r="45" spans="2:20" x14ac:dyDescent="0.25">
      <c r="J45" s="3"/>
    </row>
    <row r="46" spans="2:20" x14ac:dyDescent="0.25">
      <c r="J46" s="3"/>
    </row>
    <row r="47" spans="2:20" x14ac:dyDescent="0.25">
      <c r="J47" s="3"/>
    </row>
    <row r="48" spans="2:20" x14ac:dyDescent="0.25">
      <c r="J48" s="3"/>
    </row>
    <row r="49" spans="10:10" x14ac:dyDescent="0.25">
      <c r="J49" s="3"/>
    </row>
  </sheetData>
  <sheetProtection formatCells="0" formatColumns="0" formatRows="0"/>
  <mergeCells count="1">
    <mergeCell ref="H1:I1"/>
  </mergeCells>
  <conditionalFormatting sqref="B1">
    <cfRule type="cellIs" dxfId="8" priority="1" operator="equal">
      <formula>"Incomplete"</formula>
    </cfRule>
    <cfRule type="cellIs" dxfId="7" priority="2" operator="equal">
      <formula>"Flag for Review"</formula>
    </cfRule>
    <cfRule type="cellIs" dxfId="6" priority="3" operator="equal">
      <formula>"Finished"</formula>
    </cfRule>
  </conditionalFormatting>
  <dataValidations count="2">
    <dataValidation type="list" allowBlank="1" showInputMessage="1" showErrorMessage="1" sqref="B1" xr:uid="{26F07DA3-57BA-47DC-A424-C3B01ED05F07}">
      <formula1>"Finished, Flag for Review, Incomplete"</formula1>
    </dataValidation>
    <dataValidation type="decimal" allowBlank="1" showInputMessage="1" showErrorMessage="1" sqref="A18 A27 A31" xr:uid="{1807BC19-996B-49B5-A2C4-A826BDACECBC}">
      <formula1>0</formula1>
      <formula2>A17</formula2>
    </dataValidation>
  </dataValidations>
  <hyperlinks>
    <hyperlink ref="H1" location="Navigator!A1" display="Navigator" xr:uid="{01BD0EE3-3B62-4895-A8AD-569B245743BB}"/>
  </hyperlink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0B4C40-BAEA-4042-A2DE-18B8CEB7B80D}">
  <dimension ref="A1:Q44"/>
  <sheetViews>
    <sheetView workbookViewId="0"/>
  </sheetViews>
  <sheetFormatPr defaultColWidth="9.140625" defaultRowHeight="15" x14ac:dyDescent="0.25"/>
  <cols>
    <col min="1" max="1" width="8.28515625" style="3" bestFit="1" customWidth="1"/>
    <col min="2" max="2" width="19.85546875" style="3" customWidth="1"/>
    <col min="3" max="6" width="9.140625" style="3" customWidth="1"/>
    <col min="7" max="7" width="4.140625" style="3" customWidth="1"/>
    <col min="8" max="8" width="7.5703125" style="3" customWidth="1"/>
    <col min="9" max="9" width="3.7109375" style="40" customWidth="1"/>
    <col min="10" max="10" width="10.5703125" style="3" customWidth="1"/>
    <col min="11" max="11" width="9.85546875" style="3" customWidth="1"/>
    <col min="12" max="12" width="9.140625" style="3" customWidth="1"/>
    <col min="13" max="13" width="9.140625" style="3"/>
    <col min="14" max="15" width="9.140625" style="3" customWidth="1"/>
    <col min="16" max="16384" width="9.140625" style="3"/>
  </cols>
  <sheetData>
    <row r="1" spans="1:17" ht="15.75" x14ac:dyDescent="0.25">
      <c r="A1" s="8">
        <f ca="1">VALUE(MID(CELL("filename",A1),FIND("]",CELL("filename",A1))+1,LEN(CELL("filename",A1))-FIND("]",CELL("filename",A1))+1))</f>
        <v>20</v>
      </c>
      <c r="B1" s="57" t="s">
        <v>604</v>
      </c>
      <c r="C1" s="9"/>
      <c r="D1" s="9"/>
      <c r="E1" s="9"/>
      <c r="F1" s="9"/>
      <c r="G1" s="9"/>
      <c r="H1" s="56" t="s">
        <v>41</v>
      </c>
      <c r="J1" s="58" t="s">
        <v>31</v>
      </c>
    </row>
    <row r="2" spans="1:17" x14ac:dyDescent="0.25">
      <c r="A2" s="10"/>
      <c r="B2" s="5"/>
      <c r="C2" s="5"/>
      <c r="D2" s="5"/>
      <c r="E2" s="5"/>
      <c r="F2" s="5"/>
      <c r="G2" s="5"/>
      <c r="H2" s="11"/>
      <c r="I2" s="40" t="s">
        <v>605</v>
      </c>
      <c r="J2" t="s">
        <v>606</v>
      </c>
      <c r="K2"/>
      <c r="L2"/>
      <c r="M2"/>
      <c r="N2"/>
      <c r="O2"/>
      <c r="P2"/>
      <c r="Q2"/>
    </row>
    <row r="3" spans="1:17" x14ac:dyDescent="0.25">
      <c r="A3" s="12" t="s">
        <v>14</v>
      </c>
      <c r="B3" s="5" t="s">
        <v>607</v>
      </c>
      <c r="C3" s="5"/>
      <c r="D3" s="5"/>
      <c r="E3" s="5"/>
      <c r="F3" s="5"/>
      <c r="G3" s="5"/>
      <c r="H3" s="11"/>
      <c r="I3"/>
      <c r="J3"/>
      <c r="K3"/>
      <c r="L3"/>
      <c r="M3"/>
      <c r="N3"/>
      <c r="O3"/>
      <c r="P3"/>
      <c r="Q3"/>
    </row>
    <row r="4" spans="1:17" x14ac:dyDescent="0.25">
      <c r="A4" s="13">
        <f ca="1">INDEX('Point Grid'!B:B,MATCH(A1,'Point Grid'!A:A,0))</f>
        <v>2.75</v>
      </c>
      <c r="B4" s="5"/>
      <c r="C4" s="5"/>
      <c r="D4" s="5"/>
      <c r="E4" s="5"/>
      <c r="F4" s="5"/>
      <c r="G4" s="5"/>
      <c r="H4" s="11"/>
      <c r="I4"/>
      <c r="J4" t="s">
        <v>608</v>
      </c>
      <c r="K4"/>
      <c r="L4" s="254">
        <f>C7/(C6-1)*(1-(C7/(9000+C7))^(C6-1))</f>
        <v>2250</v>
      </c>
      <c r="M4"/>
      <c r="N4"/>
      <c r="O4"/>
      <c r="P4"/>
      <c r="Q4"/>
    </row>
    <row r="5" spans="1:17" x14ac:dyDescent="0.25">
      <c r="A5" s="10"/>
      <c r="B5" s="5" t="s">
        <v>609</v>
      </c>
      <c r="C5" s="5"/>
      <c r="D5" s="5"/>
      <c r="E5" s="5"/>
      <c r="F5" s="5"/>
      <c r="G5" s="5"/>
      <c r="H5" s="11"/>
      <c r="I5"/>
      <c r="J5" t="s">
        <v>610</v>
      </c>
      <c r="K5"/>
      <c r="L5" s="254">
        <f>C7/(C6-1)*(1-(C7/(5000+C7))^(C6-1))</f>
        <v>1875</v>
      </c>
      <c r="M5"/>
      <c r="N5"/>
      <c r="O5"/>
      <c r="P5"/>
      <c r="Q5"/>
    </row>
    <row r="6" spans="1:17" x14ac:dyDescent="0.25">
      <c r="A6" s="10"/>
      <c r="B6" s="255" t="s">
        <v>611</v>
      </c>
      <c r="C6" s="235">
        <v>2</v>
      </c>
      <c r="D6" s="5"/>
      <c r="E6" s="5"/>
      <c r="F6" s="5"/>
      <c r="G6" s="5"/>
      <c r="H6" s="11"/>
      <c r="I6"/>
      <c r="J6"/>
      <c r="K6"/>
      <c r="L6"/>
      <c r="M6"/>
      <c r="N6"/>
      <c r="O6"/>
      <c r="P6"/>
      <c r="Q6"/>
    </row>
    <row r="7" spans="1:17" x14ac:dyDescent="0.25">
      <c r="A7" s="10"/>
      <c r="B7" s="256" t="s">
        <v>612</v>
      </c>
      <c r="C7" s="155">
        <v>3000</v>
      </c>
      <c r="D7" s="5"/>
      <c r="E7" s="5"/>
      <c r="F7" s="5"/>
      <c r="G7" s="5"/>
      <c r="H7" s="11"/>
      <c r="I7"/>
      <c r="J7" t="s">
        <v>613</v>
      </c>
      <c r="K7"/>
      <c r="L7"/>
      <c r="M7"/>
      <c r="O7"/>
      <c r="P7"/>
      <c r="Q7"/>
    </row>
    <row r="8" spans="1:17" x14ac:dyDescent="0.25">
      <c r="A8" s="10"/>
      <c r="B8" s="5"/>
      <c r="C8" s="5"/>
      <c r="D8" s="5"/>
      <c r="E8" s="5"/>
      <c r="F8" s="5"/>
      <c r="G8" s="5"/>
      <c r="H8" s="11"/>
      <c r="I8"/>
      <c r="J8"/>
      <c r="K8"/>
      <c r="L8"/>
      <c r="M8"/>
      <c r="N8"/>
      <c r="O8"/>
      <c r="P8"/>
      <c r="Q8"/>
    </row>
    <row r="9" spans="1:17" x14ac:dyDescent="0.25">
      <c r="A9" s="257"/>
      <c r="B9" s="258" t="s">
        <v>614</v>
      </c>
      <c r="C9" s="259">
        <v>0.1</v>
      </c>
      <c r="D9" s="260"/>
      <c r="E9" s="260"/>
      <c r="F9" s="260"/>
      <c r="G9" s="260"/>
      <c r="H9" s="261"/>
      <c r="I9"/>
      <c r="J9" t="s">
        <v>615</v>
      </c>
      <c r="K9">
        <f>1-(C7/(5000+C7))^C6</f>
        <v>0.859375</v>
      </c>
      <c r="M9"/>
      <c r="N9"/>
      <c r="O9"/>
      <c r="P9"/>
      <c r="Q9"/>
    </row>
    <row r="10" spans="1:17" x14ac:dyDescent="0.25">
      <c r="A10" s="257"/>
      <c r="B10" s="262" t="s">
        <v>616</v>
      </c>
      <c r="C10" s="263">
        <v>0.05</v>
      </c>
      <c r="D10" s="260"/>
      <c r="E10" s="260"/>
      <c r="F10" s="260"/>
      <c r="G10" s="260"/>
      <c r="H10" s="261"/>
      <c r="I10"/>
      <c r="J10"/>
      <c r="K10"/>
      <c r="L10"/>
      <c r="M10"/>
      <c r="N10"/>
      <c r="O10"/>
      <c r="P10"/>
      <c r="Q10"/>
    </row>
    <row r="11" spans="1:17" x14ac:dyDescent="0.25">
      <c r="A11" s="257"/>
      <c r="B11" s="260"/>
      <c r="C11" s="260"/>
      <c r="D11" s="260"/>
      <c r="E11" s="260"/>
      <c r="F11" s="260"/>
      <c r="G11" s="260"/>
      <c r="H11" s="261"/>
      <c r="I11"/>
      <c r="J11" t="s">
        <v>613</v>
      </c>
      <c r="K11"/>
      <c r="L11"/>
      <c r="M11" s="264">
        <f>(L4-L5)/(1-K9)</f>
        <v>2666.6666666666665</v>
      </c>
      <c r="O11"/>
      <c r="P11"/>
      <c r="Q11"/>
    </row>
    <row r="12" spans="1:17" x14ac:dyDescent="0.25">
      <c r="A12" s="14" t="s">
        <v>2</v>
      </c>
      <c r="B12" s="5" t="s">
        <v>617</v>
      </c>
      <c r="C12" s="5"/>
      <c r="D12" s="5"/>
      <c r="E12" s="5"/>
      <c r="F12" s="5"/>
      <c r="G12" s="5"/>
      <c r="H12" s="11"/>
      <c r="I12"/>
      <c r="J12"/>
      <c r="K12"/>
      <c r="N12"/>
      <c r="O12"/>
      <c r="P12"/>
      <c r="Q12"/>
    </row>
    <row r="13" spans="1:17" ht="15.75" thickBot="1" x14ac:dyDescent="0.3">
      <c r="A13" s="13">
        <f ca="1">INDEX('Point Grid'!$C$8:$I$27,MATCH($A$1,'Point Grid'!$A$8:$A$27,0),MATCH(A12,'Point Grid'!$C$7:$I$7,0))</f>
        <v>0.75</v>
      </c>
      <c r="B13" s="5"/>
      <c r="C13" s="5"/>
      <c r="D13" s="5"/>
      <c r="E13" s="5"/>
      <c r="F13" s="5"/>
      <c r="G13" s="5"/>
      <c r="H13" s="11"/>
      <c r="I13" t="s">
        <v>618</v>
      </c>
      <c r="J13" t="s">
        <v>619</v>
      </c>
      <c r="K13"/>
      <c r="L13"/>
      <c r="M13"/>
      <c r="N13"/>
      <c r="O13"/>
      <c r="P13"/>
      <c r="Q13"/>
    </row>
    <row r="14" spans="1:17" ht="15.75" thickBot="1" x14ac:dyDescent="0.3">
      <c r="A14" s="4">
        <v>0.75</v>
      </c>
      <c r="B14" s="5"/>
      <c r="C14" s="5"/>
      <c r="D14" s="5"/>
      <c r="E14" s="5"/>
      <c r="F14" s="5"/>
      <c r="G14" s="5"/>
      <c r="H14" s="11"/>
      <c r="I14"/>
      <c r="L14"/>
      <c r="M14"/>
      <c r="N14"/>
      <c r="O14"/>
      <c r="P14"/>
      <c r="Q14"/>
    </row>
    <row r="15" spans="1:17" x14ac:dyDescent="0.25">
      <c r="A15" s="10"/>
      <c r="B15" s="5"/>
      <c r="C15" s="5"/>
      <c r="D15" s="5"/>
      <c r="E15" s="5"/>
      <c r="F15" s="5"/>
      <c r="G15" s="5"/>
      <c r="H15" s="11"/>
      <c r="I15"/>
      <c r="J15" s="265" t="s">
        <v>620</v>
      </c>
      <c r="K15" s="266" t="s">
        <v>621</v>
      </c>
      <c r="L15" s="267" t="s">
        <v>622</v>
      </c>
      <c r="M15" s="266" t="s">
        <v>623</v>
      </c>
      <c r="N15"/>
      <c r="O15"/>
      <c r="P15"/>
      <c r="Q15"/>
    </row>
    <row r="16" spans="1:17" x14ac:dyDescent="0.25">
      <c r="A16" s="14" t="s">
        <v>3</v>
      </c>
      <c r="B16" s="5" t="s">
        <v>624</v>
      </c>
      <c r="C16" s="5"/>
      <c r="D16" s="5"/>
      <c r="E16" s="5"/>
      <c r="F16" s="5"/>
      <c r="G16" s="5"/>
      <c r="H16" s="11"/>
      <c r="I16"/>
      <c r="J16" s="268">
        <v>9000</v>
      </c>
      <c r="K16" s="269">
        <f>J16/(1+$C$9)</f>
        <v>8181.8181818181811</v>
      </c>
      <c r="L16" s="270">
        <f>1-(C7/(K16+C7))^C6</f>
        <v>0.92801903628792382</v>
      </c>
      <c r="M16" s="269">
        <f>C7/(C6-1)*(1-(C7/(K16+C7))^(C6-1))</f>
        <v>2195.1219512195121</v>
      </c>
      <c r="N16"/>
      <c r="O16"/>
      <c r="P16"/>
      <c r="Q16"/>
    </row>
    <row r="17" spans="1:17" ht="15.75" thickBot="1" x14ac:dyDescent="0.3">
      <c r="A17" s="13">
        <f ca="1">INDEX('Point Grid'!$C$8:$I$27,MATCH($A$1,'Point Grid'!$A$8:$A$27,0),MATCH(A16,'Point Grid'!$C$7:$I$7,0))</f>
        <v>0.5</v>
      </c>
      <c r="B17" s="5"/>
      <c r="C17" s="5"/>
      <c r="D17" s="5"/>
      <c r="E17" s="5"/>
      <c r="F17" s="5"/>
      <c r="G17" s="5"/>
      <c r="H17" s="11"/>
      <c r="I17"/>
      <c r="J17" s="271">
        <v>5000</v>
      </c>
      <c r="K17" s="272">
        <f>J17/(1+$C$9)</f>
        <v>4545.454545454545</v>
      </c>
      <c r="L17" s="273">
        <f>1-(C7/(K17+C7))^C6</f>
        <v>0.84192190448541149</v>
      </c>
      <c r="M17" s="272">
        <f>C7/(C6-1)*(1-(C7/(K17+C7))^(C6-1))</f>
        <v>1807.2289156626505</v>
      </c>
      <c r="N17"/>
      <c r="O17"/>
      <c r="P17"/>
      <c r="Q17"/>
    </row>
    <row r="18" spans="1:17" ht="15.75" thickBot="1" x14ac:dyDescent="0.3">
      <c r="A18" s="4">
        <v>0.5</v>
      </c>
      <c r="B18" s="5"/>
      <c r="C18" s="5"/>
      <c r="D18" s="5"/>
      <c r="E18" s="5"/>
      <c r="F18" s="5"/>
      <c r="G18" s="5"/>
      <c r="H18" s="11"/>
      <c r="I18"/>
      <c r="J18"/>
      <c r="K18"/>
      <c r="L18"/>
      <c r="M18"/>
      <c r="N18"/>
      <c r="O18"/>
      <c r="P18"/>
      <c r="Q18"/>
    </row>
    <row r="19" spans="1:17" x14ac:dyDescent="0.25">
      <c r="A19" s="10"/>
      <c r="B19" s="5"/>
      <c r="C19" s="5"/>
      <c r="D19" s="5"/>
      <c r="E19" s="5"/>
      <c r="F19" s="5"/>
      <c r="G19" s="5"/>
      <c r="H19" s="11"/>
      <c r="I19"/>
      <c r="J19" t="s">
        <v>613</v>
      </c>
      <c r="K19"/>
      <c r="L19"/>
      <c r="M19" s="274">
        <f>(1+C9)*(M16-M17)/(1-L17)</f>
        <v>2699.1869918699185</v>
      </c>
      <c r="O19"/>
      <c r="P19"/>
      <c r="Q19"/>
    </row>
    <row r="20" spans="1:17" x14ac:dyDescent="0.25">
      <c r="A20" s="14" t="s">
        <v>4</v>
      </c>
      <c r="B20" s="5" t="s">
        <v>625</v>
      </c>
      <c r="C20" s="5"/>
      <c r="D20" s="5"/>
      <c r="E20" s="5"/>
      <c r="F20" s="5"/>
      <c r="G20" s="5"/>
      <c r="H20" s="11"/>
      <c r="I20"/>
      <c r="J20"/>
      <c r="K20"/>
      <c r="L20"/>
      <c r="M20"/>
      <c r="N20"/>
      <c r="O20"/>
      <c r="P20"/>
      <c r="Q20"/>
    </row>
    <row r="21" spans="1:17" ht="15.75" thickBot="1" x14ac:dyDescent="0.3">
      <c r="A21" s="13">
        <f ca="1">INDEX('Point Grid'!$C$8:$I$27,MATCH($A$1,'Point Grid'!$A$8:$A$27,0),MATCH(A20,'Point Grid'!$C$7:$I$7,0))</f>
        <v>0.5</v>
      </c>
      <c r="B21" s="5" t="s">
        <v>626</v>
      </c>
      <c r="C21" s="5"/>
      <c r="D21" s="5"/>
      <c r="E21" s="5"/>
      <c r="F21" s="5"/>
      <c r="G21" s="5"/>
      <c r="H21" s="11"/>
      <c r="I21"/>
      <c r="J21" t="s">
        <v>627</v>
      </c>
      <c r="K21"/>
      <c r="L21" s="275">
        <f>M19/M11-1</f>
        <v>1.2195121951219523E-2</v>
      </c>
      <c r="M21"/>
      <c r="N21"/>
      <c r="O21"/>
      <c r="P21"/>
      <c r="Q21"/>
    </row>
    <row r="22" spans="1:17" ht="15.75" thickBot="1" x14ac:dyDescent="0.3">
      <c r="A22" s="4">
        <v>0.5</v>
      </c>
      <c r="B22" s="5"/>
      <c r="C22" s="5"/>
      <c r="D22" s="5"/>
      <c r="E22" s="5"/>
      <c r="F22" s="5"/>
      <c r="G22" s="5"/>
      <c r="H22" s="11"/>
      <c r="I22"/>
      <c r="J22"/>
      <c r="K22"/>
      <c r="L22"/>
      <c r="M22"/>
      <c r="N22"/>
      <c r="O22"/>
      <c r="P22"/>
      <c r="Q22"/>
    </row>
    <row r="23" spans="1:17" x14ac:dyDescent="0.25">
      <c r="A23" s="10"/>
      <c r="B23" s="5"/>
      <c r="C23" s="5"/>
      <c r="D23" s="5"/>
      <c r="E23" s="5"/>
      <c r="F23" s="5"/>
      <c r="G23" s="5"/>
      <c r="H23" s="11"/>
      <c r="I23" t="s">
        <v>628</v>
      </c>
      <c r="J23" t="s">
        <v>629</v>
      </c>
      <c r="K23"/>
      <c r="L23"/>
      <c r="M23"/>
      <c r="N23"/>
      <c r="O23"/>
      <c r="P23"/>
      <c r="Q23"/>
    </row>
    <row r="24" spans="1:17" x14ac:dyDescent="0.25">
      <c r="A24" s="14" t="s">
        <v>5</v>
      </c>
      <c r="B24" s="5" t="s">
        <v>630</v>
      </c>
      <c r="C24" s="5"/>
      <c r="D24" s="5"/>
      <c r="E24" s="5"/>
      <c r="F24" s="5"/>
      <c r="G24" s="5"/>
      <c r="H24" s="11"/>
      <c r="I24"/>
      <c r="J24" t="s">
        <v>631</v>
      </c>
      <c r="K24"/>
      <c r="L24"/>
      <c r="M24"/>
      <c r="N24"/>
      <c r="O24"/>
      <c r="P24"/>
      <c r="Q24"/>
    </row>
    <row r="25" spans="1:17" ht="15.75" thickBot="1" x14ac:dyDescent="0.3">
      <c r="A25" s="13">
        <f ca="1">INDEX('Point Grid'!$C$8:$I$27,MATCH($A$1,'Point Grid'!$A$8:$A$27,0),MATCH(A24,'Point Grid'!$C$7:$I$7,0))</f>
        <v>1</v>
      </c>
      <c r="B25" s="276" t="s">
        <v>632</v>
      </c>
      <c r="C25" s="5"/>
      <c r="D25" s="5"/>
      <c r="E25" s="5"/>
      <c r="F25" s="5"/>
      <c r="G25" s="5"/>
      <c r="H25" s="11"/>
      <c r="I25"/>
      <c r="J25" t="s">
        <v>633</v>
      </c>
      <c r="K25"/>
      <c r="L25"/>
      <c r="M25"/>
      <c r="N25"/>
      <c r="O25"/>
      <c r="P25"/>
      <c r="Q25"/>
    </row>
    <row r="26" spans="1:17" ht="15.75" thickBot="1" x14ac:dyDescent="0.3">
      <c r="A26" s="4">
        <v>1</v>
      </c>
      <c r="B26" s="276" t="s">
        <v>634</v>
      </c>
      <c r="C26" s="5"/>
      <c r="D26" s="5"/>
      <c r="E26" s="5"/>
      <c r="F26" s="5"/>
      <c r="G26" s="5"/>
      <c r="H26" s="11"/>
      <c r="I26"/>
      <c r="J26"/>
      <c r="K26"/>
      <c r="L26"/>
      <c r="M26"/>
      <c r="N26"/>
      <c r="O26"/>
      <c r="P26"/>
      <c r="Q26"/>
    </row>
    <row r="27" spans="1:17" ht="15.75" thickBot="1" x14ac:dyDescent="0.3">
      <c r="A27" s="277"/>
      <c r="B27" s="16"/>
      <c r="C27" s="16"/>
      <c r="D27" s="16"/>
      <c r="E27" s="16"/>
      <c r="F27" s="16"/>
      <c r="G27" s="16"/>
      <c r="H27" s="17"/>
      <c r="I27" t="s">
        <v>635</v>
      </c>
      <c r="J27" t="s">
        <v>636</v>
      </c>
      <c r="K27"/>
      <c r="L27"/>
      <c r="M27"/>
      <c r="N27"/>
      <c r="O27"/>
      <c r="P27"/>
      <c r="Q27"/>
    </row>
    <row r="28" spans="1:17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</row>
    <row r="29" spans="1:17" x14ac:dyDescent="0.25">
      <c r="A29"/>
      <c r="B29"/>
      <c r="C29"/>
      <c r="D29"/>
      <c r="E29"/>
      <c r="F29"/>
      <c r="G29"/>
      <c r="H29"/>
      <c r="I29"/>
      <c r="J29" t="s">
        <v>637</v>
      </c>
      <c r="K29"/>
      <c r="L29"/>
      <c r="M29"/>
      <c r="N29"/>
      <c r="O29"/>
      <c r="P29"/>
      <c r="Q29"/>
    </row>
    <row r="30" spans="1:17" x14ac:dyDescent="0.25">
      <c r="A30"/>
      <c r="B30"/>
      <c r="C30"/>
      <c r="D30"/>
      <c r="E30"/>
      <c r="F30"/>
      <c r="G30"/>
      <c r="H30"/>
      <c r="I30"/>
      <c r="J30" t="s">
        <v>638</v>
      </c>
      <c r="K30" s="3">
        <f>(C7/(5000+C7))^C6</f>
        <v>0.140625</v>
      </c>
      <c r="L30"/>
      <c r="M30"/>
      <c r="N30"/>
      <c r="O30"/>
      <c r="P30"/>
      <c r="Q30"/>
    </row>
    <row r="31" spans="1:17" x14ac:dyDescent="0.25">
      <c r="A31"/>
      <c r="B31"/>
      <c r="C31"/>
      <c r="D31"/>
      <c r="E31"/>
      <c r="F31"/>
      <c r="G31"/>
      <c r="H31"/>
      <c r="I31"/>
      <c r="J31" t="s">
        <v>639</v>
      </c>
      <c r="K31" s="278">
        <f>1-L17</f>
        <v>0.15807809551458851</v>
      </c>
      <c r="L31"/>
      <c r="M31"/>
      <c r="N31"/>
      <c r="O31"/>
      <c r="P31"/>
      <c r="Q31"/>
    </row>
    <row r="32" spans="1:17" x14ac:dyDescent="0.2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</row>
    <row r="33" spans="1:17" x14ac:dyDescent="0.25">
      <c r="A33"/>
      <c r="B33"/>
      <c r="C33"/>
      <c r="D33"/>
      <c r="E33"/>
      <c r="F33"/>
      <c r="G33"/>
      <c r="H33"/>
      <c r="I33"/>
      <c r="J33" t="s">
        <v>640</v>
      </c>
      <c r="K33"/>
      <c r="L33"/>
      <c r="M33"/>
      <c r="N33" s="279">
        <f>K31/K30-1</f>
        <v>0.12411090143707382</v>
      </c>
      <c r="O33"/>
      <c r="P33"/>
      <c r="Q33"/>
    </row>
    <row r="34" spans="1:17" x14ac:dyDescent="0.25">
      <c r="A34"/>
      <c r="B34"/>
      <c r="C34"/>
      <c r="D34"/>
      <c r="E34"/>
      <c r="F34"/>
      <c r="G34"/>
      <c r="H34"/>
      <c r="I34"/>
      <c r="J34" t="s">
        <v>641</v>
      </c>
      <c r="K34"/>
      <c r="L34"/>
      <c r="M34"/>
      <c r="N34"/>
      <c r="O34"/>
      <c r="P34"/>
      <c r="Q34"/>
    </row>
    <row r="35" spans="1:17" x14ac:dyDescent="0.25">
      <c r="B35"/>
      <c r="C35"/>
      <c r="D35"/>
      <c r="E35"/>
      <c r="F35"/>
      <c r="G35"/>
      <c r="H35"/>
      <c r="I35"/>
      <c r="J35" s="3" t="s">
        <v>642</v>
      </c>
    </row>
    <row r="36" spans="1:17" x14ac:dyDescent="0.25">
      <c r="B36"/>
      <c r="C36"/>
      <c r="D36"/>
      <c r="E36"/>
      <c r="F36"/>
      <c r="G36"/>
      <c r="H36"/>
      <c r="I36"/>
    </row>
    <row r="37" spans="1:17" x14ac:dyDescent="0.25">
      <c r="J37" s="3" t="s">
        <v>643</v>
      </c>
      <c r="P37" s="279">
        <f>(1+N33)*(1+C10)-1</f>
        <v>0.18031644650892753</v>
      </c>
    </row>
    <row r="39" spans="1:17" x14ac:dyDescent="0.25">
      <c r="J39" s="3" t="s">
        <v>644</v>
      </c>
      <c r="P39" s="280">
        <f>L21</f>
        <v>1.2195121951219523E-2</v>
      </c>
    </row>
    <row r="40" spans="1:17" x14ac:dyDescent="0.25">
      <c r="N40" s="40"/>
    </row>
    <row r="41" spans="1:17" x14ac:dyDescent="0.25">
      <c r="I41" s="40" t="s">
        <v>645</v>
      </c>
      <c r="J41" s="3" t="s">
        <v>646</v>
      </c>
      <c r="N41" s="281">
        <f>(1+P37)*(1+P39)-1</f>
        <v>0.194710549515134</v>
      </c>
    </row>
    <row r="43" spans="1:17" x14ac:dyDescent="0.25">
      <c r="I43" s="40" t="s">
        <v>647</v>
      </c>
      <c r="J43" s="3" t="s">
        <v>648</v>
      </c>
    </row>
    <row r="44" spans="1:17" x14ac:dyDescent="0.25">
      <c r="J44" s="3" t="s">
        <v>649</v>
      </c>
      <c r="P44" s="281">
        <f>(1+N41)/(1+C10)-1</f>
        <v>0.1378195709667942</v>
      </c>
    </row>
  </sheetData>
  <sheetProtection formatCells="0" formatColumns="0" formatRows="0"/>
  <conditionalFormatting sqref="B1">
    <cfRule type="cellIs" dxfId="5" priority="1" operator="equal">
      <formula>"Incomplete"</formula>
    </cfRule>
    <cfRule type="cellIs" dxfId="4" priority="2" operator="equal">
      <formula>"Flag for Review"</formula>
    </cfRule>
    <cfRule type="cellIs" dxfId="3" priority="3" operator="equal">
      <formula>"Finished"</formula>
    </cfRule>
  </conditionalFormatting>
  <dataValidations count="2">
    <dataValidation type="decimal" allowBlank="1" showInputMessage="1" showErrorMessage="1" sqref="A14 A18 A22 A26" xr:uid="{2E321CBC-8E6F-4220-A11D-E8BA68959F6E}">
      <formula1>0</formula1>
      <formula2>A13</formula2>
    </dataValidation>
    <dataValidation type="list" allowBlank="1" showInputMessage="1" showErrorMessage="1" sqref="B1" xr:uid="{0E66DCEE-8977-4CDA-A88B-CFEB0976A059}">
      <formula1>"Finished, Flag for Review, Incomplete"</formula1>
    </dataValidation>
  </dataValidations>
  <hyperlinks>
    <hyperlink ref="H1" location="Navigator!A1" display="Navigator" xr:uid="{B9B1E099-A9CB-4FB8-98DA-D4B42C264019}"/>
  </hyperlinks>
  <pageMargins left="0.7" right="0.7" top="0.75" bottom="0.75" header="0.3" footer="0.3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66CEBE-244F-4CEB-97B2-8CF289311834}">
  <dimension ref="A1:J47"/>
  <sheetViews>
    <sheetView workbookViewId="0"/>
  </sheetViews>
  <sheetFormatPr defaultRowHeight="15" x14ac:dyDescent="0.25"/>
  <cols>
    <col min="3" max="3" width="10.5703125" customWidth="1"/>
    <col min="5" max="5" width="10.5703125" customWidth="1"/>
    <col min="6" max="6" width="13" customWidth="1"/>
    <col min="8" max="8" width="10.28515625" customWidth="1"/>
    <col min="9" max="9" width="3.7109375" customWidth="1"/>
  </cols>
  <sheetData>
    <row r="1" spans="1:10" ht="15.75" x14ac:dyDescent="0.25">
      <c r="A1" s="8">
        <f ca="1">VALUE(MID(CELL("filename",A1),FIND("]",CELL("filename",A1))+1,LEN(CELL("filename",A1))-FIND("]",CELL("filename",A1))+1))</f>
        <v>21</v>
      </c>
      <c r="B1" s="57" t="s">
        <v>604</v>
      </c>
      <c r="C1" s="9"/>
      <c r="D1" s="9"/>
      <c r="E1" s="9"/>
      <c r="F1" s="9"/>
      <c r="G1" s="9"/>
      <c r="H1" s="56" t="s">
        <v>41</v>
      </c>
      <c r="J1" s="414" t="s">
        <v>31</v>
      </c>
    </row>
    <row r="2" spans="1:10" x14ac:dyDescent="0.25">
      <c r="A2" s="10"/>
      <c r="B2" s="424"/>
      <c r="C2" s="424"/>
      <c r="D2" s="424"/>
      <c r="E2" s="424"/>
      <c r="F2" s="424"/>
      <c r="G2" s="424"/>
      <c r="H2" s="11"/>
      <c r="I2" t="s">
        <v>605</v>
      </c>
      <c r="J2" t="s">
        <v>874</v>
      </c>
    </row>
    <row r="3" spans="1:10" x14ac:dyDescent="0.25">
      <c r="A3" s="12" t="s">
        <v>14</v>
      </c>
      <c r="B3" s="424" t="s">
        <v>872</v>
      </c>
      <c r="C3" s="424"/>
      <c r="D3" s="424"/>
      <c r="E3" s="424"/>
      <c r="F3" s="424"/>
      <c r="G3" s="424"/>
      <c r="H3" s="11"/>
      <c r="J3" t="s">
        <v>875</v>
      </c>
    </row>
    <row r="4" spans="1:10" x14ac:dyDescent="0.25">
      <c r="A4" s="13">
        <f ca="1">INDEX('Point Grid'!B:B,MATCH(A1,'Point Grid'!A:A,0))</f>
        <v>4</v>
      </c>
      <c r="B4" s="424" t="s">
        <v>871</v>
      </c>
      <c r="C4" s="424"/>
      <c r="D4" s="424"/>
      <c r="E4" s="424"/>
      <c r="F4" s="424"/>
      <c r="G4" s="424"/>
      <c r="H4" s="11"/>
      <c r="J4" t="s">
        <v>876</v>
      </c>
    </row>
    <row r="5" spans="1:10" x14ac:dyDescent="0.25">
      <c r="A5" s="10"/>
      <c r="B5" s="424"/>
      <c r="C5" s="424"/>
      <c r="D5" s="424"/>
      <c r="E5" s="424"/>
      <c r="F5" s="424"/>
      <c r="G5" s="424"/>
      <c r="H5" s="11"/>
      <c r="J5" t="s">
        <v>877</v>
      </c>
    </row>
    <row r="6" spans="1:10" x14ac:dyDescent="0.25">
      <c r="A6" s="10"/>
      <c r="B6" s="424" t="s">
        <v>866</v>
      </c>
      <c r="C6" s="424"/>
      <c r="D6" s="424"/>
      <c r="E6" s="424"/>
      <c r="F6" s="424"/>
      <c r="G6" s="424"/>
      <c r="H6" s="11"/>
    </row>
    <row r="7" spans="1:10" x14ac:dyDescent="0.25">
      <c r="A7" s="10"/>
      <c r="B7" s="424" t="s">
        <v>867</v>
      </c>
      <c r="C7" s="424"/>
      <c r="D7" s="424"/>
      <c r="E7" s="424"/>
      <c r="F7" s="424"/>
      <c r="G7" s="424"/>
      <c r="H7" s="11"/>
      <c r="J7" t="s">
        <v>879</v>
      </c>
    </row>
    <row r="8" spans="1:10" x14ac:dyDescent="0.25">
      <c r="A8" s="10"/>
      <c r="B8" s="424"/>
      <c r="C8" s="424"/>
      <c r="D8" s="424"/>
      <c r="E8" s="424"/>
      <c r="F8" s="424"/>
      <c r="G8" s="424"/>
      <c r="H8" s="11"/>
      <c r="J8" t="s">
        <v>880</v>
      </c>
    </row>
    <row r="9" spans="1:10" x14ac:dyDescent="0.25">
      <c r="A9" s="14" t="s">
        <v>2</v>
      </c>
      <c r="B9" s="424" t="s">
        <v>886</v>
      </c>
      <c r="C9" s="424"/>
      <c r="D9" s="424"/>
      <c r="E9" s="424"/>
      <c r="F9" s="424"/>
      <c r="G9" s="424"/>
      <c r="H9" s="11"/>
      <c r="J9" t="s">
        <v>881</v>
      </c>
    </row>
    <row r="10" spans="1:10" ht="15.75" thickBot="1" x14ac:dyDescent="0.3">
      <c r="A10" s="13">
        <f ca="1">INDEX('Point Grid'!$C$8:$I$28,MATCH($A$1,'Point Grid'!$A$8:$A$28,0),MATCH(A9,'Point Grid'!$C$7:$I$7,0))</f>
        <v>2.5</v>
      </c>
      <c r="B10" s="424" t="s">
        <v>870</v>
      </c>
      <c r="C10" s="424"/>
      <c r="D10" s="424"/>
      <c r="E10" s="424"/>
      <c r="F10" s="424"/>
      <c r="G10" s="424"/>
      <c r="H10" s="11"/>
    </row>
    <row r="11" spans="1:10" ht="15.75" thickBot="1" x14ac:dyDescent="0.3">
      <c r="A11" s="4">
        <v>2.5</v>
      </c>
      <c r="B11" s="424" t="s">
        <v>878</v>
      </c>
      <c r="C11" s="424"/>
      <c r="D11" s="424"/>
      <c r="E11" s="424"/>
      <c r="F11" s="424"/>
      <c r="G11" s="424"/>
      <c r="H11" s="11"/>
      <c r="I11" t="s">
        <v>618</v>
      </c>
      <c r="J11" t="s">
        <v>884</v>
      </c>
    </row>
    <row r="12" spans="1:10" x14ac:dyDescent="0.25">
      <c r="A12" s="10"/>
      <c r="B12" s="424"/>
      <c r="C12" s="424"/>
      <c r="D12" s="424"/>
      <c r="E12" s="424"/>
      <c r="F12" s="424"/>
      <c r="G12" s="424"/>
      <c r="H12" s="11"/>
      <c r="J12" t="s">
        <v>885</v>
      </c>
    </row>
    <row r="13" spans="1:10" x14ac:dyDescent="0.25">
      <c r="A13" s="10"/>
      <c r="B13" s="424"/>
      <c r="C13" s="424"/>
      <c r="D13" s="424"/>
      <c r="E13" s="424"/>
      <c r="F13" s="424"/>
      <c r="G13" s="424"/>
      <c r="H13" s="11"/>
    </row>
    <row r="14" spans="1:10" x14ac:dyDescent="0.25">
      <c r="A14" s="10"/>
      <c r="B14" s="424"/>
      <c r="C14" s="424"/>
      <c r="D14" s="424"/>
      <c r="E14" s="424"/>
      <c r="F14" s="424"/>
      <c r="G14" s="424"/>
      <c r="H14" s="11"/>
      <c r="I14" t="s">
        <v>658</v>
      </c>
      <c r="J14" t="s">
        <v>887</v>
      </c>
    </row>
    <row r="15" spans="1:10" x14ac:dyDescent="0.25">
      <c r="A15" s="10"/>
      <c r="B15" s="424"/>
      <c r="C15" s="424"/>
      <c r="D15" s="424"/>
      <c r="E15" s="424"/>
      <c r="F15" s="424"/>
      <c r="G15" s="424"/>
      <c r="H15" s="11"/>
      <c r="J15" t="s">
        <v>888</v>
      </c>
    </row>
    <row r="16" spans="1:10" x14ac:dyDescent="0.25">
      <c r="A16" s="10"/>
      <c r="B16" s="424"/>
      <c r="C16" s="424"/>
      <c r="D16" s="424"/>
      <c r="E16" s="424"/>
      <c r="F16" s="424"/>
      <c r="G16" s="424"/>
      <c r="H16" s="11"/>
      <c r="J16" t="s">
        <v>889</v>
      </c>
    </row>
    <row r="17" spans="1:8" x14ac:dyDescent="0.25">
      <c r="A17" s="10"/>
      <c r="B17" s="424"/>
      <c r="C17" s="424"/>
      <c r="D17" s="424"/>
      <c r="E17" s="424"/>
      <c r="F17" s="424"/>
      <c r="G17" s="424"/>
      <c r="H17" s="11"/>
    </row>
    <row r="18" spans="1:8" x14ac:dyDescent="0.25">
      <c r="A18" s="10"/>
      <c r="B18" s="424"/>
      <c r="C18" s="424"/>
      <c r="D18" s="424"/>
      <c r="E18" s="424"/>
      <c r="F18" s="424"/>
      <c r="G18" s="424"/>
      <c r="H18" s="11"/>
    </row>
    <row r="19" spans="1:8" x14ac:dyDescent="0.25">
      <c r="A19" s="10"/>
      <c r="B19" s="424"/>
      <c r="C19" s="424"/>
      <c r="D19" s="424"/>
      <c r="E19" s="424"/>
      <c r="F19" s="424"/>
      <c r="G19" s="424"/>
      <c r="H19" s="11"/>
    </row>
    <row r="20" spans="1:8" x14ac:dyDescent="0.25">
      <c r="A20" s="10"/>
      <c r="B20" s="424"/>
      <c r="C20" s="424"/>
      <c r="D20" s="424"/>
      <c r="E20" s="424"/>
      <c r="F20" s="424"/>
      <c r="G20" s="424"/>
      <c r="H20" s="11"/>
    </row>
    <row r="21" spans="1:8" x14ac:dyDescent="0.25">
      <c r="A21" s="10"/>
      <c r="B21" s="424"/>
      <c r="C21" s="424"/>
      <c r="D21" s="424"/>
      <c r="E21" s="424"/>
      <c r="F21" s="424"/>
      <c r="G21" s="424"/>
      <c r="H21" s="11"/>
    </row>
    <row r="22" spans="1:8" x14ac:dyDescent="0.25">
      <c r="A22" s="10"/>
      <c r="B22" s="424"/>
      <c r="C22" s="424"/>
      <c r="D22" s="424"/>
      <c r="E22" s="424"/>
      <c r="F22" s="424"/>
      <c r="G22" s="424"/>
      <c r="H22" s="11"/>
    </row>
    <row r="23" spans="1:8" x14ac:dyDescent="0.25">
      <c r="A23" s="10"/>
      <c r="B23" s="424"/>
      <c r="C23" s="424"/>
      <c r="D23" s="424"/>
      <c r="E23" s="424"/>
      <c r="F23" s="424"/>
      <c r="G23" s="424"/>
      <c r="H23" s="11"/>
    </row>
    <row r="24" spans="1:8" x14ac:dyDescent="0.25">
      <c r="A24" s="10"/>
      <c r="B24" s="424"/>
      <c r="C24" s="424"/>
      <c r="D24" s="424"/>
      <c r="E24" s="424"/>
      <c r="F24" s="424"/>
      <c r="G24" s="424"/>
      <c r="H24" s="11"/>
    </row>
    <row r="25" spans="1:8" x14ac:dyDescent="0.25">
      <c r="A25" s="10"/>
      <c r="B25" s="424"/>
      <c r="C25" s="424"/>
      <c r="D25" s="424"/>
      <c r="E25" s="424"/>
      <c r="F25" s="424"/>
      <c r="G25" s="424"/>
      <c r="H25" s="11"/>
    </row>
    <row r="26" spans="1:8" x14ac:dyDescent="0.25">
      <c r="A26" s="10"/>
      <c r="B26" s="424"/>
      <c r="C26" s="424"/>
      <c r="D26" s="424"/>
      <c r="E26" s="424"/>
      <c r="F26" s="424"/>
      <c r="G26" s="424"/>
      <c r="H26" s="11"/>
    </row>
    <row r="27" spans="1:8" x14ac:dyDescent="0.25">
      <c r="A27" s="10"/>
      <c r="B27" s="424"/>
      <c r="C27" s="424"/>
      <c r="D27" s="424"/>
      <c r="E27" s="424"/>
      <c r="F27" s="424"/>
      <c r="G27" s="424"/>
      <c r="H27" s="11"/>
    </row>
    <row r="28" spans="1:8" ht="30" x14ac:dyDescent="0.25">
      <c r="A28" s="10"/>
      <c r="B28" s="425" t="s">
        <v>859</v>
      </c>
      <c r="C28" s="293" t="s">
        <v>548</v>
      </c>
      <c r="D28" s="426" t="s">
        <v>860</v>
      </c>
      <c r="E28" s="293" t="s">
        <v>869</v>
      </c>
      <c r="F28" s="427" t="s">
        <v>861</v>
      </c>
      <c r="G28" s="424"/>
      <c r="H28" s="11"/>
    </row>
    <row r="29" spans="1:8" x14ac:dyDescent="0.25">
      <c r="A29" s="10"/>
      <c r="B29" s="47" t="s">
        <v>16</v>
      </c>
      <c r="C29" s="149">
        <v>55000</v>
      </c>
      <c r="D29" s="428">
        <v>0.77200000000000002</v>
      </c>
      <c r="E29" s="48">
        <v>1.036</v>
      </c>
      <c r="F29" s="66">
        <v>1.095</v>
      </c>
      <c r="G29" s="424"/>
      <c r="H29" s="11"/>
    </row>
    <row r="30" spans="1:8" x14ac:dyDescent="0.25">
      <c r="A30" s="10"/>
      <c r="B30" s="47" t="s">
        <v>17</v>
      </c>
      <c r="C30" s="149">
        <v>175000</v>
      </c>
      <c r="D30" s="428">
        <v>1.952</v>
      </c>
      <c r="E30" s="48">
        <v>1.881</v>
      </c>
      <c r="F30" s="66">
        <v>1.881</v>
      </c>
      <c r="G30" s="424"/>
      <c r="H30" s="11"/>
    </row>
    <row r="31" spans="1:8" x14ac:dyDescent="0.25">
      <c r="A31" s="10"/>
      <c r="B31" s="47" t="s">
        <v>18</v>
      </c>
      <c r="C31" s="149">
        <v>10000</v>
      </c>
      <c r="D31" s="428">
        <v>1.1839999999999999</v>
      </c>
      <c r="E31" s="48">
        <v>1.1379999999999999</v>
      </c>
      <c r="F31" s="66">
        <v>1.1379999999999999</v>
      </c>
      <c r="G31" s="424"/>
      <c r="H31" s="11"/>
    </row>
    <row r="32" spans="1:8" x14ac:dyDescent="0.25">
      <c r="A32" s="10"/>
      <c r="B32" s="47" t="s">
        <v>168</v>
      </c>
      <c r="C32" s="149">
        <v>48000</v>
      </c>
      <c r="D32" s="428">
        <v>0.72299999999999998</v>
      </c>
      <c r="E32" s="48">
        <v>0.80100000000000005</v>
      </c>
      <c r="F32" s="66">
        <v>1.0429999999999999</v>
      </c>
      <c r="G32" s="424"/>
      <c r="H32" s="11"/>
    </row>
    <row r="33" spans="1:8" x14ac:dyDescent="0.25">
      <c r="A33" s="10"/>
      <c r="B33" s="46" t="s">
        <v>169</v>
      </c>
      <c r="C33" s="152">
        <v>169000</v>
      </c>
      <c r="D33" s="70">
        <v>0.70699999999999996</v>
      </c>
      <c r="E33" s="49">
        <v>0.70699999999999996</v>
      </c>
      <c r="F33" s="68">
        <v>0.95199999999999996</v>
      </c>
      <c r="G33" s="424"/>
      <c r="H33" s="11"/>
    </row>
    <row r="34" spans="1:8" x14ac:dyDescent="0.25">
      <c r="A34" s="10"/>
      <c r="B34" s="424"/>
      <c r="C34" s="424"/>
      <c r="D34" s="424"/>
      <c r="E34" s="424"/>
      <c r="F34" s="424"/>
      <c r="G34" s="424"/>
      <c r="H34" s="11"/>
    </row>
    <row r="35" spans="1:8" x14ac:dyDescent="0.25">
      <c r="A35" s="14" t="s">
        <v>3</v>
      </c>
      <c r="B35" s="429" t="s">
        <v>882</v>
      </c>
      <c r="C35" s="424"/>
      <c r="D35" s="424"/>
      <c r="E35" s="424"/>
      <c r="F35" s="424"/>
      <c r="G35" s="424"/>
      <c r="H35" s="11"/>
    </row>
    <row r="36" spans="1:8" ht="15.75" thickBot="1" x14ac:dyDescent="0.3">
      <c r="A36" s="13">
        <f ca="1">INDEX('Point Grid'!$C$8:$I$28,MATCH($A$1,'Point Grid'!$A$8:$A$28,0),MATCH(A35,'Point Grid'!$C$7:$I$7,0))</f>
        <v>1</v>
      </c>
      <c r="B36" s="429" t="s">
        <v>883</v>
      </c>
      <c r="C36" s="424"/>
      <c r="D36" s="424"/>
      <c r="E36" s="424"/>
      <c r="F36" s="424"/>
      <c r="G36" s="424"/>
      <c r="H36" s="11"/>
    </row>
    <row r="37" spans="1:8" ht="15.75" thickBot="1" x14ac:dyDescent="0.3">
      <c r="A37" s="4">
        <v>1</v>
      </c>
      <c r="B37" s="424"/>
      <c r="C37" s="424"/>
      <c r="D37" s="424"/>
      <c r="E37" s="424"/>
      <c r="F37" s="424"/>
      <c r="G37" s="424"/>
      <c r="H37" s="11"/>
    </row>
    <row r="38" spans="1:8" x14ac:dyDescent="0.25">
      <c r="A38" s="10"/>
      <c r="B38" s="424"/>
      <c r="C38" s="424"/>
      <c r="D38" s="424"/>
      <c r="E38" s="424"/>
      <c r="F38" s="424"/>
      <c r="G38" s="424"/>
      <c r="H38" s="11"/>
    </row>
    <row r="39" spans="1:8" x14ac:dyDescent="0.25">
      <c r="A39" s="10"/>
      <c r="B39" s="424" t="s">
        <v>868</v>
      </c>
      <c r="C39" s="424"/>
      <c r="D39" s="424"/>
      <c r="E39" s="424"/>
      <c r="F39" s="424"/>
      <c r="G39" s="424"/>
      <c r="H39" s="11"/>
    </row>
    <row r="40" spans="1:8" x14ac:dyDescent="0.25">
      <c r="A40" s="10"/>
      <c r="B40" s="424" t="s">
        <v>873</v>
      </c>
      <c r="C40" s="424"/>
      <c r="D40" s="424"/>
      <c r="E40" s="424"/>
      <c r="F40" s="424"/>
      <c r="G40" s="424"/>
      <c r="H40" s="11"/>
    </row>
    <row r="41" spans="1:8" x14ac:dyDescent="0.25">
      <c r="A41" s="10"/>
      <c r="B41" s="424" t="s">
        <v>862</v>
      </c>
      <c r="C41" s="424"/>
      <c r="D41" s="424"/>
      <c r="E41" s="424"/>
      <c r="F41" s="424"/>
      <c r="G41" s="424"/>
      <c r="H41" s="11"/>
    </row>
    <row r="42" spans="1:8" x14ac:dyDescent="0.25">
      <c r="A42" s="10"/>
      <c r="B42" s="424" t="s">
        <v>863</v>
      </c>
      <c r="C42" s="424"/>
      <c r="D42" s="424"/>
      <c r="E42" s="424"/>
      <c r="F42" s="424"/>
      <c r="G42" s="424"/>
      <c r="H42" s="11"/>
    </row>
    <row r="43" spans="1:8" x14ac:dyDescent="0.25">
      <c r="A43" s="10"/>
      <c r="B43" s="424"/>
      <c r="C43" s="424"/>
      <c r="D43" s="424"/>
      <c r="E43" s="424"/>
      <c r="F43" s="424"/>
      <c r="G43" s="424"/>
      <c r="H43" s="11"/>
    </row>
    <row r="44" spans="1:8" x14ac:dyDescent="0.25">
      <c r="A44" s="14" t="s">
        <v>4</v>
      </c>
      <c r="B44" s="424" t="s">
        <v>864</v>
      </c>
      <c r="C44" s="424"/>
      <c r="D44" s="424"/>
      <c r="E44" s="424"/>
      <c r="F44" s="424"/>
      <c r="G44" s="424"/>
      <c r="H44" s="11"/>
    </row>
    <row r="45" spans="1:8" ht="15.75" thickBot="1" x14ac:dyDescent="0.3">
      <c r="A45" s="13">
        <f ca="1">INDEX('Point Grid'!$C$8:$I$28,MATCH($A$1,'Point Grid'!$A$8:$A$28,0),MATCH(A44,'Point Grid'!$C$7:$I$7,0))</f>
        <v>0.5</v>
      </c>
      <c r="B45" s="424" t="s">
        <v>865</v>
      </c>
      <c r="C45" s="424"/>
      <c r="D45" s="424"/>
      <c r="E45" s="424"/>
      <c r="F45" s="424"/>
      <c r="G45" s="424"/>
      <c r="H45" s="11"/>
    </row>
    <row r="46" spans="1:8" ht="15.75" thickBot="1" x14ac:dyDescent="0.3">
      <c r="A46" s="4">
        <v>0.5</v>
      </c>
      <c r="B46" s="424"/>
      <c r="C46" s="424"/>
      <c r="D46" s="424"/>
      <c r="E46" s="424"/>
      <c r="F46" s="424"/>
      <c r="G46" s="424"/>
      <c r="H46" s="11"/>
    </row>
    <row r="47" spans="1:8" ht="15.75" thickBot="1" x14ac:dyDescent="0.3">
      <c r="A47" s="15"/>
      <c r="B47" s="16"/>
      <c r="C47" s="16"/>
      <c r="D47" s="16"/>
      <c r="E47" s="16"/>
      <c r="F47" s="16"/>
      <c r="G47" s="16"/>
      <c r="H47" s="17"/>
    </row>
  </sheetData>
  <conditionalFormatting sqref="B1">
    <cfRule type="cellIs" dxfId="2" priority="1" operator="equal">
      <formula>"Incomplete"</formula>
    </cfRule>
    <cfRule type="cellIs" dxfId="1" priority="2" operator="equal">
      <formula>"Flag for Review"</formula>
    </cfRule>
    <cfRule type="cellIs" dxfId="0" priority="3" operator="equal">
      <formula>"Finished"</formula>
    </cfRule>
  </conditionalFormatting>
  <dataValidations count="2">
    <dataValidation type="list" allowBlank="1" showInputMessage="1" showErrorMessage="1" sqref="B1" xr:uid="{F8958811-DDD1-467F-90CC-83F0FEFC7E35}">
      <formula1>"Finished, Flag for Review, Incomplete"</formula1>
    </dataValidation>
    <dataValidation type="decimal" allowBlank="1" showInputMessage="1" showErrorMessage="1" sqref="A11 A37 A46" xr:uid="{484DA17F-CDF8-48E7-9BE5-61026C1EEA9E}">
      <formula1>0</formula1>
      <formula2>A10</formula2>
    </dataValidation>
  </dataValidations>
  <hyperlinks>
    <hyperlink ref="H1" location="Navigator!A1" display="Navigator" xr:uid="{C96C6771-E8C8-444F-8DFF-2BDE6F35A9C9}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658CA-14A7-43F9-939E-2832B4953049}">
  <sheetPr codeName="Sheet23"/>
  <dimension ref="A6:H29"/>
  <sheetViews>
    <sheetView workbookViewId="0"/>
  </sheetViews>
  <sheetFormatPr defaultRowHeight="15" x14ac:dyDescent="0.25"/>
  <cols>
    <col min="1" max="6" width="11.5703125" customWidth="1"/>
    <col min="7" max="7" width="15" customWidth="1"/>
    <col min="8" max="8" width="14.7109375" bestFit="1" customWidth="1"/>
  </cols>
  <sheetData>
    <row r="6" spans="1:8" ht="23.25" x14ac:dyDescent="0.35">
      <c r="A6" s="26" t="s">
        <v>32</v>
      </c>
      <c r="B6" s="23"/>
      <c r="C6" s="23"/>
      <c r="D6" s="23"/>
      <c r="E6" s="23"/>
      <c r="F6" s="23"/>
      <c r="G6" s="23"/>
      <c r="H6" s="23"/>
    </row>
    <row r="8" spans="1:8" ht="18.75" x14ac:dyDescent="0.3">
      <c r="A8" s="41" t="s">
        <v>33</v>
      </c>
      <c r="B8" s="42"/>
      <c r="C8" s="42"/>
      <c r="D8" s="42"/>
      <c r="E8" s="42"/>
      <c r="F8" s="42"/>
      <c r="G8" s="42"/>
      <c r="H8" s="43" t="s">
        <v>11</v>
      </c>
    </row>
    <row r="9" spans="1:8" x14ac:dyDescent="0.25">
      <c r="A9" s="417" t="s">
        <v>841</v>
      </c>
      <c r="B9" s="417"/>
      <c r="C9" s="417"/>
      <c r="D9" s="417"/>
      <c r="E9" s="417"/>
      <c r="F9" s="417"/>
      <c r="G9" s="417"/>
      <c r="H9" s="33" t="str">
        <f ca="1">'Point Grid'!J8</f>
        <v>Finished</v>
      </c>
    </row>
    <row r="10" spans="1:8" x14ac:dyDescent="0.25">
      <c r="A10" s="417" t="s">
        <v>842</v>
      </c>
      <c r="B10" s="417"/>
      <c r="C10" s="417"/>
      <c r="D10" s="417"/>
      <c r="E10" s="417"/>
      <c r="F10" s="417"/>
      <c r="G10" s="417"/>
      <c r="H10" s="33" t="str">
        <f ca="1">'Point Grid'!J9</f>
        <v>Finished</v>
      </c>
    </row>
    <row r="11" spans="1:8" x14ac:dyDescent="0.25">
      <c r="A11" s="417" t="s">
        <v>590</v>
      </c>
      <c r="B11" s="417"/>
      <c r="C11" s="417"/>
      <c r="D11" s="417"/>
      <c r="E11" s="417"/>
      <c r="F11" s="417"/>
      <c r="G11" s="417"/>
      <c r="H11" s="33" t="str">
        <f ca="1">'Point Grid'!J10</f>
        <v>Finished</v>
      </c>
    </row>
    <row r="12" spans="1:8" x14ac:dyDescent="0.25">
      <c r="A12" s="417" t="s">
        <v>591</v>
      </c>
      <c r="B12" s="417"/>
      <c r="C12" s="417"/>
      <c r="D12" s="417"/>
      <c r="E12" s="417"/>
      <c r="F12" s="417"/>
      <c r="G12" s="417"/>
      <c r="H12" s="33" t="str">
        <f ca="1">'Point Grid'!J11</f>
        <v>Finished</v>
      </c>
    </row>
    <row r="13" spans="1:8" x14ac:dyDescent="0.25">
      <c r="A13" s="417" t="s">
        <v>592</v>
      </c>
      <c r="B13" s="417"/>
      <c r="C13" s="417"/>
      <c r="D13" s="417"/>
      <c r="E13" s="417"/>
      <c r="F13" s="417"/>
      <c r="G13" s="417"/>
      <c r="H13" s="33" t="str">
        <f ca="1">'Point Grid'!J12</f>
        <v>Finished</v>
      </c>
    </row>
    <row r="14" spans="1:8" x14ac:dyDescent="0.25">
      <c r="A14" s="417" t="s">
        <v>593</v>
      </c>
      <c r="B14" s="417"/>
      <c r="C14" s="417"/>
      <c r="D14" s="417"/>
      <c r="E14" s="417"/>
      <c r="F14" s="417"/>
      <c r="G14" s="417"/>
      <c r="H14" s="33" t="str">
        <f ca="1">'Point Grid'!J13</f>
        <v>Finished</v>
      </c>
    </row>
    <row r="15" spans="1:8" x14ac:dyDescent="0.25">
      <c r="A15" s="417" t="s">
        <v>843</v>
      </c>
      <c r="B15" s="417"/>
      <c r="C15" s="417"/>
      <c r="D15" s="417"/>
      <c r="E15" s="417"/>
      <c r="F15" s="417"/>
      <c r="G15" s="417"/>
      <c r="H15" s="33" t="str">
        <f ca="1">'Point Grid'!J14</f>
        <v>Finished</v>
      </c>
    </row>
    <row r="16" spans="1:8" x14ac:dyDescent="0.25">
      <c r="A16" s="417" t="s">
        <v>594</v>
      </c>
      <c r="B16" s="417"/>
      <c r="C16" s="417"/>
      <c r="D16" s="417"/>
      <c r="E16" s="417"/>
      <c r="F16" s="417"/>
      <c r="G16" s="417"/>
      <c r="H16" s="33" t="str">
        <f ca="1">'Point Grid'!J15</f>
        <v>Finished</v>
      </c>
    </row>
    <row r="17" spans="1:8" x14ac:dyDescent="0.25">
      <c r="A17" s="417" t="s">
        <v>595</v>
      </c>
      <c r="B17" s="417"/>
      <c r="C17" s="417"/>
      <c r="D17" s="417"/>
      <c r="E17" s="417"/>
      <c r="F17" s="417"/>
      <c r="G17" s="417"/>
      <c r="H17" s="33" t="str">
        <f ca="1">'Point Grid'!J16</f>
        <v>Finished</v>
      </c>
    </row>
    <row r="18" spans="1:8" x14ac:dyDescent="0.25">
      <c r="A18" s="417" t="s">
        <v>844</v>
      </c>
      <c r="B18" s="417"/>
      <c r="C18" s="417"/>
      <c r="D18" s="417"/>
      <c r="E18" s="417"/>
      <c r="F18" s="417"/>
      <c r="G18" s="417"/>
      <c r="H18" s="33" t="str">
        <f ca="1">'Point Grid'!J17</f>
        <v>Finished</v>
      </c>
    </row>
    <row r="19" spans="1:8" x14ac:dyDescent="0.25">
      <c r="A19" s="417" t="s">
        <v>596</v>
      </c>
      <c r="B19" s="417"/>
      <c r="C19" s="417"/>
      <c r="D19" s="417"/>
      <c r="E19" s="417"/>
      <c r="F19" s="417"/>
      <c r="G19" s="417"/>
      <c r="H19" s="33" t="str">
        <f ca="1">'Point Grid'!J18</f>
        <v>Finished</v>
      </c>
    </row>
    <row r="20" spans="1:8" x14ac:dyDescent="0.25">
      <c r="A20" s="417" t="s">
        <v>597</v>
      </c>
      <c r="B20" s="417"/>
      <c r="C20" s="417"/>
      <c r="D20" s="417"/>
      <c r="E20" s="417"/>
      <c r="F20" s="417"/>
      <c r="G20" s="417"/>
      <c r="H20" s="33" t="str">
        <f ca="1">'Point Grid'!J19</f>
        <v>Finished</v>
      </c>
    </row>
    <row r="21" spans="1:8" x14ac:dyDescent="0.25">
      <c r="A21" s="417" t="s">
        <v>598</v>
      </c>
      <c r="B21" s="417"/>
      <c r="C21" s="417"/>
      <c r="D21" s="417"/>
      <c r="E21" s="417"/>
      <c r="F21" s="417"/>
      <c r="G21" s="417"/>
      <c r="H21" s="33" t="str">
        <f ca="1">'Point Grid'!J20</f>
        <v>Finished</v>
      </c>
    </row>
    <row r="22" spans="1:8" x14ac:dyDescent="0.25">
      <c r="A22" s="417" t="s">
        <v>599</v>
      </c>
      <c r="B22" s="417"/>
      <c r="C22" s="417"/>
      <c r="D22" s="417"/>
      <c r="E22" s="417"/>
      <c r="F22" s="417"/>
      <c r="G22" s="417"/>
      <c r="H22" s="33" t="str">
        <f ca="1">'Point Grid'!J21</f>
        <v>Finished</v>
      </c>
    </row>
    <row r="23" spans="1:8" x14ac:dyDescent="0.25">
      <c r="A23" s="417" t="s">
        <v>600</v>
      </c>
      <c r="B23" s="417"/>
      <c r="C23" s="417"/>
      <c r="D23" s="417"/>
      <c r="E23" s="417"/>
      <c r="F23" s="417"/>
      <c r="G23" s="417"/>
      <c r="H23" s="33" t="str">
        <f ca="1">'Point Grid'!J22</f>
        <v>Finished</v>
      </c>
    </row>
    <row r="24" spans="1:8" x14ac:dyDescent="0.25">
      <c r="A24" s="417" t="s">
        <v>601</v>
      </c>
      <c r="B24" s="417"/>
      <c r="C24" s="417"/>
      <c r="D24" s="417"/>
      <c r="E24" s="417"/>
      <c r="F24" s="417"/>
      <c r="G24" s="417"/>
      <c r="H24" s="33" t="str">
        <f ca="1">'Point Grid'!J23</f>
        <v>Finished</v>
      </c>
    </row>
    <row r="25" spans="1:8" x14ac:dyDescent="0.25">
      <c r="A25" s="417" t="s">
        <v>602</v>
      </c>
      <c r="B25" s="417"/>
      <c r="C25" s="417"/>
      <c r="D25" s="417"/>
      <c r="E25" s="417"/>
      <c r="F25" s="417"/>
      <c r="G25" s="417"/>
      <c r="H25" s="33" t="str">
        <f ca="1">'Point Grid'!J24</f>
        <v>Finished</v>
      </c>
    </row>
    <row r="26" spans="1:8" x14ac:dyDescent="0.25">
      <c r="A26" s="417" t="s">
        <v>845</v>
      </c>
      <c r="B26" s="417"/>
      <c r="C26" s="417"/>
      <c r="D26" s="417"/>
      <c r="E26" s="417"/>
      <c r="F26" s="417"/>
      <c r="G26" s="417"/>
      <c r="H26" s="33" t="str">
        <f ca="1">'Point Grid'!J25</f>
        <v>Finished</v>
      </c>
    </row>
    <row r="27" spans="1:8" x14ac:dyDescent="0.25">
      <c r="A27" s="417" t="s">
        <v>846</v>
      </c>
      <c r="B27" s="417"/>
      <c r="C27" s="417"/>
      <c r="D27" s="417"/>
      <c r="E27" s="417"/>
      <c r="F27" s="417"/>
      <c r="G27" s="417"/>
      <c r="H27" s="33" t="str">
        <f ca="1">'Point Grid'!J26</f>
        <v>Finished</v>
      </c>
    </row>
    <row r="28" spans="1:8" x14ac:dyDescent="0.25">
      <c r="A28" s="417" t="s">
        <v>847</v>
      </c>
      <c r="B28" s="417"/>
      <c r="C28" s="417"/>
      <c r="D28" s="417"/>
      <c r="E28" s="417"/>
      <c r="F28" s="417"/>
      <c r="G28" s="417"/>
      <c r="H28" s="33" t="str">
        <f ca="1">'Point Grid'!J27</f>
        <v>Finished</v>
      </c>
    </row>
    <row r="29" spans="1:8" x14ac:dyDescent="0.25">
      <c r="A29" s="417" t="s">
        <v>890</v>
      </c>
      <c r="B29" s="417"/>
      <c r="C29" s="417"/>
      <c r="D29" s="417"/>
      <c r="E29" s="417"/>
      <c r="F29" s="417"/>
      <c r="G29" s="417"/>
      <c r="H29" s="33" t="str">
        <f ca="1">'Point Grid'!J28</f>
        <v>Finished</v>
      </c>
    </row>
  </sheetData>
  <sheetProtection formatCells="0" formatColumns="0" formatRows="0"/>
  <mergeCells count="21">
    <mergeCell ref="A22:G22"/>
    <mergeCell ref="A23:G23"/>
    <mergeCell ref="A24:G24"/>
    <mergeCell ref="A25:G25"/>
    <mergeCell ref="A26:G26"/>
    <mergeCell ref="A29:G29"/>
    <mergeCell ref="A20:G20"/>
    <mergeCell ref="A9:G9"/>
    <mergeCell ref="A10:G10"/>
    <mergeCell ref="A11:G11"/>
    <mergeCell ref="A12:G12"/>
    <mergeCell ref="A13:G13"/>
    <mergeCell ref="A14:G14"/>
    <mergeCell ref="A15:G15"/>
    <mergeCell ref="A16:G16"/>
    <mergeCell ref="A17:G17"/>
    <mergeCell ref="A18:G18"/>
    <mergeCell ref="A19:G19"/>
    <mergeCell ref="A28:G28"/>
    <mergeCell ref="A27:G27"/>
    <mergeCell ref="A21:G21"/>
  </mergeCells>
  <conditionalFormatting sqref="H9:H29">
    <cfRule type="cellIs" dxfId="65" priority="4" operator="equal">
      <formula>"Finished"</formula>
    </cfRule>
    <cfRule type="cellIs" dxfId="64" priority="5" operator="equal">
      <formula>"Flag for Review"</formula>
    </cfRule>
    <cfRule type="cellIs" dxfId="63" priority="6" operator="equal">
      <formula>"Incomplete"</formula>
    </cfRule>
  </conditionalFormatting>
  <hyperlinks>
    <hyperlink ref="A9:G9" location="'1'!A1" display="Q1 -- Mahler -- Shifting Risk Parameters -- 5.75 points" xr:uid="{C5414146-BE99-4D46-BC9B-6A29F26D4AA1}"/>
    <hyperlink ref="A10:G10" location="'2'!A1" display="Q2 -- Goldburd (GLM) -- GLM offsets -- 2.75 points" xr:uid="{1BEBB419-B162-4427-9CBF-4CD8A4A3A0DF}"/>
    <hyperlink ref="A11:G11" location="'3'!A1" display="Q3 -- Goldburd (GLM) -- Number of Parameters within a GLM -- 2.50 points" xr:uid="{3C4C9C48-9C91-411A-B3B4-9FA11875328A}"/>
    <hyperlink ref="A12:G12" location="'4'!A1" display="Q4 -- Goldburd (GLM) -- Odds ratio -- 2.00 points" xr:uid="{2020018E-CDEB-482E-9F9B-38DCA80C9BB3}"/>
    <hyperlink ref="A13:G13" location="'5'!A1" display="Q5 -- Goldburd (GLM) -- Calculating with interactions -- 4.25 points" xr:uid="{CD2F0A17-C1B7-4D0E-8FFC-D0C1975DE1E6}"/>
    <hyperlink ref="A14:G14" location="'6'!A1" display="Q6 -- Couret &amp; Venter -- Estimate variances, credibilities, and expected claims -- 4.75 points" xr:uid="{F57D45B9-7F63-4DF1-8169-BF16DF94E483}"/>
    <hyperlink ref="A15:G15" location="'7'!A1" display="Q7 -- ISO Rating -- Company Subject Loss Cost -- 2.75 points" xr:uid="{0AFB9A01-6BA4-4AF8-9927-C64159D48A66}"/>
    <hyperlink ref="A16:G16" location="'8'!A1" display="Q8 -- Fisher -- Quintiles &amp; Efficiency Tests -- 3.50 points" xr:uid="{8EB4A34E-02EF-46A8-8865-4A14D6A5912E}"/>
    <hyperlink ref="A17:G17" location="'9'!A1" display="Q9 -- Fisher -- Experience &amp; Schedule Rating -- 3.50 points" xr:uid="{BBB2636E-F690-43B9-B4AD-508FD3E96749}"/>
    <hyperlink ref="A18:G18" location="'10'!A1" display="Q10 -- NCCI Experience Rating -- Calculate experience modifications -- 5.50 points" xr:uid="{F6EBE597-1E6A-492D-9EDC-9C1F677BBFE1}"/>
    <hyperlink ref="A19:G19" location="'11'!A1" display="Q11 -- Fisher -- Experience Modification &amp; Efficiency Test -- 3.75 points" xr:uid="{14FB2A35-43D6-4B34-87D9-C536B82851EC}"/>
    <hyperlink ref="A20:G20" location="'12'!A1" display="Q12 -- Fisher -- Table M -- 2.00 points" xr:uid="{D4FF6410-F08A-4984-876F-114AE4D49358}"/>
    <hyperlink ref="A21:G21" location="'13'!A1" display="Q13 -- Bahnemann -- Aggregate Loss in Layer -- 2.00 points" xr:uid="{A07FFD84-C017-460A-A247-F5324A6A22D9}"/>
    <hyperlink ref="A22:G22" location="'14'!A1" display="Q14 -- Fisher -- Retrospective Rating -- 2.00 points" xr:uid="{050A52BD-CB5B-4F22-9073-795B9A598AEF}"/>
    <hyperlink ref="A23:G23" location="'15'!A1" display="Q15 -- Bahnemann -- Excess Severity -- 3.50 points" xr:uid="{D2F83696-8705-4766-B5F0-F0F39605C0C9}"/>
    <hyperlink ref="A24:G24" location="'16'!A1" display="Q16 -- Fisher -- Limited Table M -- 3.00 points" xr:uid="{0516550F-C58A-4802-9BCF-6CF0515DAB70}"/>
    <hyperlink ref="A25:G25" location="'17'!A1" display="Q17 -- Clark -- Technical Ratio -- 3.00 points" xr:uid="{03540340-5134-4D60-A56A-6DEEDF3C26CD}"/>
    <hyperlink ref="A26:G26" location="'18'!A1" display="Q18 -- Clark -- Property Per Risk Treaty (IQ) -- 5.50 points" xr:uid="{FE1BE592-C632-497D-86EF-F1206F8E0219}"/>
    <hyperlink ref="A27:G27" location="'19'!A1" display="Q19 -- Grossi -- Quota Share Reinsurance -- 1.75 points" xr:uid="{4EBDB433-7769-417B-A6F3-0C72A1C5E934}"/>
    <hyperlink ref="A28:G28" location="'20'!A1" display="Q20 -- Clark -- Expected Layer Loss -- 1.75 points" xr:uid="{5D20C395-68F0-446F-87AD-C354C11731C5}"/>
    <hyperlink ref="A29:G29" location="'21'!A1" display="Q21 -- Holmes -- Inflation and the Pareto Distribution -- 2.75 points" xr:uid="{7CC12843-15FF-4152-A1DD-848E3713629F}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C9E6ED-6B70-4BF3-A21E-4C3B1BBDBDAE}">
  <sheetPr codeName="Sheet3"/>
  <dimension ref="A1:O70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6" style="3" bestFit="1" customWidth="1"/>
    <col min="3" max="3" width="10" style="3" bestFit="1" customWidth="1"/>
    <col min="4" max="4" width="14.140625" style="3" customWidth="1"/>
    <col min="5" max="5" width="16.5703125" style="3" bestFit="1" customWidth="1"/>
    <col min="6" max="6" width="13.5703125" style="3" customWidth="1"/>
    <col min="7" max="7" width="9.140625" style="3"/>
    <col min="8" max="8" width="6.28515625" style="3" customWidth="1"/>
    <col min="9" max="9" width="3.7109375" style="40" customWidth="1"/>
    <col min="10" max="10" width="9.140625" style="3"/>
    <col min="11" max="11" width="12.85546875" style="3" customWidth="1"/>
    <col min="12" max="12" width="14.42578125" style="3" customWidth="1"/>
    <col min="13" max="13" width="15.85546875" style="3" customWidth="1"/>
    <col min="14" max="15" width="9.140625" style="3" customWidth="1"/>
    <col min="16" max="16384" width="9.140625" style="3"/>
  </cols>
  <sheetData>
    <row r="1" spans="1:14" ht="15.75" x14ac:dyDescent="0.25">
      <c r="A1" s="8">
        <f ca="1">VALUE(MID(CELL("filename",A1),FIND("]",CELL("filename",A1))+1,LEN(CELL("filename",A1))-FIND("]",CELL("filename",A1))+1))</f>
        <v>1</v>
      </c>
      <c r="B1" s="57" t="s">
        <v>604</v>
      </c>
      <c r="C1" s="9"/>
      <c r="D1" s="9"/>
      <c r="E1" s="9"/>
      <c r="F1" s="9"/>
      <c r="G1" s="418" t="s">
        <v>41</v>
      </c>
      <c r="H1" s="419"/>
      <c r="J1" s="58" t="s">
        <v>31</v>
      </c>
    </row>
    <row r="2" spans="1:14" x14ac:dyDescent="0.25">
      <c r="A2" s="10"/>
      <c r="B2" s="5"/>
      <c r="C2" s="5"/>
      <c r="D2" s="5"/>
      <c r="E2" s="5"/>
      <c r="F2" s="5"/>
      <c r="G2" s="5"/>
      <c r="H2" s="11"/>
      <c r="I2" s="40" t="s">
        <v>605</v>
      </c>
      <c r="J2" s="3" t="s">
        <v>559</v>
      </c>
    </row>
    <row r="3" spans="1:14" x14ac:dyDescent="0.25">
      <c r="A3" s="12" t="s">
        <v>14</v>
      </c>
      <c r="B3" s="5" t="s">
        <v>547</v>
      </c>
      <c r="C3" s="5"/>
      <c r="D3" s="5"/>
      <c r="E3" s="5"/>
      <c r="F3" s="5"/>
      <c r="G3" s="5"/>
      <c r="H3" s="11"/>
    </row>
    <row r="4" spans="1:14" x14ac:dyDescent="0.25">
      <c r="A4" s="13">
        <f ca="1">INDEX('Point Grid'!B:B,MATCH('1'!A1,'Point Grid'!A:A,0))</f>
        <v>5.75</v>
      </c>
      <c r="B4" s="5" t="s">
        <v>564</v>
      </c>
      <c r="C4" s="5"/>
      <c r="D4" s="5"/>
      <c r="E4" s="5"/>
      <c r="F4" s="5"/>
      <c r="G4" s="5"/>
      <c r="H4" s="11"/>
      <c r="J4" s="3" t="s">
        <v>554</v>
      </c>
    </row>
    <row r="5" spans="1:14" x14ac:dyDescent="0.25">
      <c r="A5" s="10"/>
      <c r="B5" s="5"/>
      <c r="C5" s="5"/>
      <c r="D5" s="5"/>
      <c r="E5" s="5"/>
      <c r="F5" s="5"/>
      <c r="G5" s="5"/>
      <c r="H5" s="11"/>
      <c r="J5" s="158" t="s">
        <v>126</v>
      </c>
      <c r="K5" s="192" t="s">
        <v>556</v>
      </c>
      <c r="L5" s="192" t="s">
        <v>557</v>
      </c>
      <c r="M5" s="158" t="s">
        <v>558</v>
      </c>
      <c r="N5" s="158" t="s">
        <v>560</v>
      </c>
    </row>
    <row r="6" spans="1:14" x14ac:dyDescent="0.25">
      <c r="A6" s="10"/>
      <c r="B6" s="172" t="s">
        <v>487</v>
      </c>
      <c r="C6" s="173" t="s">
        <v>488</v>
      </c>
      <c r="D6" s="247" t="s">
        <v>551</v>
      </c>
      <c r="E6" s="248"/>
      <c r="F6" s="5"/>
      <c r="G6" s="5"/>
      <c r="H6" s="11"/>
      <c r="J6" s="208">
        <f t="shared" ref="J6:J20" si="0">B8</f>
        <v>2007</v>
      </c>
      <c r="K6" s="120">
        <f>E8/C8</f>
        <v>5.4209919261822375</v>
      </c>
      <c r="L6" s="120">
        <f>D8/C8</f>
        <v>0</v>
      </c>
      <c r="M6" s="120">
        <f>K6*($B$26-1)</f>
        <v>4.7089394365180759</v>
      </c>
      <c r="N6" s="120">
        <f>(L6-M6)^2/M6</f>
        <v>4.7089394365180759</v>
      </c>
    </row>
    <row r="7" spans="1:14" x14ac:dyDescent="0.25">
      <c r="A7" s="10"/>
      <c r="B7" s="178" t="s">
        <v>126</v>
      </c>
      <c r="C7" s="179" t="s">
        <v>548</v>
      </c>
      <c r="D7" s="181" t="s">
        <v>549</v>
      </c>
      <c r="E7" s="181" t="s">
        <v>550</v>
      </c>
      <c r="F7" s="238"/>
      <c r="G7" s="212"/>
      <c r="H7" s="249"/>
      <c r="J7" s="208">
        <f t="shared" si="0"/>
        <v>2008</v>
      </c>
      <c r="K7" s="125">
        <f t="shared" ref="K7:K20" si="1">E9/C9</f>
        <v>3.5056608921020325</v>
      </c>
      <c r="L7" s="125">
        <f t="shared" ref="L7:L19" si="2">D9/C9</f>
        <v>0</v>
      </c>
      <c r="M7" s="125">
        <f t="shared" ref="M7:M20" si="3">K7*($B$26-1)</f>
        <v>3.0451889710716116</v>
      </c>
      <c r="N7" s="125">
        <f>(L7-M7)^2/M7</f>
        <v>3.0451889710716116</v>
      </c>
    </row>
    <row r="8" spans="1:14" x14ac:dyDescent="0.25">
      <c r="A8" s="10"/>
      <c r="B8" s="64">
        <v>2007</v>
      </c>
      <c r="C8" s="149">
        <v>2601</v>
      </c>
      <c r="D8" s="149">
        <v>0</v>
      </c>
      <c r="E8" s="149">
        <v>14100</v>
      </c>
      <c r="F8" s="5"/>
      <c r="G8" s="250"/>
      <c r="H8" s="11"/>
      <c r="J8" s="208">
        <f t="shared" si="0"/>
        <v>2009</v>
      </c>
      <c r="K8" s="125">
        <f t="shared" si="1"/>
        <v>2.0935101186322402</v>
      </c>
      <c r="L8" s="125">
        <f>D10/C10</f>
        <v>0.6995115143056525</v>
      </c>
      <c r="M8" s="125">
        <f>K8*($B$26-1)</f>
        <v>1.8185255563218834</v>
      </c>
      <c r="N8" s="125">
        <f t="shared" ref="N8:N20" si="4">(L8-M8)^2/M8</f>
        <v>0.68857565508299179</v>
      </c>
    </row>
    <row r="9" spans="1:14" x14ac:dyDescent="0.25">
      <c r="A9" s="10"/>
      <c r="B9" s="48">
        <v>2008</v>
      </c>
      <c r="C9" s="149">
        <v>7331</v>
      </c>
      <c r="D9" s="149">
        <v>0</v>
      </c>
      <c r="E9" s="149">
        <v>25700</v>
      </c>
      <c r="F9" s="5"/>
      <c r="G9" s="250"/>
      <c r="H9" s="11"/>
      <c r="J9" s="208">
        <f t="shared" si="0"/>
        <v>2010</v>
      </c>
      <c r="K9" s="125">
        <f t="shared" si="1"/>
        <v>1.6123358348968104</v>
      </c>
      <c r="L9" s="125">
        <f t="shared" si="2"/>
        <v>0</v>
      </c>
      <c r="M9" s="125">
        <f t="shared" si="3"/>
        <v>1.4005539763280686</v>
      </c>
      <c r="N9" s="125">
        <f t="shared" si="4"/>
        <v>1.4005539763280686</v>
      </c>
    </row>
    <row r="10" spans="1:14" x14ac:dyDescent="0.25">
      <c r="A10" s="10"/>
      <c r="B10" s="48">
        <v>2009</v>
      </c>
      <c r="C10" s="149">
        <v>14330</v>
      </c>
      <c r="D10" s="149">
        <v>10024</v>
      </c>
      <c r="E10" s="149">
        <v>30000</v>
      </c>
      <c r="F10" s="5"/>
      <c r="G10" s="250"/>
      <c r="H10" s="11"/>
      <c r="J10" s="208">
        <f t="shared" si="0"/>
        <v>2011</v>
      </c>
      <c r="K10" s="125">
        <f t="shared" si="1"/>
        <v>1.6604315072003279</v>
      </c>
      <c r="L10" s="125">
        <f t="shared" si="2"/>
        <v>0.55813047711781882</v>
      </c>
      <c r="M10" s="125">
        <f t="shared" si="3"/>
        <v>1.4423322359380921</v>
      </c>
      <c r="N10" s="125">
        <f t="shared" si="4"/>
        <v>0.54204761622926223</v>
      </c>
    </row>
    <row r="11" spans="1:14" x14ac:dyDescent="0.25">
      <c r="A11" s="10"/>
      <c r="B11" s="48">
        <v>2010</v>
      </c>
      <c r="C11" s="149">
        <v>17056</v>
      </c>
      <c r="D11" s="149">
        <v>0</v>
      </c>
      <c r="E11" s="149">
        <v>27500</v>
      </c>
      <c r="F11" s="5"/>
      <c r="G11" s="250"/>
      <c r="H11" s="11"/>
      <c r="J11" s="208">
        <f t="shared" si="0"/>
        <v>2012</v>
      </c>
      <c r="K11" s="125">
        <f t="shared" si="1"/>
        <v>1.9700658191326301</v>
      </c>
      <c r="L11" s="125">
        <f t="shared" si="2"/>
        <v>0</v>
      </c>
      <c r="M11" s="125">
        <f t="shared" si="3"/>
        <v>1.7112957839771679</v>
      </c>
      <c r="N11" s="125">
        <f t="shared" si="4"/>
        <v>1.7112957839771679</v>
      </c>
    </row>
    <row r="12" spans="1:14" x14ac:dyDescent="0.25">
      <c r="A12" s="10"/>
      <c r="B12" s="48">
        <v>2011</v>
      </c>
      <c r="C12" s="149">
        <v>19513</v>
      </c>
      <c r="D12" s="149">
        <v>10890.8</v>
      </c>
      <c r="E12" s="149">
        <v>32400</v>
      </c>
      <c r="F12" s="5"/>
      <c r="G12" s="250"/>
      <c r="H12" s="11"/>
      <c r="J12" s="208">
        <f t="shared" si="0"/>
        <v>2013</v>
      </c>
      <c r="K12" s="125">
        <f t="shared" si="1"/>
        <v>1.8670535680195488</v>
      </c>
      <c r="L12" s="125">
        <f t="shared" si="2"/>
        <v>2.3990683822687182</v>
      </c>
      <c r="M12" s="125">
        <f t="shared" si="3"/>
        <v>1.6218142908636906</v>
      </c>
      <c r="N12" s="125">
        <f t="shared" si="4"/>
        <v>0.37249882801571038</v>
      </c>
    </row>
    <row r="13" spans="1:14" x14ac:dyDescent="0.25">
      <c r="A13" s="10"/>
      <c r="B13" s="48">
        <v>2012</v>
      </c>
      <c r="C13" s="149">
        <v>22182</v>
      </c>
      <c r="D13" s="149">
        <v>0</v>
      </c>
      <c r="E13" s="149">
        <v>43700</v>
      </c>
      <c r="F13" s="5"/>
      <c r="G13" s="250"/>
      <c r="H13" s="11"/>
      <c r="J13" s="208">
        <f t="shared" si="0"/>
        <v>2014</v>
      </c>
      <c r="K13" s="125">
        <f t="shared" si="1"/>
        <v>1.5633199834277034</v>
      </c>
      <c r="L13" s="125">
        <f t="shared" si="2"/>
        <v>0</v>
      </c>
      <c r="M13" s="125">
        <f t="shared" si="3"/>
        <v>1.3579764039685498</v>
      </c>
      <c r="N13" s="125">
        <f t="shared" si="4"/>
        <v>1.3579764039685498</v>
      </c>
    </row>
    <row r="14" spans="1:14" x14ac:dyDescent="0.25">
      <c r="A14" s="10"/>
      <c r="B14" s="48">
        <v>2013</v>
      </c>
      <c r="C14" s="149">
        <v>26191</v>
      </c>
      <c r="D14" s="149">
        <v>62834</v>
      </c>
      <c r="E14" s="149">
        <v>48900</v>
      </c>
      <c r="F14" s="5"/>
      <c r="G14" s="250"/>
      <c r="H14" s="11"/>
      <c r="J14" s="208">
        <f t="shared" si="0"/>
        <v>2015</v>
      </c>
      <c r="K14" s="125">
        <f t="shared" si="1"/>
        <v>1.5673473792117403</v>
      </c>
      <c r="L14" s="125">
        <f t="shared" si="2"/>
        <v>1.2210553292508566</v>
      </c>
      <c r="M14" s="125">
        <f t="shared" si="3"/>
        <v>1.3614747974530195</v>
      </c>
      <c r="N14" s="125">
        <f t="shared" si="4"/>
        <v>1.4482550163297189E-2</v>
      </c>
    </row>
    <row r="15" spans="1:14" x14ac:dyDescent="0.25">
      <c r="A15" s="10"/>
      <c r="B15" s="48">
        <v>2014</v>
      </c>
      <c r="C15" s="149">
        <v>36205</v>
      </c>
      <c r="D15" s="149">
        <v>0</v>
      </c>
      <c r="E15" s="149">
        <v>56600</v>
      </c>
      <c r="F15" s="5"/>
      <c r="G15" s="250"/>
      <c r="H15" s="11"/>
      <c r="J15" s="208">
        <f t="shared" si="0"/>
        <v>2016</v>
      </c>
      <c r="K15" s="125">
        <f t="shared" si="1"/>
        <v>2.0812529563252222</v>
      </c>
      <c r="L15" s="125">
        <f t="shared" si="2"/>
        <v>2.2961686025122194</v>
      </c>
      <c r="M15" s="125">
        <f t="shared" si="3"/>
        <v>1.8078783840417416</v>
      </c>
      <c r="N15" s="125">
        <f t="shared" si="4"/>
        <v>0.13188239848352651</v>
      </c>
    </row>
    <row r="16" spans="1:14" x14ac:dyDescent="0.25">
      <c r="A16" s="10"/>
      <c r="B16" s="48">
        <v>2015</v>
      </c>
      <c r="C16" s="149">
        <v>37069</v>
      </c>
      <c r="D16" s="149">
        <v>45263.3</v>
      </c>
      <c r="E16" s="149">
        <v>58100</v>
      </c>
      <c r="F16" s="5"/>
      <c r="G16" s="250"/>
      <c r="H16" s="11"/>
      <c r="J16" s="208">
        <f t="shared" si="0"/>
        <v>2017</v>
      </c>
      <c r="K16" s="125">
        <f t="shared" si="1"/>
        <v>2.1295725441841347</v>
      </c>
      <c r="L16" s="125">
        <f t="shared" si="2"/>
        <v>1.5545879572544183</v>
      </c>
      <c r="M16" s="125">
        <f t="shared" si="3"/>
        <v>1.849851147684165</v>
      </c>
      <c r="N16" s="125">
        <f t="shared" si="4"/>
        <v>4.7128306367728148E-2</v>
      </c>
    </row>
    <row r="17" spans="1:14" x14ac:dyDescent="0.25">
      <c r="A17" s="10"/>
      <c r="B17" s="48">
        <v>2016</v>
      </c>
      <c r="C17" s="149">
        <v>38054</v>
      </c>
      <c r="D17" s="149">
        <v>87378.4</v>
      </c>
      <c r="E17" s="149">
        <v>79200</v>
      </c>
      <c r="F17" s="5"/>
      <c r="G17" s="250"/>
      <c r="H17" s="11"/>
      <c r="J17" s="208">
        <f t="shared" si="0"/>
        <v>2018</v>
      </c>
      <c r="K17" s="125">
        <f t="shared" si="1"/>
        <v>2.1031679416772584</v>
      </c>
      <c r="L17" s="125">
        <f t="shared" si="2"/>
        <v>0.30957576920309837</v>
      </c>
      <c r="M17" s="125">
        <f t="shared" si="3"/>
        <v>1.8269148150455405</v>
      </c>
      <c r="N17" s="125">
        <f t="shared" si="4"/>
        <v>1.2602217471101198</v>
      </c>
    </row>
    <row r="18" spans="1:14" ht="15" customHeight="1" x14ac:dyDescent="0.25">
      <c r="A18" s="10"/>
      <c r="B18" s="48">
        <v>2017</v>
      </c>
      <c r="C18" s="149">
        <v>38928</v>
      </c>
      <c r="D18" s="149">
        <v>60517</v>
      </c>
      <c r="E18" s="149">
        <v>82900</v>
      </c>
      <c r="F18" s="5"/>
      <c r="G18" s="250"/>
      <c r="H18" s="11"/>
      <c r="J18" s="208">
        <f t="shared" si="0"/>
        <v>2019</v>
      </c>
      <c r="K18" s="125">
        <f t="shared" si="1"/>
        <v>2.0845147095515686</v>
      </c>
      <c r="L18" s="125">
        <f t="shared" si="2"/>
        <v>4.2014357974005945</v>
      </c>
      <c r="M18" s="125">
        <f t="shared" si="3"/>
        <v>1.8107117028529263</v>
      </c>
      <c r="N18" s="125">
        <f t="shared" si="4"/>
        <v>3.1565277273270098</v>
      </c>
    </row>
    <row r="19" spans="1:14" x14ac:dyDescent="0.25">
      <c r="A19" s="10"/>
      <c r="B19" s="48">
        <v>2018</v>
      </c>
      <c r="C19" s="149">
        <v>41699</v>
      </c>
      <c r="D19" s="149">
        <v>12909</v>
      </c>
      <c r="E19" s="149">
        <v>87700</v>
      </c>
      <c r="F19" s="5"/>
      <c r="G19" s="250"/>
      <c r="H19" s="11"/>
      <c r="J19" s="208">
        <f t="shared" si="0"/>
        <v>2020</v>
      </c>
      <c r="K19" s="125">
        <f t="shared" si="1"/>
        <v>2.0807480943095196</v>
      </c>
      <c r="L19" s="125">
        <f t="shared" si="2"/>
        <v>2.6019522247828397</v>
      </c>
      <c r="M19" s="125">
        <f t="shared" si="3"/>
        <v>1.8074398361360973</v>
      </c>
      <c r="N19" s="125">
        <f t="shared" si="4"/>
        <v>0.34925087026001583</v>
      </c>
    </row>
    <row r="20" spans="1:14" x14ac:dyDescent="0.25">
      <c r="A20" s="10"/>
      <c r="B20" s="48">
        <v>2019</v>
      </c>
      <c r="C20" s="149">
        <v>44087</v>
      </c>
      <c r="D20" s="149">
        <v>185228.7</v>
      </c>
      <c r="E20" s="149">
        <v>91900</v>
      </c>
      <c r="F20" s="5"/>
      <c r="G20" s="250"/>
      <c r="H20" s="11"/>
      <c r="J20" s="209">
        <f t="shared" si="0"/>
        <v>2021</v>
      </c>
      <c r="K20" s="130">
        <f t="shared" si="1"/>
        <v>2.2001725625539259</v>
      </c>
      <c r="L20" s="130">
        <f>D22/C22</f>
        <v>4.0786544661913631</v>
      </c>
      <c r="M20" s="130">
        <f t="shared" si="3"/>
        <v>1.9111777859170578</v>
      </c>
      <c r="N20" s="130">
        <f t="shared" si="4"/>
        <v>2.4581465911496347</v>
      </c>
    </row>
    <row r="21" spans="1:14" x14ac:dyDescent="0.25">
      <c r="A21" s="10"/>
      <c r="B21" s="48">
        <v>2020</v>
      </c>
      <c r="C21" s="149">
        <v>45128</v>
      </c>
      <c r="D21" s="149">
        <v>117420.9</v>
      </c>
      <c r="E21" s="149">
        <v>93900</v>
      </c>
      <c r="F21" s="5"/>
      <c r="G21" s="250"/>
      <c r="H21" s="11"/>
      <c r="N21" s="191"/>
    </row>
    <row r="22" spans="1:14" x14ac:dyDescent="0.25">
      <c r="A22" s="10"/>
      <c r="B22" s="49">
        <v>2021</v>
      </c>
      <c r="C22" s="152">
        <v>44042</v>
      </c>
      <c r="D22" s="152">
        <v>179632.1</v>
      </c>
      <c r="E22" s="152">
        <v>96900</v>
      </c>
      <c r="F22" s="5"/>
      <c r="G22" s="250"/>
      <c r="H22" s="11"/>
      <c r="J22" s="40" t="s">
        <v>10</v>
      </c>
      <c r="K22" s="40"/>
      <c r="L22" s="40"/>
      <c r="M22" s="40"/>
      <c r="N22" s="375">
        <f>SUM(N6:N20)</f>
        <v>21.244716862052769</v>
      </c>
    </row>
    <row r="23" spans="1:14" x14ac:dyDescent="0.25">
      <c r="A23" s="10"/>
      <c r="B23" s="5"/>
      <c r="C23" s="5"/>
      <c r="D23" s="5"/>
      <c r="E23" s="5"/>
      <c r="F23" s="5"/>
      <c r="G23" s="5"/>
      <c r="H23" s="11"/>
    </row>
    <row r="24" spans="1:14" x14ac:dyDescent="0.25">
      <c r="A24" s="10"/>
      <c r="B24" s="251">
        <v>1.6556371763675823</v>
      </c>
      <c r="C24" s="169" t="s">
        <v>552</v>
      </c>
      <c r="D24" s="169"/>
      <c r="E24" s="195"/>
      <c r="F24" s="5"/>
      <c r="G24" s="250"/>
      <c r="H24" s="11"/>
      <c r="J24" s="3" t="s">
        <v>561</v>
      </c>
      <c r="L24" s="99">
        <f>15-1</f>
        <v>14</v>
      </c>
      <c r="M24" s="109" t="s">
        <v>579</v>
      </c>
    </row>
    <row r="25" spans="1:14" x14ac:dyDescent="0.25">
      <c r="A25" s="10"/>
      <c r="B25" s="232">
        <v>1.9164288509711265</v>
      </c>
      <c r="C25" s="5" t="s">
        <v>553</v>
      </c>
      <c r="D25" s="5"/>
      <c r="E25" s="166"/>
      <c r="F25" s="5"/>
      <c r="G25" s="5"/>
      <c r="H25" s="11"/>
      <c r="I25" s="3"/>
    </row>
    <row r="26" spans="1:14" x14ac:dyDescent="0.25">
      <c r="A26" s="10"/>
      <c r="B26" s="232">
        <v>1.8686490407364196</v>
      </c>
      <c r="C26" s="5" t="s">
        <v>563</v>
      </c>
      <c r="D26" s="5"/>
      <c r="E26" s="166"/>
      <c r="F26" s="252"/>
      <c r="G26" s="5"/>
      <c r="H26" s="11"/>
      <c r="I26" s="3"/>
      <c r="J26" s="3" t="s">
        <v>569</v>
      </c>
    </row>
    <row r="27" spans="1:14" x14ac:dyDescent="0.25">
      <c r="A27" s="10"/>
      <c r="B27" s="233">
        <v>1.9797178502892394</v>
      </c>
      <c r="C27" s="69" t="s">
        <v>562</v>
      </c>
      <c r="D27" s="69"/>
      <c r="E27" s="167"/>
      <c r="F27" s="5"/>
      <c r="G27" s="5"/>
      <c r="H27" s="11"/>
      <c r="I27" s="3"/>
      <c r="J27" s="121">
        <f>_xlfn.CHISQ.INV(1-0.1,14)</f>
        <v>21.064144212997061</v>
      </c>
    </row>
    <row r="28" spans="1:14" x14ac:dyDescent="0.25">
      <c r="A28" s="10"/>
      <c r="B28" s="5"/>
      <c r="C28" s="5"/>
      <c r="D28" s="5"/>
      <c r="E28" s="5"/>
      <c r="F28" s="5"/>
      <c r="G28" s="5"/>
      <c r="H28" s="11"/>
      <c r="I28" s="3"/>
    </row>
    <row r="29" spans="1:14" x14ac:dyDescent="0.25">
      <c r="A29" s="10"/>
      <c r="B29" s="5" t="s">
        <v>650</v>
      </c>
      <c r="C29" s="5"/>
      <c r="D29" s="5"/>
      <c r="E29" s="5"/>
      <c r="F29" s="5"/>
      <c r="G29" s="5"/>
      <c r="H29" s="11"/>
      <c r="I29" s="3"/>
      <c r="J29" s="3" t="s">
        <v>588</v>
      </c>
    </row>
    <row r="30" spans="1:14" x14ac:dyDescent="0.25">
      <c r="A30" s="10"/>
      <c r="B30" s="276" t="s">
        <v>651</v>
      </c>
      <c r="C30" s="5"/>
      <c r="D30" s="5"/>
      <c r="E30" s="5"/>
      <c r="F30" s="5"/>
      <c r="G30" s="5"/>
      <c r="H30" s="11"/>
      <c r="J30" s="3" t="s">
        <v>566</v>
      </c>
    </row>
    <row r="31" spans="1:14" x14ac:dyDescent="0.25">
      <c r="A31" s="10"/>
      <c r="B31" s="5"/>
      <c r="C31" s="5"/>
      <c r="D31" s="5"/>
      <c r="E31" s="5"/>
      <c r="F31" s="5"/>
      <c r="G31" s="5"/>
      <c r="H31" s="11"/>
      <c r="J31" s="3" t="s">
        <v>567</v>
      </c>
    </row>
    <row r="32" spans="1:14" x14ac:dyDescent="0.25">
      <c r="A32" s="14" t="s">
        <v>2</v>
      </c>
      <c r="B32" s="5" t="s">
        <v>570</v>
      </c>
      <c r="C32" s="5"/>
      <c r="D32" s="5"/>
      <c r="E32" s="5"/>
      <c r="F32" s="5"/>
      <c r="G32" s="5"/>
      <c r="H32" s="11"/>
    </row>
    <row r="33" spans="1:15" ht="15.75" thickBot="1" x14ac:dyDescent="0.3">
      <c r="A33" s="13">
        <f ca="1">INDEX('Point Grid'!$C$8:$I$27,MATCH($A$1,'Point Grid'!$A$8:$A$27,0),MATCH(A32,'Point Grid'!$C$7:$I$7,0))</f>
        <v>2.5</v>
      </c>
      <c r="B33" s="5" t="s">
        <v>555</v>
      </c>
      <c r="C33" s="5"/>
      <c r="D33" s="5"/>
      <c r="E33" s="5"/>
      <c r="F33" s="5"/>
      <c r="G33" s="5"/>
      <c r="H33" s="11"/>
      <c r="J33" s="109" t="s">
        <v>573</v>
      </c>
    </row>
    <row r="34" spans="1:15" ht="15.75" thickBot="1" x14ac:dyDescent="0.3">
      <c r="A34" s="4">
        <v>2.5</v>
      </c>
      <c r="B34" s="5" t="s">
        <v>565</v>
      </c>
      <c r="C34" s="5"/>
      <c r="D34" s="5"/>
      <c r="E34" s="5"/>
      <c r="F34" s="5"/>
      <c r="G34" s="5"/>
      <c r="H34" s="11"/>
    </row>
    <row r="35" spans="1:15" x14ac:dyDescent="0.25">
      <c r="A35" s="10"/>
      <c r="B35" s="5"/>
      <c r="C35" s="5"/>
      <c r="D35" s="5"/>
      <c r="E35" s="5"/>
      <c r="F35" s="5"/>
      <c r="G35" s="5"/>
      <c r="H35" s="11"/>
      <c r="I35" s="40" t="s">
        <v>618</v>
      </c>
      <c r="J35" s="158" t="s">
        <v>126</v>
      </c>
      <c r="K35" s="158" t="s">
        <v>574</v>
      </c>
      <c r="L35" s="158" t="s">
        <v>576</v>
      </c>
      <c r="M35" s="158" t="s">
        <v>578</v>
      </c>
    </row>
    <row r="36" spans="1:15" x14ac:dyDescent="0.25">
      <c r="A36" s="10"/>
      <c r="B36" s="5" t="s">
        <v>568</v>
      </c>
      <c r="C36" s="5"/>
      <c r="D36" s="5"/>
      <c r="E36" s="5"/>
      <c r="F36" s="5"/>
      <c r="G36" s="5"/>
      <c r="H36" s="11"/>
      <c r="J36" s="208">
        <f>B13</f>
        <v>2012</v>
      </c>
      <c r="K36" s="125">
        <f>D13/E13</f>
        <v>0</v>
      </c>
      <c r="L36" s="93" t="s">
        <v>577</v>
      </c>
      <c r="M36" s="93" t="s">
        <v>577</v>
      </c>
    </row>
    <row r="37" spans="1:15" x14ac:dyDescent="0.25">
      <c r="A37" s="10"/>
      <c r="B37" s="5" t="s">
        <v>656</v>
      </c>
      <c r="C37" s="5"/>
      <c r="D37" s="5"/>
      <c r="E37" s="5"/>
      <c r="F37" s="5"/>
      <c r="G37" s="253">
        <v>1.85</v>
      </c>
      <c r="H37" s="11"/>
      <c r="J37" s="208">
        <f t="shared" ref="J37:J45" si="5">B14</f>
        <v>2013</v>
      </c>
      <c r="K37" s="125">
        <f t="shared" ref="K37:K45" si="6">D14/E14</f>
        <v>1.2849488752556237</v>
      </c>
      <c r="L37" s="93" t="s">
        <v>577</v>
      </c>
      <c r="M37" s="93" t="s">
        <v>577</v>
      </c>
    </row>
    <row r="38" spans="1:15" x14ac:dyDescent="0.25">
      <c r="A38" s="10"/>
      <c r="B38" s="5"/>
      <c r="C38" s="5"/>
      <c r="D38" s="5"/>
      <c r="E38" s="5"/>
      <c r="F38" s="5"/>
      <c r="G38" s="5"/>
      <c r="H38" s="11"/>
      <c r="J38" s="208">
        <f t="shared" si="5"/>
        <v>2014</v>
      </c>
      <c r="K38" s="125">
        <f t="shared" si="6"/>
        <v>0</v>
      </c>
      <c r="L38" s="93" t="s">
        <v>577</v>
      </c>
      <c r="M38" s="93" t="s">
        <v>577</v>
      </c>
    </row>
    <row r="39" spans="1:15" x14ac:dyDescent="0.25">
      <c r="A39" s="10"/>
      <c r="B39" s="5" t="s">
        <v>571</v>
      </c>
      <c r="C39" s="5"/>
      <c r="D39" s="5"/>
      <c r="E39" s="5"/>
      <c r="F39" s="5"/>
      <c r="G39" s="5"/>
      <c r="H39" s="11"/>
      <c r="J39" s="208">
        <f t="shared" si="5"/>
        <v>2015</v>
      </c>
      <c r="K39" s="125">
        <f>D16/E16</f>
        <v>0.77905851979345964</v>
      </c>
      <c r="L39" s="125">
        <f t="shared" ref="L39:L45" si="7">$K$47/3*(K36+K37+K38)+(1-$K$47)*($G$37-1)</f>
        <v>0.42831629175187458</v>
      </c>
      <c r="M39" s="245">
        <f>(L39-K39)^2</f>
        <v>0.12302011053157526</v>
      </c>
    </row>
    <row r="40" spans="1:15" x14ac:dyDescent="0.25">
      <c r="A40" s="10"/>
      <c r="B40" s="5" t="s">
        <v>652</v>
      </c>
      <c r="C40" s="5"/>
      <c r="D40" s="5"/>
      <c r="E40" s="5"/>
      <c r="F40" s="5"/>
      <c r="G40" s="5"/>
      <c r="H40" s="11"/>
      <c r="J40" s="208">
        <f t="shared" si="5"/>
        <v>2016</v>
      </c>
      <c r="K40" s="125">
        <f t="shared" si="6"/>
        <v>1.1032626262626262</v>
      </c>
      <c r="L40" s="125">
        <f t="shared" si="7"/>
        <v>0.68800246501636109</v>
      </c>
      <c r="M40" s="245">
        <f t="shared" ref="M40:M45" si="8">(L40-K40)^2</f>
        <v>0.17244100151827407</v>
      </c>
      <c r="O40" s="411"/>
    </row>
    <row r="41" spans="1:15" x14ac:dyDescent="0.25">
      <c r="A41" s="10"/>
      <c r="B41" s="5" t="s">
        <v>653</v>
      </c>
      <c r="C41" s="5"/>
      <c r="D41" s="5"/>
      <c r="E41" s="5"/>
      <c r="F41" s="5"/>
      <c r="G41" s="5"/>
      <c r="H41" s="11"/>
      <c r="J41" s="208">
        <f t="shared" si="5"/>
        <v>2017</v>
      </c>
      <c r="K41" s="125">
        <f t="shared" si="6"/>
        <v>0.73</v>
      </c>
      <c r="L41" s="125">
        <f t="shared" si="7"/>
        <v>0.62744038201869523</v>
      </c>
      <c r="M41" s="245">
        <f t="shared" si="8"/>
        <v>1.0518475240471168E-2</v>
      </c>
      <c r="O41" s="411"/>
    </row>
    <row r="42" spans="1:15" x14ac:dyDescent="0.25">
      <c r="A42" s="10"/>
      <c r="B42" s="5"/>
      <c r="C42" s="5"/>
      <c r="D42" s="5"/>
      <c r="E42" s="5"/>
      <c r="F42" s="5"/>
      <c r="G42" s="5"/>
      <c r="H42" s="11"/>
      <c r="J42" s="208">
        <f t="shared" si="5"/>
        <v>2018</v>
      </c>
      <c r="K42" s="125">
        <f t="shared" si="6"/>
        <v>0.14719498289623717</v>
      </c>
      <c r="L42" s="125">
        <f t="shared" si="7"/>
        <v>0.87077371535202863</v>
      </c>
      <c r="M42" s="245">
        <f t="shared" si="8"/>
        <v>0.52356618206232974</v>
      </c>
      <c r="O42" s="411"/>
    </row>
    <row r="43" spans="1:15" x14ac:dyDescent="0.25">
      <c r="A43" s="14" t="s">
        <v>3</v>
      </c>
      <c r="B43" s="5" t="s">
        <v>572</v>
      </c>
      <c r="C43" s="5"/>
      <c r="D43" s="5"/>
      <c r="E43" s="5"/>
      <c r="F43" s="5"/>
      <c r="G43" s="5"/>
      <c r="H43" s="11"/>
      <c r="J43" s="208">
        <f t="shared" si="5"/>
        <v>2019</v>
      </c>
      <c r="K43" s="125">
        <f t="shared" si="6"/>
        <v>2.0155462459194777</v>
      </c>
      <c r="L43" s="125">
        <f t="shared" si="7"/>
        <v>0.66015253638628768</v>
      </c>
      <c r="M43" s="245">
        <f t="shared" si="8"/>
        <v>1.8370921078421416</v>
      </c>
      <c r="O43" s="411"/>
    </row>
    <row r="44" spans="1:15" ht="15.75" thickBot="1" x14ac:dyDescent="0.3">
      <c r="A44" s="13">
        <f ca="1">INDEX('Point Grid'!$C$8:$I$27,MATCH($A$1,'Point Grid'!$A$8:$A$27,0),MATCH(A43,'Point Grid'!$C$7:$I$7,0))</f>
        <v>2</v>
      </c>
      <c r="B44" s="5"/>
      <c r="C44" s="5"/>
      <c r="D44" s="5"/>
      <c r="E44" s="5"/>
      <c r="F44" s="5"/>
      <c r="G44" s="5"/>
      <c r="H44" s="11"/>
      <c r="J44" s="208">
        <f t="shared" si="5"/>
        <v>2020</v>
      </c>
      <c r="K44" s="125">
        <f t="shared" si="6"/>
        <v>1.2504888178913738</v>
      </c>
      <c r="L44" s="125">
        <f t="shared" si="7"/>
        <v>0.96424707627190487</v>
      </c>
      <c r="M44" s="245">
        <f t="shared" si="8"/>
        <v>8.1934334645346801E-2</v>
      </c>
      <c r="O44" s="411"/>
    </row>
    <row r="45" spans="1:15" ht="15.75" thickBot="1" x14ac:dyDescent="0.3">
      <c r="A45" s="4">
        <v>2</v>
      </c>
      <c r="B45" s="5"/>
      <c r="C45" s="5"/>
      <c r="D45" s="5"/>
      <c r="E45" s="5"/>
      <c r="F45" s="5"/>
      <c r="G45" s="5"/>
      <c r="H45" s="11"/>
      <c r="J45" s="209">
        <f t="shared" si="5"/>
        <v>2021</v>
      </c>
      <c r="K45" s="130">
        <f t="shared" si="6"/>
        <v>1.8537884416924666</v>
      </c>
      <c r="L45" s="130">
        <f t="shared" si="7"/>
        <v>1.1377433489023627</v>
      </c>
      <c r="M45" s="246">
        <f t="shared" si="8"/>
        <v>0.51272057490878842</v>
      </c>
      <c r="O45" s="411"/>
    </row>
    <row r="46" spans="1:15" x14ac:dyDescent="0.25">
      <c r="A46" s="10"/>
      <c r="B46" s="5"/>
      <c r="C46" s="5"/>
      <c r="D46" s="5"/>
      <c r="E46" s="5"/>
      <c r="F46" s="5"/>
      <c r="G46" s="5"/>
      <c r="H46" s="11"/>
    </row>
    <row r="47" spans="1:15" x14ac:dyDescent="0.25">
      <c r="A47" s="14" t="s">
        <v>4</v>
      </c>
      <c r="B47" s="5" t="s">
        <v>583</v>
      </c>
      <c r="C47" s="5"/>
      <c r="D47" s="5"/>
      <c r="E47" s="5"/>
      <c r="F47" s="5"/>
      <c r="G47" s="5"/>
      <c r="H47" s="11"/>
      <c r="J47" s="3" t="s">
        <v>575</v>
      </c>
      <c r="K47" s="229">
        <v>1</v>
      </c>
    </row>
    <row r="48" spans="1:15" ht="15.75" thickBot="1" x14ac:dyDescent="0.3">
      <c r="A48" s="13">
        <f ca="1">INDEX('Point Grid'!$C$8:$I$27,MATCH($A$1,'Point Grid'!$A$8:$A$27,0),MATCH(A47,'Point Grid'!$C$7:$I$7,0))</f>
        <v>0.5</v>
      </c>
      <c r="B48" s="5" t="s">
        <v>654</v>
      </c>
      <c r="C48" s="5"/>
      <c r="D48" s="5"/>
      <c r="E48" s="5"/>
      <c r="F48" s="5"/>
      <c r="G48" s="5"/>
      <c r="H48" s="11"/>
      <c r="J48" s="3" t="s">
        <v>580</v>
      </c>
      <c r="K48" s="191">
        <f>SUM(M39:M45)/COUNT(M39:M45)</f>
        <v>0.46589896953556104</v>
      </c>
    </row>
    <row r="49" spans="1:13" ht="15.75" thickBot="1" x14ac:dyDescent="0.3">
      <c r="A49" s="4">
        <v>0.5</v>
      </c>
      <c r="B49" s="5" t="s">
        <v>655</v>
      </c>
      <c r="C49" s="5"/>
      <c r="D49" s="5"/>
      <c r="E49" s="5"/>
      <c r="F49" s="5"/>
      <c r="G49" s="5"/>
      <c r="H49" s="11"/>
    </row>
    <row r="50" spans="1:13" x14ac:dyDescent="0.25">
      <c r="A50" s="10"/>
      <c r="B50" s="5"/>
      <c r="C50" s="5"/>
      <c r="D50" s="5"/>
      <c r="E50" s="5"/>
      <c r="F50" s="5"/>
      <c r="G50" s="5"/>
      <c r="H50" s="11"/>
      <c r="J50" s="3" t="s">
        <v>581</v>
      </c>
    </row>
    <row r="51" spans="1:13" x14ac:dyDescent="0.25">
      <c r="A51" s="14" t="s">
        <v>5</v>
      </c>
      <c r="B51" s="5" t="s">
        <v>657</v>
      </c>
      <c r="C51" s="5"/>
      <c r="D51" s="5"/>
      <c r="E51" s="5"/>
      <c r="F51" s="5"/>
      <c r="G51" s="5"/>
      <c r="H51" s="11"/>
      <c r="J51" s="219" t="s">
        <v>582</v>
      </c>
      <c r="K51" s="158" t="s">
        <v>580</v>
      </c>
      <c r="L51" s="242" t="s">
        <v>582</v>
      </c>
      <c r="M51" s="192" t="s">
        <v>580</v>
      </c>
    </row>
    <row r="52" spans="1:13" ht="15.75" thickBot="1" x14ac:dyDescent="0.3">
      <c r="A52" s="13">
        <f ca="1">INDEX('Point Grid'!$C$8:$I$27,MATCH($A$1,'Point Grid'!$A$8:$A$27,0),MATCH(A51,'Point Grid'!$C$7:$I$7,0))</f>
        <v>0.75</v>
      </c>
      <c r="B52" s="5" t="s">
        <v>662</v>
      </c>
      <c r="C52" s="5"/>
      <c r="D52" s="5"/>
      <c r="E52" s="5"/>
      <c r="F52" s="5"/>
      <c r="G52" s="5"/>
      <c r="H52" s="11"/>
      <c r="J52" s="204">
        <v>0</v>
      </c>
      <c r="K52" s="245">
        <v>0.44342716054999504</v>
      </c>
      <c r="L52" s="230">
        <v>0.6</v>
      </c>
      <c r="M52" s="243">
        <v>0.44367886180431876</v>
      </c>
    </row>
    <row r="53" spans="1:13" ht="15.75" thickBot="1" x14ac:dyDescent="0.3">
      <c r="A53" s="4">
        <v>0.75</v>
      </c>
      <c r="B53" s="5" t="s">
        <v>857</v>
      </c>
      <c r="C53" s="5"/>
      <c r="D53" s="5"/>
      <c r="E53" s="5"/>
      <c r="F53" s="5"/>
      <c r="G53" s="5"/>
      <c r="H53" s="11"/>
      <c r="J53" s="204">
        <v>0.1</v>
      </c>
      <c r="K53" s="245">
        <v>0.44071257239717065</v>
      </c>
      <c r="L53" s="230">
        <v>0.7</v>
      </c>
      <c r="M53" s="243">
        <v>0.44757996572000242</v>
      </c>
    </row>
    <row r="54" spans="1:13" x14ac:dyDescent="0.25">
      <c r="A54" s="260"/>
      <c r="B54" s="260" t="s">
        <v>858</v>
      </c>
      <c r="C54" s="260"/>
      <c r="D54" s="260"/>
      <c r="E54" s="260"/>
      <c r="F54" s="260"/>
      <c r="G54" s="260"/>
      <c r="H54" s="261"/>
      <c r="J54" s="204">
        <v>0.2</v>
      </c>
      <c r="K54" s="245">
        <v>0.43910059958909775</v>
      </c>
      <c r="L54" s="230">
        <v>0.8</v>
      </c>
      <c r="M54" s="243">
        <v>0.45258368498043733</v>
      </c>
    </row>
    <row r="55" spans="1:13" ht="15.75" thickBot="1" x14ac:dyDescent="0.3">
      <c r="A55" s="15"/>
      <c r="B55" s="16" t="s">
        <v>663</v>
      </c>
      <c r="C55" s="16"/>
      <c r="D55" s="16"/>
      <c r="E55" s="16"/>
      <c r="F55" s="16"/>
      <c r="G55" s="16"/>
      <c r="H55" s="17"/>
      <c r="J55" s="409">
        <v>0.3</v>
      </c>
      <c r="K55" s="410">
        <v>0.43859124212577605</v>
      </c>
      <c r="L55" s="230">
        <v>0.9</v>
      </c>
      <c r="M55" s="243">
        <v>0.4586900195856235</v>
      </c>
    </row>
    <row r="56" spans="1:13" x14ac:dyDescent="0.25">
      <c r="J56" s="204">
        <v>0.4</v>
      </c>
      <c r="K56" s="245">
        <v>0.4391845000072056</v>
      </c>
      <c r="L56" s="231">
        <v>1</v>
      </c>
      <c r="M56" s="244">
        <v>0.46589896953556104</v>
      </c>
    </row>
    <row r="57" spans="1:13" x14ac:dyDescent="0.25">
      <c r="J57" s="217">
        <v>0.5</v>
      </c>
      <c r="K57" s="246">
        <v>0.44088037323338652</v>
      </c>
      <c r="M57" s="121"/>
    </row>
    <row r="59" spans="1:13" x14ac:dyDescent="0.25">
      <c r="J59" s="3" t="s">
        <v>603</v>
      </c>
    </row>
    <row r="61" spans="1:13" x14ac:dyDescent="0.25">
      <c r="I61" s="40" t="s">
        <v>658</v>
      </c>
      <c r="J61" s="3" t="s">
        <v>584</v>
      </c>
      <c r="K61" s="229">
        <v>0.3</v>
      </c>
    </row>
    <row r="62" spans="1:13" x14ac:dyDescent="0.25">
      <c r="J62" s="3" t="s">
        <v>585</v>
      </c>
      <c r="L62" s="375">
        <f>$K$61/3*(K45+K44+K43)+(1-$K$61)*($G$37-1)+1</f>
        <v>2.1069823505503318</v>
      </c>
    </row>
    <row r="64" spans="1:13" x14ac:dyDescent="0.25">
      <c r="J64" s="3" t="s">
        <v>586</v>
      </c>
    </row>
    <row r="65" spans="9:10" x14ac:dyDescent="0.25">
      <c r="J65" s="3" t="s">
        <v>589</v>
      </c>
    </row>
    <row r="66" spans="9:10" x14ac:dyDescent="0.25">
      <c r="J66" s="3" t="s">
        <v>587</v>
      </c>
    </row>
    <row r="68" spans="9:10" x14ac:dyDescent="0.25">
      <c r="I68" s="40" t="s">
        <v>635</v>
      </c>
      <c r="J68" s="3" t="s">
        <v>659</v>
      </c>
    </row>
    <row r="69" spans="9:10" x14ac:dyDescent="0.25">
      <c r="J69" s="3" t="s">
        <v>660</v>
      </c>
    </row>
    <row r="70" spans="9:10" x14ac:dyDescent="0.25">
      <c r="J70" s="3" t="s">
        <v>661</v>
      </c>
    </row>
  </sheetData>
  <sheetProtection formatCells="0" formatColumns="0" formatRows="0"/>
  <sortState xmlns:xlrd2="http://schemas.microsoft.com/office/spreadsheetml/2017/richdata2" ref="E8:E22">
    <sortCondition ref="E8:E22"/>
  </sortState>
  <mergeCells count="1">
    <mergeCell ref="G1:H1"/>
  </mergeCells>
  <conditionalFormatting sqref="B1">
    <cfRule type="cellIs" dxfId="62" priority="1" operator="equal">
      <formula>"Incomplete"</formula>
    </cfRule>
    <cfRule type="cellIs" dxfId="61" priority="2" operator="equal">
      <formula>"Flag for Review"</formula>
    </cfRule>
    <cfRule type="cellIs" dxfId="60" priority="3" operator="equal">
      <formula>"Finished"</formula>
    </cfRule>
  </conditionalFormatting>
  <dataValidations count="2">
    <dataValidation type="list" allowBlank="1" showInputMessage="1" showErrorMessage="1" sqref="B1" xr:uid="{AF040C7E-0FF5-4F3F-ACA5-0DE097DBE995}">
      <formula1>"Finished, Flag for Review, Incomplete"</formula1>
    </dataValidation>
    <dataValidation type="decimal" allowBlank="1" showInputMessage="1" showErrorMessage="1" sqref="A34 A45 A49 A53" xr:uid="{83CEE10D-8878-43F3-A40E-F39AA0732B37}">
      <formula1>0</formula1>
      <formula2>A33</formula2>
    </dataValidation>
  </dataValidations>
  <hyperlinks>
    <hyperlink ref="G1" location="Navigator!A1" display="Navigator" xr:uid="{7B640896-04C2-4179-9619-13AC58E7B6E1}"/>
  </hyperlink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45ACB-22BC-4FE9-8246-2C7C2ABC1511}">
  <sheetPr codeName="Sheet4"/>
  <dimension ref="A1:N34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6" style="3" bestFit="1" customWidth="1"/>
    <col min="3" max="3" width="12.42578125" style="3" bestFit="1" customWidth="1"/>
    <col min="4" max="4" width="11.85546875" style="3" customWidth="1"/>
    <col min="5" max="5" width="11.28515625" style="3" customWidth="1"/>
    <col min="6" max="6" width="10.140625" style="3" customWidth="1"/>
    <col min="7" max="7" width="7.42578125" style="3" customWidth="1"/>
    <col min="8" max="8" width="9.5703125" style="3" customWidth="1"/>
    <col min="9" max="9" width="3.7109375" style="40" customWidth="1"/>
    <col min="10" max="10" width="9.140625" style="3" customWidth="1"/>
    <col min="11" max="11" width="11.140625" style="3" bestFit="1" customWidth="1"/>
    <col min="12" max="12" width="9.140625" style="3"/>
    <col min="13" max="13" width="9.7109375" style="3" bestFit="1" customWidth="1"/>
    <col min="14" max="14" width="11.140625" style="3" bestFit="1" customWidth="1"/>
    <col min="15" max="16384" width="9.140625" style="3"/>
  </cols>
  <sheetData>
    <row r="1" spans="1:14" ht="15.75" x14ac:dyDescent="0.25">
      <c r="A1" s="8">
        <f ca="1">VALUE(MID(CELL("filename",A1),FIND("]",CELL("filename",A1))+1,LEN(CELL("filename",A1))-FIND("]",CELL("filename",A1))+1))</f>
        <v>2</v>
      </c>
      <c r="B1" s="57" t="s">
        <v>604</v>
      </c>
      <c r="C1" s="9"/>
      <c r="D1" s="9"/>
      <c r="E1" s="9"/>
      <c r="F1" s="9"/>
      <c r="G1" s="418" t="s">
        <v>41</v>
      </c>
      <c r="H1" s="419"/>
      <c r="J1" s="58" t="s">
        <v>31</v>
      </c>
    </row>
    <row r="2" spans="1:14" x14ac:dyDescent="0.25">
      <c r="A2" s="10"/>
      <c r="B2" s="5"/>
      <c r="C2" s="5"/>
      <c r="D2" s="5"/>
      <c r="E2" s="5"/>
      <c r="F2" s="5"/>
      <c r="G2" s="5"/>
      <c r="H2" s="11"/>
      <c r="I2" s="40" t="s">
        <v>605</v>
      </c>
      <c r="J2" s="3" t="s">
        <v>489</v>
      </c>
    </row>
    <row r="3" spans="1:14" x14ac:dyDescent="0.25">
      <c r="A3" s="12" t="s">
        <v>14</v>
      </c>
      <c r="B3" s="5" t="s">
        <v>42</v>
      </c>
      <c r="C3" s="5"/>
      <c r="D3" s="5"/>
      <c r="E3" s="5"/>
      <c r="F3" s="5"/>
      <c r="G3" s="5"/>
      <c r="H3" s="11"/>
      <c r="J3" s="3" t="s">
        <v>490</v>
      </c>
    </row>
    <row r="4" spans="1:14" x14ac:dyDescent="0.25">
      <c r="A4" s="13">
        <f ca="1">INDEX('Point Grid'!B:B,MATCH('2'!A1,'Point Grid'!A:A,0))</f>
        <v>2.75</v>
      </c>
      <c r="B4" s="5" t="s">
        <v>43</v>
      </c>
      <c r="C4" s="5"/>
      <c r="D4" s="5"/>
      <c r="E4" s="5"/>
      <c r="F4" s="5"/>
      <c r="G4" s="5"/>
      <c r="H4" s="11"/>
      <c r="J4" s="3" t="s">
        <v>491</v>
      </c>
    </row>
    <row r="5" spans="1:14" x14ac:dyDescent="0.25">
      <c r="A5" s="10"/>
      <c r="B5" s="5"/>
      <c r="C5" s="5"/>
      <c r="D5" s="5"/>
      <c r="E5" s="5"/>
      <c r="F5" s="5"/>
      <c r="G5" s="5"/>
      <c r="H5" s="11"/>
      <c r="J5" s="3" t="s">
        <v>492</v>
      </c>
    </row>
    <row r="6" spans="1:14" x14ac:dyDescent="0.25">
      <c r="A6" s="14" t="s">
        <v>2</v>
      </c>
      <c r="B6" s="5" t="s">
        <v>44</v>
      </c>
      <c r="C6" s="5"/>
      <c r="D6" s="5"/>
      <c r="E6" s="5"/>
      <c r="F6" s="5"/>
      <c r="G6" s="5"/>
      <c r="H6" s="11"/>
      <c r="J6" s="3" t="s">
        <v>493</v>
      </c>
    </row>
    <row r="7" spans="1:14" ht="15.75" thickBot="1" x14ac:dyDescent="0.3">
      <c r="A7" s="13">
        <f ca="1">INDEX('Point Grid'!$C$8:$I$27,MATCH($A$1,'Point Grid'!$A$8:$A$27,0),MATCH(A6,'Point Grid'!$C$7:$I$7,0))</f>
        <v>1</v>
      </c>
      <c r="B7" s="5" t="s">
        <v>494</v>
      </c>
      <c r="C7" s="5"/>
      <c r="D7" s="5"/>
      <c r="E7" s="5"/>
      <c r="F7" s="5"/>
      <c r="G7" s="5"/>
      <c r="H7" s="11"/>
      <c r="J7" s="3" t="s">
        <v>495</v>
      </c>
    </row>
    <row r="8" spans="1:14" ht="15.75" thickBot="1" x14ac:dyDescent="0.3">
      <c r="A8" s="4">
        <v>1</v>
      </c>
      <c r="B8" s="5"/>
      <c r="C8" s="5"/>
      <c r="D8" s="5"/>
      <c r="E8" s="5"/>
      <c r="F8" s="5"/>
      <c r="G8" s="5"/>
      <c r="H8" s="11"/>
    </row>
    <row r="9" spans="1:14" x14ac:dyDescent="0.25">
      <c r="A9" s="10"/>
      <c r="B9" s="5"/>
      <c r="C9" s="5"/>
      <c r="D9" s="5"/>
      <c r="E9" s="5"/>
      <c r="F9" s="5"/>
      <c r="G9" s="5"/>
      <c r="H9" s="11"/>
      <c r="I9" s="40" t="s">
        <v>618</v>
      </c>
      <c r="J9" s="40" t="s">
        <v>40</v>
      </c>
      <c r="K9" s="40" t="s">
        <v>496</v>
      </c>
      <c r="L9" s="40"/>
      <c r="M9" s="40" t="s">
        <v>47</v>
      </c>
      <c r="N9" s="40" t="s">
        <v>496</v>
      </c>
    </row>
    <row r="10" spans="1:14" x14ac:dyDescent="0.25">
      <c r="A10" s="14" t="s">
        <v>3</v>
      </c>
      <c r="B10" s="5" t="s">
        <v>45</v>
      </c>
      <c r="C10" s="5"/>
      <c r="D10" s="5"/>
      <c r="E10" s="5"/>
      <c r="F10" s="5"/>
      <c r="G10" s="5"/>
      <c r="H10" s="11"/>
      <c r="J10" s="40" t="str">
        <f>B21</f>
        <v>A</v>
      </c>
      <c r="K10" s="191">
        <f>LN(C21)</f>
        <v>0</v>
      </c>
      <c r="L10" s="40"/>
      <c r="M10" s="234">
        <f>E21</f>
        <v>500</v>
      </c>
      <c r="N10" s="191">
        <f>LN(F21)</f>
        <v>9.5310179804324935E-2</v>
      </c>
    </row>
    <row r="11" spans="1:14" ht="15.75" thickBot="1" x14ac:dyDescent="0.3">
      <c r="A11" s="13">
        <f ca="1">INDEX('Point Grid'!$C$8:$I$27,MATCH($A$1,'Point Grid'!$A$8:$A$27,0),MATCH(A10,'Point Grid'!$C$7:$I$7,0))</f>
        <v>1</v>
      </c>
      <c r="B11" s="5" t="s">
        <v>51</v>
      </c>
      <c r="C11" s="5"/>
      <c r="D11" s="5"/>
      <c r="E11" s="5"/>
      <c r="F11" s="5"/>
      <c r="G11" s="5"/>
      <c r="H11" s="11"/>
      <c r="J11" s="40" t="str">
        <f>B22</f>
        <v>B</v>
      </c>
      <c r="K11" s="191">
        <f>LN(C22)</f>
        <v>0.22314355131420976</v>
      </c>
      <c r="L11" s="40"/>
      <c r="M11" s="234">
        <f>E22</f>
        <v>1000</v>
      </c>
      <c r="N11" s="191">
        <f>LN(F22)</f>
        <v>0</v>
      </c>
    </row>
    <row r="12" spans="1:14" ht="15.75" thickBot="1" x14ac:dyDescent="0.3">
      <c r="A12" s="4">
        <v>1</v>
      </c>
      <c r="B12" s="5" t="s">
        <v>52</v>
      </c>
      <c r="C12" s="5"/>
      <c r="D12" s="5"/>
      <c r="E12" s="5"/>
      <c r="F12" s="5"/>
      <c r="G12" s="5"/>
      <c r="H12" s="11"/>
      <c r="J12" s="40" t="str">
        <f>B23</f>
        <v>C</v>
      </c>
      <c r="K12" s="191">
        <f>LN(C23)</f>
        <v>-0.22314355131420971</v>
      </c>
      <c r="L12" s="40"/>
      <c r="M12" s="234">
        <f>E23</f>
        <v>2000</v>
      </c>
      <c r="N12" s="191">
        <f>LN(F23)</f>
        <v>-0.2876820724517809</v>
      </c>
    </row>
    <row r="13" spans="1:14" x14ac:dyDescent="0.25">
      <c r="A13" s="10"/>
      <c r="B13" s="5"/>
      <c r="C13" s="5"/>
      <c r="D13" s="5"/>
      <c r="E13" s="5"/>
      <c r="F13" s="5"/>
      <c r="G13" s="5"/>
      <c r="H13" s="11"/>
      <c r="J13" s="40"/>
      <c r="K13" s="40"/>
      <c r="L13" s="40"/>
      <c r="M13" s="40"/>
      <c r="N13" s="40"/>
    </row>
    <row r="14" spans="1:14" x14ac:dyDescent="0.25">
      <c r="A14" s="10"/>
      <c r="B14" s="55" t="s">
        <v>46</v>
      </c>
      <c r="C14" s="54" t="s">
        <v>40</v>
      </c>
      <c r="D14" s="59" t="s">
        <v>47</v>
      </c>
      <c r="E14" s="5"/>
      <c r="F14" s="5"/>
      <c r="G14" s="5"/>
      <c r="H14" s="11"/>
      <c r="J14" s="405" t="s">
        <v>497</v>
      </c>
      <c r="K14" s="406" t="s">
        <v>498</v>
      </c>
    </row>
    <row r="15" spans="1:14" x14ac:dyDescent="0.25">
      <c r="A15" s="10"/>
      <c r="B15" s="47">
        <v>1</v>
      </c>
      <c r="C15" s="48" t="s">
        <v>16</v>
      </c>
      <c r="D15" s="50">
        <v>500</v>
      </c>
      <c r="E15" s="5"/>
      <c r="F15" s="5"/>
      <c r="G15" s="5"/>
      <c r="H15" s="11"/>
      <c r="J15" s="407">
        <v>1</v>
      </c>
      <c r="K15" s="390">
        <f>INDEX($K$10:$K$12,MATCH(C15,$J$10:$J$12,0)) + INDEX($N$10:$N$12,MATCH(D15,$M$10:$M$12,0))</f>
        <v>9.5310179804324935E-2</v>
      </c>
    </row>
    <row r="16" spans="1:14" x14ac:dyDescent="0.25">
      <c r="A16" s="10"/>
      <c r="B16" s="47">
        <v>2</v>
      </c>
      <c r="C16" s="48" t="s">
        <v>17</v>
      </c>
      <c r="D16" s="50">
        <v>1000</v>
      </c>
      <c r="E16" s="5"/>
      <c r="F16" s="5"/>
      <c r="G16" s="5"/>
      <c r="H16" s="11"/>
      <c r="J16" s="407">
        <v>2</v>
      </c>
      <c r="K16" s="390">
        <f>INDEX($K$10:$K$12,MATCH(C16,$J$10:$J$12,0)) + INDEX($N$10:$N$12,MATCH(D16,$M$10:$M$12,0))</f>
        <v>0.22314355131420976</v>
      </c>
    </row>
    <row r="17" spans="1:11" x14ac:dyDescent="0.25">
      <c r="A17" s="10"/>
      <c r="B17" s="47">
        <v>3</v>
      </c>
      <c r="C17" s="48" t="s">
        <v>18</v>
      </c>
      <c r="D17" s="50">
        <v>2000</v>
      </c>
      <c r="E17" s="5"/>
      <c r="F17" s="5"/>
      <c r="G17" s="5"/>
      <c r="H17" s="11"/>
      <c r="J17" s="407">
        <v>3</v>
      </c>
      <c r="K17" s="390">
        <f>INDEX($K$10:$K$12,MATCH(C17,$J$10:$J$12,0)) + INDEX($N$10:$N$12,MATCH(D17,$M$10:$M$12,0))</f>
        <v>-0.51082562376599061</v>
      </c>
    </row>
    <row r="18" spans="1:11" x14ac:dyDescent="0.25">
      <c r="A18" s="10"/>
      <c r="B18" s="46">
        <v>4</v>
      </c>
      <c r="C18" s="49" t="s">
        <v>17</v>
      </c>
      <c r="D18" s="51">
        <v>2000</v>
      </c>
      <c r="E18" s="5"/>
      <c r="F18" s="5"/>
      <c r="G18" s="5"/>
      <c r="H18" s="11"/>
      <c r="J18" s="408">
        <v>4</v>
      </c>
      <c r="K18" s="391">
        <f>INDEX($K$10:$K$12,MATCH(C18,$J$10:$J$12,0)) + INDEX($N$10:$N$12,MATCH(D18,$M$10:$M$12,0))</f>
        <v>-6.4538521137571137E-2</v>
      </c>
    </row>
    <row r="19" spans="1:11" x14ac:dyDescent="0.25">
      <c r="A19" s="10"/>
      <c r="B19" s="5"/>
      <c r="C19" s="5"/>
      <c r="D19" s="5"/>
      <c r="E19" s="5"/>
      <c r="F19" s="5"/>
      <c r="G19" s="5"/>
      <c r="H19" s="11"/>
    </row>
    <row r="20" spans="1:11" x14ac:dyDescent="0.25">
      <c r="A20" s="10"/>
      <c r="B20" s="54" t="s">
        <v>40</v>
      </c>
      <c r="C20" s="59" t="s">
        <v>48</v>
      </c>
      <c r="D20" s="5"/>
      <c r="E20" s="54" t="s">
        <v>47</v>
      </c>
      <c r="F20" s="59" t="s">
        <v>48</v>
      </c>
      <c r="G20" s="5"/>
      <c r="H20" s="11"/>
      <c r="I20" s="40" t="s">
        <v>658</v>
      </c>
      <c r="J20" s="3" t="s">
        <v>831</v>
      </c>
    </row>
    <row r="21" spans="1:11" x14ac:dyDescent="0.25">
      <c r="A21" s="10"/>
      <c r="B21" s="48" t="s">
        <v>16</v>
      </c>
      <c r="C21" s="60">
        <v>1</v>
      </c>
      <c r="D21" s="5"/>
      <c r="E21" s="52">
        <v>500</v>
      </c>
      <c r="F21" s="60">
        <v>1.1000000000000001</v>
      </c>
      <c r="G21" s="5"/>
      <c r="H21" s="11"/>
      <c r="J21" s="3" t="s">
        <v>832</v>
      </c>
    </row>
    <row r="22" spans="1:11" x14ac:dyDescent="0.25">
      <c r="A22" s="10"/>
      <c r="B22" s="48" t="s">
        <v>17</v>
      </c>
      <c r="C22" s="60">
        <v>1.25</v>
      </c>
      <c r="D22" s="5"/>
      <c r="E22" s="52">
        <v>1000</v>
      </c>
      <c r="F22" s="60">
        <v>1</v>
      </c>
      <c r="G22" s="5"/>
      <c r="H22" s="11"/>
      <c r="J22" s="3" t="s">
        <v>833</v>
      </c>
    </row>
    <row r="23" spans="1:11" x14ac:dyDescent="0.25">
      <c r="A23" s="10"/>
      <c r="B23" s="49" t="s">
        <v>18</v>
      </c>
      <c r="C23" s="61">
        <v>0.8</v>
      </c>
      <c r="D23" s="5"/>
      <c r="E23" s="53">
        <v>2000</v>
      </c>
      <c r="F23" s="61">
        <v>0.75</v>
      </c>
      <c r="G23" s="5"/>
      <c r="H23" s="11"/>
      <c r="J23" s="3" t="s">
        <v>834</v>
      </c>
    </row>
    <row r="24" spans="1:11" x14ac:dyDescent="0.25">
      <c r="A24" s="10"/>
      <c r="B24" s="5"/>
      <c r="C24" s="5"/>
      <c r="D24" s="5"/>
      <c r="E24" s="5"/>
      <c r="F24" s="5"/>
      <c r="G24" s="5"/>
      <c r="H24" s="11"/>
      <c r="J24" s="3" t="s">
        <v>835</v>
      </c>
    </row>
    <row r="25" spans="1:11" x14ac:dyDescent="0.25">
      <c r="A25" s="10"/>
      <c r="B25" s="6" t="s">
        <v>49</v>
      </c>
      <c r="C25" s="5"/>
      <c r="D25" s="5"/>
      <c r="E25" s="5"/>
      <c r="F25" s="5"/>
      <c r="G25" s="5"/>
      <c r="H25" s="11"/>
    </row>
    <row r="26" spans="1:11" x14ac:dyDescent="0.25">
      <c r="A26" s="10"/>
      <c r="B26" s="6" t="s">
        <v>50</v>
      </c>
      <c r="C26" s="5"/>
      <c r="D26" s="5"/>
      <c r="E26" s="5"/>
      <c r="F26" s="5"/>
      <c r="G26" s="5"/>
      <c r="H26" s="11"/>
    </row>
    <row r="27" spans="1:11" x14ac:dyDescent="0.25">
      <c r="A27" s="257"/>
      <c r="B27" s="260"/>
      <c r="C27" s="260"/>
      <c r="D27" s="260"/>
      <c r="E27" s="260"/>
      <c r="F27" s="260"/>
      <c r="G27" s="260"/>
      <c r="H27" s="261"/>
    </row>
    <row r="28" spans="1:11" x14ac:dyDescent="0.25">
      <c r="A28" s="14" t="s">
        <v>4</v>
      </c>
      <c r="B28" s="260" t="s">
        <v>829</v>
      </c>
      <c r="C28" s="260"/>
      <c r="D28" s="260"/>
      <c r="E28" s="260"/>
      <c r="F28" s="260"/>
      <c r="G28" s="260"/>
      <c r="H28" s="261"/>
    </row>
    <row r="29" spans="1:11" ht="15.75" thickBot="1" x14ac:dyDescent="0.3">
      <c r="A29" s="13">
        <f ca="1">INDEX('Point Grid'!$C$8:$I$27,MATCH($A$1,'Point Grid'!$A$8:$A$27,0),MATCH(A28,'Point Grid'!$C$7:$I$7,0))</f>
        <v>0.75</v>
      </c>
      <c r="B29" s="260" t="s">
        <v>830</v>
      </c>
      <c r="C29" s="260"/>
      <c r="D29" s="260"/>
      <c r="E29" s="260"/>
      <c r="F29" s="260"/>
      <c r="G29" s="260"/>
      <c r="H29" s="261"/>
    </row>
    <row r="30" spans="1:11" ht="15.75" thickBot="1" x14ac:dyDescent="0.3">
      <c r="A30" s="4">
        <v>0.75</v>
      </c>
      <c r="B30" s="364" t="s">
        <v>838</v>
      </c>
      <c r="C30" s="260"/>
      <c r="D30" s="260"/>
      <c r="E30" s="260"/>
      <c r="F30" s="260"/>
      <c r="G30" s="260"/>
      <c r="H30" s="261"/>
    </row>
    <row r="31" spans="1:11" x14ac:dyDescent="0.25">
      <c r="A31" s="257"/>
      <c r="B31" s="364" t="s">
        <v>839</v>
      </c>
      <c r="C31" s="260"/>
      <c r="D31" s="260"/>
      <c r="E31" s="260"/>
      <c r="F31" s="260"/>
      <c r="G31" s="260"/>
      <c r="H31" s="261"/>
    </row>
    <row r="32" spans="1:11" x14ac:dyDescent="0.25">
      <c r="A32" s="257"/>
      <c r="B32" s="364" t="s">
        <v>836</v>
      </c>
      <c r="C32" s="260"/>
      <c r="D32" s="260"/>
      <c r="E32" s="260"/>
      <c r="F32" s="260"/>
      <c r="G32" s="260"/>
      <c r="H32" s="261"/>
    </row>
    <row r="33" spans="1:8" x14ac:dyDescent="0.25">
      <c r="A33" s="257"/>
      <c r="B33" s="364" t="s">
        <v>837</v>
      </c>
      <c r="C33" s="260"/>
      <c r="D33" s="260"/>
      <c r="E33" s="260"/>
      <c r="F33" s="260"/>
      <c r="G33" s="260"/>
      <c r="H33" s="261"/>
    </row>
    <row r="34" spans="1:8" ht="15.75" thickBot="1" x14ac:dyDescent="0.3">
      <c r="A34" s="277"/>
      <c r="B34" s="365" t="s">
        <v>840</v>
      </c>
      <c r="C34" s="344"/>
      <c r="D34" s="344"/>
      <c r="E34" s="344"/>
      <c r="F34" s="344"/>
      <c r="G34" s="344"/>
      <c r="H34" s="345"/>
    </row>
  </sheetData>
  <sheetProtection formatCells="0" formatColumns="0" formatRows="0"/>
  <mergeCells count="1">
    <mergeCell ref="G1:H1"/>
  </mergeCells>
  <conditionalFormatting sqref="B1">
    <cfRule type="cellIs" dxfId="59" priority="1" operator="equal">
      <formula>"Incomplete"</formula>
    </cfRule>
    <cfRule type="cellIs" dxfId="58" priority="2" operator="equal">
      <formula>"Flag for Review"</formula>
    </cfRule>
    <cfRule type="cellIs" dxfId="57" priority="3" operator="equal">
      <formula>"Finished"</formula>
    </cfRule>
  </conditionalFormatting>
  <dataValidations count="2">
    <dataValidation type="decimal" allowBlank="1" showInputMessage="1" showErrorMessage="1" sqref="A12 A8 A30" xr:uid="{515640D4-3053-4E87-B649-9056EB97A381}">
      <formula1>0</formula1>
      <formula2>A7</formula2>
    </dataValidation>
    <dataValidation type="list" allowBlank="1" showInputMessage="1" showErrorMessage="1" sqref="B1" xr:uid="{CAA4D190-DCE5-4ADE-83F8-9599B8EEAD2F}">
      <formula1>"Finished, Flag for Review, Incomplete"</formula1>
    </dataValidation>
  </dataValidations>
  <hyperlinks>
    <hyperlink ref="G1" location="Navigator!A1" display="Navigator" xr:uid="{19070CCA-EBD0-4ECC-9DDB-5A77DAA509DB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96FB5-8651-4523-A05A-3D1F3F9FE09B}">
  <sheetPr codeName="Sheet5"/>
  <dimension ref="A1:L21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6" style="3" customWidth="1"/>
    <col min="3" max="5" width="9.28515625" style="3" customWidth="1"/>
    <col min="6" max="6" width="8.42578125" style="3" bestFit="1" customWidth="1"/>
    <col min="7" max="7" width="11.140625" style="3" bestFit="1" customWidth="1"/>
    <col min="8" max="8" width="5" style="3" customWidth="1"/>
    <col min="9" max="9" width="4.140625" style="3" customWidth="1"/>
    <col min="10" max="10" width="3.7109375" style="40" customWidth="1"/>
    <col min="11" max="16384" width="9.140625" style="3"/>
  </cols>
  <sheetData>
    <row r="1" spans="1:12" ht="15.75" x14ac:dyDescent="0.25">
      <c r="A1" s="8">
        <f ca="1">VALUE(MID(CELL("filename",A1),FIND("]",CELL("filename",A1))+1,LEN(CELL("filename",A1))-FIND("]",CELL("filename",A1))+1))</f>
        <v>3</v>
      </c>
      <c r="B1" s="57" t="s">
        <v>604</v>
      </c>
      <c r="C1" s="57"/>
      <c r="D1" s="57"/>
      <c r="E1" s="57"/>
      <c r="F1" s="9"/>
      <c r="G1" s="9"/>
      <c r="H1" s="418" t="s">
        <v>41</v>
      </c>
      <c r="I1" s="419"/>
      <c r="K1" s="58" t="s">
        <v>31</v>
      </c>
    </row>
    <row r="2" spans="1:12" x14ac:dyDescent="0.25">
      <c r="A2" s="10"/>
      <c r="B2" s="5"/>
      <c r="C2" s="5"/>
      <c r="D2" s="5"/>
      <c r="E2" s="5"/>
      <c r="F2" s="5"/>
      <c r="G2" s="5"/>
      <c r="H2" s="5"/>
      <c r="I2" s="11"/>
      <c r="J2" s="40" t="s">
        <v>605</v>
      </c>
      <c r="K2" s="3" t="s">
        <v>499</v>
      </c>
    </row>
    <row r="3" spans="1:12" x14ac:dyDescent="0.25">
      <c r="A3" s="12" t="s">
        <v>14</v>
      </c>
      <c r="B3" s="5" t="s">
        <v>53</v>
      </c>
      <c r="C3" s="5"/>
      <c r="D3" s="5"/>
      <c r="E3" s="5"/>
      <c r="F3" s="5"/>
      <c r="G3" s="5"/>
      <c r="H3" s="5"/>
      <c r="I3" s="11"/>
      <c r="K3" s="3" t="s">
        <v>500</v>
      </c>
    </row>
    <row r="4" spans="1:12" x14ac:dyDescent="0.25">
      <c r="A4" s="13">
        <f ca="1">INDEX('Point Grid'!B:B,MATCH('3'!A1,'Point Grid'!A:A,0))</f>
        <v>2.5</v>
      </c>
      <c r="B4" s="5"/>
      <c r="C4" s="5"/>
      <c r="D4" s="5"/>
      <c r="E4" s="5"/>
      <c r="F4" s="5"/>
      <c r="G4" s="5"/>
      <c r="H4" s="5"/>
      <c r="I4" s="11"/>
      <c r="K4" s="3" t="s">
        <v>509</v>
      </c>
    </row>
    <row r="5" spans="1:12" x14ac:dyDescent="0.25">
      <c r="A5" s="257"/>
      <c r="B5" s="282"/>
      <c r="C5" s="283"/>
      <c r="D5" s="283"/>
      <c r="E5" s="283"/>
      <c r="F5" s="412"/>
      <c r="G5" s="89" t="s">
        <v>302</v>
      </c>
      <c r="H5" s="284"/>
      <c r="I5" s="261"/>
    </row>
    <row r="6" spans="1:12" x14ac:dyDescent="0.25">
      <c r="A6" s="10"/>
      <c r="B6" s="67" t="s">
        <v>54</v>
      </c>
      <c r="C6" s="69"/>
      <c r="D6" s="69"/>
      <c r="E6" s="69"/>
      <c r="F6" s="413" t="s">
        <v>856</v>
      </c>
      <c r="G6" s="49" t="s">
        <v>664</v>
      </c>
      <c r="H6" s="68" t="s">
        <v>55</v>
      </c>
      <c r="I6" s="11"/>
      <c r="K6" s="3" t="s">
        <v>505</v>
      </c>
    </row>
    <row r="7" spans="1:12" x14ac:dyDescent="0.25">
      <c r="A7" s="10"/>
      <c r="B7" s="65" t="s">
        <v>56</v>
      </c>
      <c r="C7" s="5"/>
      <c r="D7" s="5"/>
      <c r="E7" s="166"/>
      <c r="F7" s="66" t="s">
        <v>16</v>
      </c>
      <c r="G7" s="48">
        <v>5</v>
      </c>
      <c r="H7" s="66">
        <v>435</v>
      </c>
      <c r="I7" s="11"/>
      <c r="K7" s="3" t="s">
        <v>506</v>
      </c>
    </row>
    <row r="8" spans="1:12" x14ac:dyDescent="0.25">
      <c r="A8" s="10"/>
      <c r="B8" s="65" t="s">
        <v>57</v>
      </c>
      <c r="C8" s="5"/>
      <c r="D8" s="5"/>
      <c r="E8" s="166"/>
      <c r="F8" s="66">
        <v>392</v>
      </c>
      <c r="G8" s="48">
        <v>11</v>
      </c>
      <c r="H8" s="66">
        <v>414</v>
      </c>
      <c r="I8" s="11"/>
      <c r="K8" s="3" t="s">
        <v>507</v>
      </c>
      <c r="L8" s="404">
        <f>H7-2*G7</f>
        <v>425</v>
      </c>
    </row>
    <row r="9" spans="1:12" x14ac:dyDescent="0.25">
      <c r="A9" s="10"/>
      <c r="B9" s="65" t="s">
        <v>58</v>
      </c>
      <c r="C9" s="5"/>
      <c r="D9" s="5"/>
      <c r="E9" s="166"/>
      <c r="F9" s="66">
        <v>392</v>
      </c>
      <c r="G9" s="48" t="s">
        <v>60</v>
      </c>
      <c r="H9" s="66">
        <v>446</v>
      </c>
      <c r="I9" s="11"/>
    </row>
    <row r="10" spans="1:12" x14ac:dyDescent="0.25">
      <c r="A10" s="10"/>
      <c r="B10" s="67" t="s">
        <v>59</v>
      </c>
      <c r="C10" s="69"/>
      <c r="D10" s="69"/>
      <c r="E10" s="167"/>
      <c r="F10" s="68" t="s">
        <v>17</v>
      </c>
      <c r="G10" s="49" t="s">
        <v>61</v>
      </c>
      <c r="H10" s="68">
        <v>501</v>
      </c>
      <c r="I10" s="11"/>
      <c r="K10" s="3" t="s">
        <v>501</v>
      </c>
    </row>
    <row r="11" spans="1:12" x14ac:dyDescent="0.25">
      <c r="A11" s="10"/>
      <c r="B11" s="5"/>
      <c r="C11" s="5"/>
      <c r="D11" s="5"/>
      <c r="E11" s="5"/>
      <c r="F11" s="5"/>
      <c r="G11" s="5"/>
      <c r="H11" s="5"/>
      <c r="I11" s="11"/>
      <c r="K11" s="3" t="s">
        <v>502</v>
      </c>
    </row>
    <row r="12" spans="1:12" x14ac:dyDescent="0.25">
      <c r="A12" s="14" t="s">
        <v>2</v>
      </c>
      <c r="B12" s="5" t="s">
        <v>504</v>
      </c>
      <c r="C12" s="5"/>
      <c r="D12" s="5"/>
      <c r="E12" s="5"/>
      <c r="F12" s="5"/>
      <c r="G12" s="5"/>
      <c r="H12" s="5"/>
      <c r="I12" s="11"/>
      <c r="K12" s="3" t="s">
        <v>503</v>
      </c>
      <c r="L12" s="404">
        <f>(H9-F9)/2</f>
        <v>27</v>
      </c>
    </row>
    <row r="13" spans="1:12" ht="15.75" thickBot="1" x14ac:dyDescent="0.3">
      <c r="A13" s="13">
        <f ca="1">INDEX('Point Grid'!$C$8:$I$27,MATCH($A$1,'Point Grid'!$A$8:$A$27,0),MATCH(A12,'Point Grid'!$C$7:$I$7,0))</f>
        <v>2</v>
      </c>
      <c r="B13" s="5"/>
      <c r="C13" s="5"/>
      <c r="D13" s="5"/>
      <c r="E13" s="5"/>
      <c r="F13" s="5"/>
      <c r="G13" s="5"/>
      <c r="H13" s="5"/>
      <c r="I13" s="11"/>
      <c r="J13" s="3"/>
    </row>
    <row r="14" spans="1:12" ht="15.75" thickBot="1" x14ac:dyDescent="0.3">
      <c r="A14" s="4">
        <v>2</v>
      </c>
      <c r="B14" s="10"/>
      <c r="C14" s="5"/>
      <c r="D14" s="5"/>
      <c r="E14" s="5"/>
      <c r="F14" s="5"/>
      <c r="G14" s="5"/>
      <c r="H14" s="5"/>
      <c r="I14" s="11"/>
      <c r="J14" s="3"/>
      <c r="K14" s="3" t="s">
        <v>511</v>
      </c>
    </row>
    <row r="15" spans="1:12" x14ac:dyDescent="0.25">
      <c r="A15" s="10"/>
      <c r="B15" s="5"/>
      <c r="C15" s="5"/>
      <c r="D15" s="5"/>
      <c r="E15" s="5"/>
      <c r="F15" s="5"/>
      <c r="G15" s="5"/>
      <c r="H15" s="5"/>
      <c r="I15" s="11"/>
      <c r="K15" s="3" t="s">
        <v>510</v>
      </c>
      <c r="L15" s="404">
        <f>L12+10</f>
        <v>37</v>
      </c>
    </row>
    <row r="16" spans="1:12" x14ac:dyDescent="0.25">
      <c r="A16" s="14" t="s">
        <v>3</v>
      </c>
      <c r="B16" s="5" t="s">
        <v>514</v>
      </c>
      <c r="C16" s="5"/>
      <c r="D16" s="5"/>
      <c r="E16" s="5"/>
      <c r="F16" s="5"/>
      <c r="G16" s="5"/>
      <c r="H16" s="5"/>
      <c r="I16" s="11"/>
    </row>
    <row r="17" spans="1:12" ht="15.75" thickBot="1" x14ac:dyDescent="0.3">
      <c r="A17" s="13">
        <f ca="1">INDEX('Point Grid'!$C$8:$I$27,MATCH($A$1,'Point Grid'!$A$8:$A$27,0),MATCH(A16,'Point Grid'!$C$7:$I$7,0))</f>
        <v>0.5</v>
      </c>
      <c r="B17" s="5"/>
      <c r="C17" s="5"/>
      <c r="D17" s="5"/>
      <c r="E17" s="5"/>
      <c r="F17" s="5"/>
      <c r="G17" s="5"/>
      <c r="H17" s="5"/>
      <c r="I17" s="11"/>
      <c r="K17" s="3" t="s">
        <v>508</v>
      </c>
    </row>
    <row r="18" spans="1:12" ht="15.75" thickBot="1" x14ac:dyDescent="0.3">
      <c r="A18" s="4">
        <v>0.5</v>
      </c>
      <c r="B18" s="5"/>
      <c r="C18" s="5"/>
      <c r="D18" s="5"/>
      <c r="E18" s="5"/>
      <c r="F18" s="5"/>
      <c r="G18" s="5"/>
      <c r="H18" s="5"/>
      <c r="I18" s="11"/>
      <c r="K18" s="3" t="s">
        <v>512</v>
      </c>
    </row>
    <row r="19" spans="1:12" ht="15.75" thickBot="1" x14ac:dyDescent="0.3">
      <c r="A19" s="15"/>
      <c r="B19" s="16"/>
      <c r="C19" s="16"/>
      <c r="D19" s="16"/>
      <c r="E19" s="16"/>
      <c r="F19" s="16"/>
      <c r="G19" s="16"/>
      <c r="H19" s="16"/>
      <c r="I19" s="17"/>
      <c r="K19" s="3" t="s">
        <v>270</v>
      </c>
      <c r="L19" s="404">
        <f>H10-2*L15</f>
        <v>427</v>
      </c>
    </row>
    <row r="21" spans="1:12" x14ac:dyDescent="0.25">
      <c r="J21" s="40" t="s">
        <v>618</v>
      </c>
      <c r="K21" s="3" t="s">
        <v>513</v>
      </c>
    </row>
  </sheetData>
  <sheetProtection formatCells="0" formatColumns="0" formatRows="0"/>
  <mergeCells count="1">
    <mergeCell ref="H1:I1"/>
  </mergeCells>
  <conditionalFormatting sqref="B1:E1">
    <cfRule type="cellIs" dxfId="56" priority="1" operator="equal">
      <formula>"Incomplete"</formula>
    </cfRule>
    <cfRule type="cellIs" dxfId="55" priority="2" operator="equal">
      <formula>"Flag for Review"</formula>
    </cfRule>
    <cfRule type="cellIs" dxfId="54" priority="3" operator="equal">
      <formula>"Finished"</formula>
    </cfRule>
  </conditionalFormatting>
  <dataValidations count="2">
    <dataValidation type="decimal" allowBlank="1" showInputMessage="1" showErrorMessage="1" sqref="A14 A18" xr:uid="{2A44F8C4-A61B-4E56-91D4-FCCE97DDB406}">
      <formula1>0</formula1>
      <formula2>A13</formula2>
    </dataValidation>
    <dataValidation type="list" allowBlank="1" showInputMessage="1" showErrorMessage="1" sqref="B1:E1" xr:uid="{F7E5C8AD-7749-4FAA-9EF5-F783D5CC3292}">
      <formula1>"Finished, Flag for Review, Incomplete"</formula1>
    </dataValidation>
  </dataValidations>
  <hyperlinks>
    <hyperlink ref="H1" location="Navigator!A1" display="Navigator" xr:uid="{F297BB44-797A-47E7-93AF-1A2EDF79C208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4C8D8-6961-4C38-ACAF-F4B55D91A9A8}">
  <sheetPr codeName="Sheet6"/>
  <dimension ref="A1:L38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20.28515625" style="3" customWidth="1"/>
    <col min="3" max="6" width="9.28515625" style="3" customWidth="1"/>
    <col min="7" max="7" width="11" style="3" customWidth="1"/>
    <col min="8" max="8" width="9.28515625" style="3" customWidth="1"/>
    <col min="9" max="9" width="3.7109375" style="40" customWidth="1"/>
    <col min="10" max="10" width="9.140625" style="3"/>
    <col min="11" max="11" width="11" style="3" bestFit="1" customWidth="1"/>
    <col min="12" max="16384" width="9.140625" style="3"/>
  </cols>
  <sheetData>
    <row r="1" spans="1:12" ht="15.75" x14ac:dyDescent="0.25">
      <c r="A1" s="8">
        <f ca="1">VALUE(MID(CELL("filename",A1),FIND("]",CELL("filename",A1))+1,LEN(CELL("filename",A1))-FIND("]",CELL("filename",A1))+1))</f>
        <v>4</v>
      </c>
      <c r="B1" s="57" t="s">
        <v>604</v>
      </c>
      <c r="C1" s="9"/>
      <c r="D1" s="9"/>
      <c r="E1" s="9"/>
      <c r="F1" s="9"/>
      <c r="G1" s="418" t="s">
        <v>41</v>
      </c>
      <c r="H1" s="419"/>
      <c r="J1" s="58" t="s">
        <v>31</v>
      </c>
    </row>
    <row r="2" spans="1:12" x14ac:dyDescent="0.25">
      <c r="A2" s="10"/>
      <c r="B2" s="5"/>
      <c r="C2" s="5"/>
      <c r="D2" s="5"/>
      <c r="E2" s="5"/>
      <c r="F2" s="5"/>
      <c r="G2" s="5"/>
      <c r="H2" s="11"/>
      <c r="I2" s="40" t="s">
        <v>605</v>
      </c>
    </row>
    <row r="3" spans="1:12" x14ac:dyDescent="0.25">
      <c r="A3" s="12" t="s">
        <v>14</v>
      </c>
      <c r="B3" s="5" t="s">
        <v>62</v>
      </c>
      <c r="C3" s="5"/>
      <c r="D3" s="5"/>
      <c r="E3" s="5"/>
      <c r="F3" s="5"/>
      <c r="G3" s="5"/>
      <c r="H3" s="11"/>
    </row>
    <row r="4" spans="1:12" x14ac:dyDescent="0.25">
      <c r="A4" s="13">
        <f ca="1">INDEX('Point Grid'!B:B,MATCH('4'!A1,'Point Grid'!A:A,0))</f>
        <v>2</v>
      </c>
      <c r="B4" s="69"/>
      <c r="C4" s="69"/>
      <c r="D4" s="69"/>
      <c r="E4" s="5"/>
      <c r="F4" s="5"/>
      <c r="G4" s="5"/>
      <c r="H4" s="11"/>
    </row>
    <row r="5" spans="1:12" x14ac:dyDescent="0.25">
      <c r="A5" s="10"/>
      <c r="B5" s="5" t="s">
        <v>63</v>
      </c>
      <c r="C5" s="5" t="s">
        <v>64</v>
      </c>
      <c r="D5" s="5"/>
      <c r="E5" s="5"/>
      <c r="F5" s="5"/>
      <c r="G5" s="5"/>
      <c r="H5" s="11"/>
    </row>
    <row r="6" spans="1:12" x14ac:dyDescent="0.25">
      <c r="A6" s="10"/>
      <c r="B6" s="5" t="s">
        <v>65</v>
      </c>
      <c r="C6" s="5" t="s">
        <v>66</v>
      </c>
      <c r="D6" s="5"/>
      <c r="E6" s="5"/>
      <c r="F6" s="5"/>
      <c r="G6" s="5"/>
      <c r="H6" s="11"/>
    </row>
    <row r="7" spans="1:12" x14ac:dyDescent="0.25">
      <c r="A7" s="10"/>
      <c r="B7" s="69" t="s">
        <v>67</v>
      </c>
      <c r="C7" s="69" t="s">
        <v>68</v>
      </c>
      <c r="D7" s="69"/>
      <c r="E7" s="5"/>
      <c r="F7" s="5"/>
      <c r="G7" s="5"/>
      <c r="H7" s="11"/>
      <c r="J7" s="3" t="s">
        <v>515</v>
      </c>
    </row>
    <row r="8" spans="1:12" x14ac:dyDescent="0.25">
      <c r="A8" s="10"/>
      <c r="B8" s="5"/>
      <c r="C8" s="5"/>
      <c r="D8" s="5"/>
      <c r="E8" s="5"/>
      <c r="F8" s="5"/>
      <c r="G8" s="5"/>
      <c r="H8" s="11"/>
      <c r="J8" s="3" t="s">
        <v>516</v>
      </c>
      <c r="L8" s="191">
        <f>LN(B28/(1-B28))-D15-D21-D25</f>
        <v>-0.95866637333127591</v>
      </c>
    </row>
    <row r="9" spans="1:12" x14ac:dyDescent="0.25">
      <c r="A9" s="260"/>
      <c r="B9" s="260"/>
      <c r="C9" s="285" t="s">
        <v>666</v>
      </c>
      <c r="D9" s="260"/>
      <c r="E9" s="260"/>
      <c r="F9" s="260"/>
      <c r="G9" s="260"/>
      <c r="H9" s="261"/>
    </row>
    <row r="10" spans="1:12" x14ac:dyDescent="0.25">
      <c r="A10" s="10"/>
      <c r="B10" s="237" t="s">
        <v>69</v>
      </c>
      <c r="C10" s="70" t="s">
        <v>665</v>
      </c>
      <c r="D10" s="70"/>
      <c r="E10" s="5"/>
      <c r="F10" s="5"/>
      <c r="G10" s="5"/>
      <c r="H10" s="11"/>
      <c r="J10" s="3" t="s">
        <v>517</v>
      </c>
    </row>
    <row r="11" spans="1:12" x14ac:dyDescent="0.25">
      <c r="A11" s="10"/>
      <c r="B11" s="6" t="s">
        <v>70</v>
      </c>
      <c r="C11" s="238">
        <v>1</v>
      </c>
      <c r="D11" s="238" t="s">
        <v>79</v>
      </c>
      <c r="E11" s="5"/>
      <c r="F11" s="5"/>
      <c r="G11" s="5"/>
      <c r="H11" s="11"/>
      <c r="J11" s="3" t="s">
        <v>518</v>
      </c>
      <c r="L11" s="236">
        <f>L8+D16+D20+D24</f>
        <v>0.23033362666872403</v>
      </c>
    </row>
    <row r="12" spans="1:12" x14ac:dyDescent="0.25">
      <c r="A12" s="10"/>
      <c r="B12" s="6"/>
      <c r="C12" s="238"/>
      <c r="D12" s="238"/>
      <c r="E12" s="5"/>
      <c r="F12" s="5"/>
      <c r="G12" s="5"/>
      <c r="H12" s="11"/>
    </row>
    <row r="13" spans="1:12" x14ac:dyDescent="0.25">
      <c r="A13" s="10"/>
      <c r="B13" s="6" t="s">
        <v>71</v>
      </c>
      <c r="C13" s="238">
        <v>2</v>
      </c>
      <c r="D13" s="238"/>
      <c r="E13" s="5"/>
      <c r="F13" s="5"/>
      <c r="G13" s="5"/>
      <c r="H13" s="11"/>
      <c r="J13" s="3" t="s">
        <v>519</v>
      </c>
      <c r="L13" s="375">
        <f>EXP(L11)</f>
        <v>1.2590199825111779</v>
      </c>
    </row>
    <row r="14" spans="1:12" x14ac:dyDescent="0.25">
      <c r="A14" s="10"/>
      <c r="B14" s="6">
        <v>1</v>
      </c>
      <c r="C14" s="238">
        <v>1</v>
      </c>
      <c r="D14" s="238">
        <v>0.28799999999999998</v>
      </c>
      <c r="E14" s="5"/>
      <c r="F14" s="5"/>
      <c r="G14" s="5"/>
      <c r="H14" s="11"/>
    </row>
    <row r="15" spans="1:12" x14ac:dyDescent="0.25">
      <c r="A15" s="10"/>
      <c r="B15" s="6">
        <v>2</v>
      </c>
      <c r="C15" s="238">
        <v>1</v>
      </c>
      <c r="D15" s="238">
        <v>6.4000000000000001E-2</v>
      </c>
      <c r="E15" s="5"/>
      <c r="F15" s="5"/>
      <c r="G15" s="5"/>
      <c r="H15" s="11"/>
      <c r="I15" s="40" t="s">
        <v>618</v>
      </c>
      <c r="J15" s="3" t="s">
        <v>521</v>
      </c>
    </row>
    <row r="16" spans="1:12" x14ac:dyDescent="0.25">
      <c r="A16" s="10"/>
      <c r="B16" s="6">
        <v>3</v>
      </c>
      <c r="C16" s="238">
        <v>0</v>
      </c>
      <c r="D16" s="238">
        <v>0</v>
      </c>
      <c r="E16" s="5"/>
      <c r="F16" s="5"/>
      <c r="G16" s="5"/>
      <c r="H16" s="11"/>
      <c r="J16" s="3" t="s">
        <v>522</v>
      </c>
    </row>
    <row r="17" spans="1:10" x14ac:dyDescent="0.25">
      <c r="A17" s="10"/>
      <c r="B17" s="6"/>
      <c r="C17" s="238"/>
      <c r="D17" s="238"/>
      <c r="E17" s="5"/>
      <c r="F17" s="5"/>
      <c r="G17" s="5"/>
      <c r="H17" s="11"/>
      <c r="J17" s="3" t="s">
        <v>523</v>
      </c>
    </row>
    <row r="18" spans="1:10" x14ac:dyDescent="0.25">
      <c r="A18" s="10"/>
      <c r="B18" s="6" t="s">
        <v>72</v>
      </c>
      <c r="C18" s="238">
        <v>2</v>
      </c>
      <c r="D18" s="238"/>
      <c r="E18" s="5"/>
      <c r="F18" s="5"/>
      <c r="G18" s="5"/>
      <c r="H18" s="11"/>
    </row>
    <row r="19" spans="1:10" x14ac:dyDescent="0.25">
      <c r="A19" s="10"/>
      <c r="B19" s="6" t="s">
        <v>16</v>
      </c>
      <c r="C19" s="238">
        <v>1</v>
      </c>
      <c r="D19" s="238">
        <v>-3.5999999999999997E-2</v>
      </c>
      <c r="E19" s="5"/>
      <c r="F19" s="5"/>
      <c r="G19" s="5"/>
      <c r="H19" s="11"/>
    </row>
    <row r="20" spans="1:10" x14ac:dyDescent="0.25">
      <c r="A20" s="10"/>
      <c r="B20" s="6" t="s">
        <v>17</v>
      </c>
      <c r="C20" s="238">
        <v>1</v>
      </c>
      <c r="D20" s="238">
        <v>5.2999999999999999E-2</v>
      </c>
      <c r="E20" s="5"/>
      <c r="F20" s="5"/>
      <c r="G20" s="5"/>
      <c r="H20" s="11"/>
    </row>
    <row r="21" spans="1:10" x14ac:dyDescent="0.25">
      <c r="A21" s="10"/>
      <c r="B21" s="6" t="s">
        <v>18</v>
      </c>
      <c r="C21" s="238">
        <v>0</v>
      </c>
      <c r="D21" s="238">
        <v>0</v>
      </c>
      <c r="E21" s="5"/>
      <c r="F21" s="5"/>
      <c r="G21" s="5"/>
      <c r="H21" s="11"/>
    </row>
    <row r="22" spans="1:10" x14ac:dyDescent="0.25">
      <c r="A22" s="10"/>
      <c r="B22" s="6"/>
      <c r="C22" s="238"/>
      <c r="D22" s="238"/>
      <c r="E22" s="5"/>
      <c r="F22" s="5"/>
      <c r="G22" s="5"/>
      <c r="H22" s="11"/>
    </row>
    <row r="23" spans="1:10" x14ac:dyDescent="0.25">
      <c r="A23" s="10"/>
      <c r="B23" s="6" t="s">
        <v>73</v>
      </c>
      <c r="C23" s="238">
        <v>2</v>
      </c>
      <c r="D23" s="238"/>
      <c r="E23" s="5"/>
      <c r="F23" s="5"/>
      <c r="G23" s="5"/>
      <c r="H23" s="11"/>
    </row>
    <row r="24" spans="1:10" x14ac:dyDescent="0.25">
      <c r="A24" s="10"/>
      <c r="B24" s="6" t="s">
        <v>74</v>
      </c>
      <c r="C24" s="238">
        <v>1</v>
      </c>
      <c r="D24" s="238">
        <v>1.1359999999999999</v>
      </c>
      <c r="E24" s="5"/>
      <c r="F24" s="5"/>
      <c r="G24" s="5"/>
      <c r="H24" s="11"/>
    </row>
    <row r="25" spans="1:10" x14ac:dyDescent="0.25">
      <c r="A25" s="10"/>
      <c r="B25" s="6" t="s">
        <v>75</v>
      </c>
      <c r="C25" s="238">
        <v>1</v>
      </c>
      <c r="D25" s="238">
        <v>-0.371</v>
      </c>
      <c r="E25" s="5"/>
      <c r="F25" s="5"/>
      <c r="G25" s="5"/>
      <c r="H25" s="11"/>
    </row>
    <row r="26" spans="1:10" x14ac:dyDescent="0.25">
      <c r="A26" s="10"/>
      <c r="B26" s="237" t="s">
        <v>76</v>
      </c>
      <c r="C26" s="70">
        <v>0</v>
      </c>
      <c r="D26" s="70">
        <v>0</v>
      </c>
      <c r="E26" s="5"/>
      <c r="F26" s="5"/>
      <c r="G26" s="5"/>
      <c r="H26" s="11"/>
    </row>
    <row r="27" spans="1:10" x14ac:dyDescent="0.25">
      <c r="A27" s="10"/>
      <c r="B27" s="5"/>
      <c r="C27" s="5"/>
      <c r="D27" s="5"/>
      <c r="E27" s="5"/>
      <c r="F27" s="5"/>
      <c r="G27" s="5"/>
      <c r="H27" s="11"/>
    </row>
    <row r="28" spans="1:10" x14ac:dyDescent="0.25">
      <c r="A28" s="10"/>
      <c r="B28" s="64">
        <v>0.22</v>
      </c>
      <c r="C28" s="63" t="s">
        <v>667</v>
      </c>
      <c r="D28" s="169"/>
      <c r="E28" s="169"/>
      <c r="F28" s="169"/>
      <c r="G28" s="195"/>
      <c r="H28" s="11"/>
    </row>
    <row r="29" spans="1:10" x14ac:dyDescent="0.25">
      <c r="A29" s="10"/>
      <c r="B29" s="160"/>
      <c r="C29" s="67" t="s">
        <v>668</v>
      </c>
      <c r="D29" s="69"/>
      <c r="E29" s="69"/>
      <c r="F29" s="69"/>
      <c r="G29" s="167"/>
      <c r="H29" s="11"/>
    </row>
    <row r="30" spans="1:10" x14ac:dyDescent="0.25">
      <c r="A30" s="10"/>
      <c r="B30" s="5"/>
      <c r="C30" s="5"/>
      <c r="D30" s="5"/>
      <c r="E30" s="5"/>
      <c r="F30" s="5"/>
      <c r="G30" s="5"/>
      <c r="H30" s="11"/>
    </row>
    <row r="31" spans="1:10" x14ac:dyDescent="0.25">
      <c r="A31" s="14" t="s">
        <v>2</v>
      </c>
      <c r="B31" s="5" t="s">
        <v>77</v>
      </c>
      <c r="C31" s="5"/>
      <c r="D31" s="5"/>
      <c r="E31" s="5"/>
      <c r="F31" s="5"/>
      <c r="G31" s="5"/>
      <c r="H31" s="11"/>
    </row>
    <row r="32" spans="1:10" ht="15.75" thickBot="1" x14ac:dyDescent="0.3">
      <c r="A32" s="13">
        <f ca="1">INDEX('Point Grid'!$C$8:$I$27,MATCH($A$1,'Point Grid'!$A$8:$A$27,0),MATCH(A31,'Point Grid'!$C$7:$I$7,0))</f>
        <v>1.5</v>
      </c>
      <c r="B32" s="5" t="s">
        <v>78</v>
      </c>
      <c r="C32" s="5"/>
      <c r="D32" s="5"/>
      <c r="E32" s="5"/>
      <c r="F32" s="5"/>
      <c r="G32" s="5"/>
      <c r="H32" s="11"/>
    </row>
    <row r="33" spans="1:8" ht="15.75" thickBot="1" x14ac:dyDescent="0.3">
      <c r="A33" s="4">
        <v>1.5</v>
      </c>
      <c r="B33" s="10"/>
      <c r="C33" s="5"/>
      <c r="D33" s="5"/>
      <c r="E33" s="5"/>
      <c r="F33" s="5"/>
      <c r="G33" s="5"/>
      <c r="H33" s="11"/>
    </row>
    <row r="34" spans="1:8" x14ac:dyDescent="0.25">
      <c r="A34" s="10"/>
      <c r="B34" s="5"/>
      <c r="C34" s="5"/>
      <c r="D34" s="5"/>
      <c r="E34" s="5"/>
      <c r="F34" s="5"/>
      <c r="G34" s="5"/>
      <c r="H34" s="11"/>
    </row>
    <row r="35" spans="1:8" x14ac:dyDescent="0.25">
      <c r="A35" s="14" t="s">
        <v>3</v>
      </c>
      <c r="B35" s="5" t="s">
        <v>520</v>
      </c>
      <c r="C35" s="5"/>
      <c r="D35" s="5"/>
      <c r="E35" s="5"/>
      <c r="F35" s="5"/>
      <c r="G35" s="5"/>
      <c r="H35" s="11"/>
    </row>
    <row r="36" spans="1:8" ht="15.75" thickBot="1" x14ac:dyDescent="0.3">
      <c r="A36" s="13">
        <f ca="1">INDEX('Point Grid'!$C$8:$I$27,MATCH($A$1,'Point Grid'!$A$8:$A$27,0),MATCH(A35,'Point Grid'!$C$7:$I$7,0))</f>
        <v>0.5</v>
      </c>
      <c r="B36" s="5"/>
      <c r="C36" s="5"/>
      <c r="D36" s="5"/>
      <c r="E36" s="5"/>
      <c r="F36" s="5"/>
      <c r="G36" s="5"/>
      <c r="H36" s="11"/>
    </row>
    <row r="37" spans="1:8" ht="15.75" thickBot="1" x14ac:dyDescent="0.3">
      <c r="A37" s="4">
        <v>0.5</v>
      </c>
      <c r="B37" s="5"/>
      <c r="C37" s="5"/>
      <c r="D37" s="5"/>
      <c r="E37" s="5"/>
      <c r="F37" s="5"/>
      <c r="G37" s="5"/>
      <c r="H37" s="11"/>
    </row>
    <row r="38" spans="1:8" ht="15.75" thickBot="1" x14ac:dyDescent="0.3">
      <c r="A38" s="15"/>
      <c r="B38" s="16"/>
      <c r="C38" s="16"/>
      <c r="D38" s="16"/>
      <c r="E38" s="16"/>
      <c r="F38" s="16"/>
      <c r="G38" s="16"/>
      <c r="H38" s="17"/>
    </row>
  </sheetData>
  <sheetProtection formatCells="0" formatColumns="0" formatRows="0"/>
  <mergeCells count="1">
    <mergeCell ref="G1:H1"/>
  </mergeCells>
  <conditionalFormatting sqref="B1">
    <cfRule type="cellIs" dxfId="53" priority="1" operator="equal">
      <formula>"Incomplete"</formula>
    </cfRule>
    <cfRule type="cellIs" dxfId="52" priority="2" operator="equal">
      <formula>"Flag for Review"</formula>
    </cfRule>
    <cfRule type="cellIs" dxfId="51" priority="3" operator="equal">
      <formula>"Finished"</formula>
    </cfRule>
  </conditionalFormatting>
  <dataValidations count="2">
    <dataValidation type="list" allowBlank="1" showInputMessage="1" showErrorMessage="1" sqref="B1" xr:uid="{E893C6B9-8ACC-4EF7-8712-75A79E229237}">
      <formula1>"Finished, Flag for Review, Incomplete"</formula1>
    </dataValidation>
    <dataValidation type="decimal" allowBlank="1" showInputMessage="1" showErrorMessage="1" sqref="A33 A37" xr:uid="{F3DAB22E-9B46-4BBE-A3EB-49FC64AC14B9}">
      <formula1>0</formula1>
      <formula2>A32</formula2>
    </dataValidation>
  </dataValidations>
  <hyperlinks>
    <hyperlink ref="G1" location="Navigator!A1" display="Navigator" xr:uid="{7A7A9A65-4B89-4F51-A756-D25DE37B6901}"/>
  </hyperlink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517683-E141-42D9-8855-BD9DDED320AC}">
  <sheetPr codeName="Sheet7"/>
  <dimension ref="A1:N44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6.85546875" style="3" customWidth="1"/>
    <col min="3" max="3" width="21.85546875" style="3" customWidth="1"/>
    <col min="4" max="4" width="10.85546875" style="3" bestFit="1" customWidth="1"/>
    <col min="5" max="5" width="12.42578125" style="3" customWidth="1"/>
    <col min="6" max="6" width="12.5703125" style="3" customWidth="1"/>
    <col min="7" max="7" width="12.28515625" style="3" customWidth="1"/>
    <col min="8" max="8" width="3.7109375" style="40" customWidth="1"/>
    <col min="9" max="9" width="9.140625" style="3"/>
    <col min="10" max="10" width="10.42578125" style="3" bestFit="1" customWidth="1"/>
    <col min="11" max="11" width="9.140625" style="3"/>
    <col min="12" max="12" width="15.85546875" style="3" bestFit="1" customWidth="1"/>
    <col min="13" max="16384" width="9.140625" style="3"/>
  </cols>
  <sheetData>
    <row r="1" spans="1:14" ht="15.75" x14ac:dyDescent="0.25">
      <c r="A1" s="8">
        <f ca="1">VALUE(MID(CELL("filename",A1),FIND("]",CELL("filename",A1))+1,LEN(CELL("filename",A1))-FIND("]",CELL("filename",A1))+1))</f>
        <v>5</v>
      </c>
      <c r="B1" s="57" t="s">
        <v>604</v>
      </c>
      <c r="C1" s="9"/>
      <c r="D1" s="9"/>
      <c r="E1" s="9"/>
      <c r="F1" s="418" t="s">
        <v>41</v>
      </c>
      <c r="G1" s="419"/>
      <c r="I1" s="58" t="s">
        <v>31</v>
      </c>
    </row>
    <row r="2" spans="1:14" x14ac:dyDescent="0.25">
      <c r="A2" s="10"/>
      <c r="B2" s="5"/>
      <c r="C2" s="5"/>
      <c r="D2" s="5"/>
      <c r="E2" s="5"/>
      <c r="F2" s="5"/>
      <c r="G2" s="11"/>
      <c r="H2" s="40" t="s">
        <v>605</v>
      </c>
      <c r="I2" s="3" t="s">
        <v>527</v>
      </c>
    </row>
    <row r="3" spans="1:14" x14ac:dyDescent="0.25">
      <c r="A3" s="12" t="s">
        <v>14</v>
      </c>
      <c r="B3" s="5" t="s">
        <v>80</v>
      </c>
      <c r="C3" s="5"/>
      <c r="D3" s="5"/>
      <c r="E3" s="5"/>
      <c r="F3" s="5"/>
      <c r="G3" s="11"/>
      <c r="I3" s="3" t="s">
        <v>524</v>
      </c>
      <c r="J3" s="40">
        <f>D17+D18+D20+LN(D27/20)*D21+LN(D27/20)*D22</f>
        <v>9.472424822554073</v>
      </c>
    </row>
    <row r="4" spans="1:14" x14ac:dyDescent="0.25">
      <c r="A4" s="13">
        <f ca="1">INDEX('Point Grid'!B:B,MATCH('5'!A1,'Point Grid'!A:A,0))</f>
        <v>4.25</v>
      </c>
      <c r="B4" s="5" t="s">
        <v>81</v>
      </c>
      <c r="C4" s="5"/>
      <c r="D4" s="5"/>
      <c r="E4" s="5"/>
      <c r="F4" s="5"/>
      <c r="G4" s="11"/>
      <c r="I4" s="3" t="s">
        <v>525</v>
      </c>
      <c r="J4" s="124">
        <f>EXP(J3)</f>
        <v>12996.362928310509</v>
      </c>
    </row>
    <row r="5" spans="1:14" x14ac:dyDescent="0.25">
      <c r="A5" s="10"/>
      <c r="B5" s="5" t="s">
        <v>84</v>
      </c>
      <c r="C5" s="5"/>
      <c r="D5" s="5"/>
      <c r="E5" s="5"/>
      <c r="F5" s="5"/>
      <c r="G5" s="11"/>
    </row>
    <row r="6" spans="1:14" x14ac:dyDescent="0.25">
      <c r="A6" s="10"/>
      <c r="B6" s="5"/>
      <c r="C6" s="5"/>
      <c r="D6" s="5"/>
      <c r="E6" s="5"/>
      <c r="F6" s="5"/>
      <c r="G6" s="11"/>
      <c r="I6" s="3" t="s">
        <v>526</v>
      </c>
    </row>
    <row r="7" spans="1:14" x14ac:dyDescent="0.25">
      <c r="A7" s="10"/>
      <c r="B7" s="5" t="s">
        <v>544</v>
      </c>
      <c r="C7" s="5"/>
      <c r="D7" s="5"/>
      <c r="E7" s="5"/>
      <c r="F7" s="5"/>
      <c r="G7" s="11"/>
      <c r="I7" s="3" t="s">
        <v>524</v>
      </c>
      <c r="J7" s="40">
        <f>D17+D18+0*D20+LN(D27/20)*D21+0*D22</f>
        <v>9.5865514036405628</v>
      </c>
    </row>
    <row r="8" spans="1:14" x14ac:dyDescent="0.25">
      <c r="A8" s="10"/>
      <c r="B8" s="5" t="s">
        <v>534</v>
      </c>
      <c r="C8" s="5"/>
      <c r="D8" s="5"/>
      <c r="E8" s="5"/>
      <c r="F8" s="5"/>
      <c r="G8" s="11"/>
      <c r="I8" s="3" t="s">
        <v>525</v>
      </c>
      <c r="J8" s="124">
        <f>EXP(J7)</f>
        <v>14567.545226670618</v>
      </c>
    </row>
    <row r="9" spans="1:14" x14ac:dyDescent="0.25">
      <c r="A9" s="10"/>
      <c r="B9" s="5" t="s">
        <v>85</v>
      </c>
      <c r="C9" s="5"/>
      <c r="D9" s="5"/>
      <c r="E9" s="5"/>
      <c r="F9" s="5"/>
      <c r="G9" s="11"/>
    </row>
    <row r="10" spans="1:14" x14ac:dyDescent="0.25">
      <c r="A10" s="10"/>
      <c r="B10" s="5" t="s">
        <v>86</v>
      </c>
      <c r="C10" s="5"/>
      <c r="D10" s="5"/>
      <c r="E10" s="5"/>
      <c r="F10" s="5"/>
      <c r="G10" s="11"/>
      <c r="I10" s="3" t="s">
        <v>528</v>
      </c>
      <c r="N10" s="375">
        <f>J4/J8</f>
        <v>0.89214502004884466</v>
      </c>
    </row>
    <row r="11" spans="1:14" x14ac:dyDescent="0.25">
      <c r="A11" s="10"/>
      <c r="B11" s="5" t="s">
        <v>82</v>
      </c>
      <c r="C11" s="5"/>
      <c r="D11" s="5"/>
      <c r="E11" s="5"/>
      <c r="F11" s="5"/>
      <c r="G11" s="11"/>
    </row>
    <row r="12" spans="1:14" x14ac:dyDescent="0.25">
      <c r="A12" s="10"/>
      <c r="B12" s="5" t="s">
        <v>83</v>
      </c>
      <c r="C12" s="5"/>
      <c r="D12" s="5"/>
      <c r="E12" s="5"/>
      <c r="F12" s="5"/>
      <c r="G12" s="11"/>
      <c r="H12" s="40" t="s">
        <v>618</v>
      </c>
      <c r="I12" s="3" t="s">
        <v>529</v>
      </c>
    </row>
    <row r="13" spans="1:14" x14ac:dyDescent="0.25">
      <c r="A13" s="10"/>
      <c r="B13" s="5" t="s">
        <v>533</v>
      </c>
      <c r="C13" s="5"/>
      <c r="D13" s="5"/>
      <c r="E13" s="5"/>
      <c r="F13" s="5"/>
      <c r="G13" s="11"/>
      <c r="I13" s="3" t="s">
        <v>530</v>
      </c>
    </row>
    <row r="14" spans="1:14" x14ac:dyDescent="0.25">
      <c r="A14" s="10"/>
      <c r="B14" s="5" t="s">
        <v>87</v>
      </c>
      <c r="C14" s="5"/>
      <c r="D14" s="5"/>
      <c r="E14" s="5"/>
      <c r="F14" s="5"/>
      <c r="G14" s="11"/>
      <c r="I14" s="3" t="s">
        <v>524</v>
      </c>
      <c r="J14" s="40">
        <f>D17+0+0+LN(20/20)*D21+0</f>
        <v>9.1197999999999997</v>
      </c>
    </row>
    <row r="15" spans="1:14" x14ac:dyDescent="0.25">
      <c r="A15" s="10"/>
      <c r="B15" s="5"/>
      <c r="C15" s="5"/>
      <c r="D15" s="5"/>
      <c r="E15" s="5"/>
      <c r="F15" s="5"/>
      <c r="G15" s="11"/>
      <c r="I15" s="3" t="s">
        <v>525</v>
      </c>
      <c r="J15" s="403">
        <f>EXP(J14)</f>
        <v>9134.3745588132515</v>
      </c>
    </row>
    <row r="16" spans="1:14" x14ac:dyDescent="0.25">
      <c r="A16" s="10"/>
      <c r="B16" s="5"/>
      <c r="C16" s="239" t="s">
        <v>69</v>
      </c>
      <c r="D16" s="71" t="s">
        <v>88</v>
      </c>
      <c r="E16" s="5"/>
      <c r="F16" s="5"/>
      <c r="G16" s="11"/>
    </row>
    <row r="17" spans="1:9" x14ac:dyDescent="0.25">
      <c r="A17" s="10"/>
      <c r="B17" s="5"/>
      <c r="C17" s="240" t="s">
        <v>70</v>
      </c>
      <c r="D17" s="66">
        <v>9.1197999999999997</v>
      </c>
      <c r="E17" s="5"/>
      <c r="F17" s="5"/>
      <c r="G17" s="11"/>
      <c r="H17" s="40" t="s">
        <v>658</v>
      </c>
      <c r="I17" s="3" t="s">
        <v>536</v>
      </c>
    </row>
    <row r="18" spans="1:9" x14ac:dyDescent="0.25">
      <c r="A18" s="10"/>
      <c r="B18" s="5"/>
      <c r="C18" s="240" t="s">
        <v>89</v>
      </c>
      <c r="D18" s="66">
        <v>0.30120000000000002</v>
      </c>
      <c r="E18" s="5"/>
      <c r="F18" s="5"/>
      <c r="G18" s="11"/>
      <c r="I18" s="3" t="s">
        <v>537</v>
      </c>
    </row>
    <row r="19" spans="1:9" x14ac:dyDescent="0.25">
      <c r="A19" s="10"/>
      <c r="B19" s="5"/>
      <c r="C19" s="240" t="s">
        <v>90</v>
      </c>
      <c r="D19" s="66">
        <v>0.78790000000000004</v>
      </c>
      <c r="E19" s="5"/>
      <c r="F19" s="5"/>
      <c r="G19" s="11"/>
      <c r="I19" s="3" t="s">
        <v>538</v>
      </c>
    </row>
    <row r="20" spans="1:9" x14ac:dyDescent="0.25">
      <c r="A20" s="10"/>
      <c r="B20" s="5"/>
      <c r="C20" s="240" t="s">
        <v>91</v>
      </c>
      <c r="D20" s="66">
        <v>-9.8799999999999999E-2</v>
      </c>
      <c r="E20" s="5"/>
      <c r="F20" s="5"/>
      <c r="G20" s="11"/>
      <c r="I20" s="3" t="s">
        <v>539</v>
      </c>
    </row>
    <row r="21" spans="1:9" x14ac:dyDescent="0.25">
      <c r="A21" s="10"/>
      <c r="B21" s="5"/>
      <c r="C21" s="240" t="s">
        <v>531</v>
      </c>
      <c r="D21" s="66">
        <v>0.4083</v>
      </c>
      <c r="E21" s="5"/>
      <c r="F21" s="5"/>
      <c r="G21" s="11"/>
    </row>
    <row r="22" spans="1:9" x14ac:dyDescent="0.25">
      <c r="A22" s="10"/>
      <c r="B22" s="5"/>
      <c r="C22" s="241" t="s">
        <v>532</v>
      </c>
      <c r="D22" s="68">
        <v>-3.78E-2</v>
      </c>
      <c r="E22" s="5"/>
      <c r="F22" s="5"/>
      <c r="G22" s="11"/>
      <c r="H22" s="40" t="s">
        <v>635</v>
      </c>
      <c r="I22" s="3" t="s">
        <v>540</v>
      </c>
    </row>
    <row r="23" spans="1:9" x14ac:dyDescent="0.25">
      <c r="A23" s="10"/>
      <c r="B23" s="5"/>
      <c r="C23" s="5"/>
      <c r="D23" s="5"/>
      <c r="E23" s="5"/>
      <c r="F23" s="5"/>
      <c r="G23" s="11"/>
      <c r="I23" s="3" t="s">
        <v>541</v>
      </c>
    </row>
    <row r="24" spans="1:9" x14ac:dyDescent="0.25">
      <c r="A24" s="14" t="s">
        <v>2</v>
      </c>
      <c r="B24" s="5" t="s">
        <v>92</v>
      </c>
      <c r="C24" s="5"/>
      <c r="D24" s="5"/>
      <c r="E24" s="5"/>
      <c r="F24" s="5"/>
      <c r="G24" s="11"/>
    </row>
    <row r="25" spans="1:9" ht="15.75" thickBot="1" x14ac:dyDescent="0.3">
      <c r="A25" s="13">
        <f ca="1">INDEX('Point Grid'!$C$8:$I$27,MATCH($A$1,'Point Grid'!$A$8:$A$27,0),MATCH(A24,'Point Grid'!$C$7:$I$7,0))</f>
        <v>0.75</v>
      </c>
      <c r="B25" s="5" t="s">
        <v>93</v>
      </c>
      <c r="C25" s="5"/>
      <c r="D25" s="5"/>
      <c r="E25" s="5"/>
      <c r="F25" s="5"/>
      <c r="G25" s="11"/>
      <c r="H25" s="40" t="s">
        <v>670</v>
      </c>
      <c r="I25" s="3" t="s">
        <v>543</v>
      </c>
    </row>
    <row r="26" spans="1:9" ht="15.75" thickBot="1" x14ac:dyDescent="0.3">
      <c r="A26" s="4">
        <v>0.75</v>
      </c>
      <c r="B26" s="5"/>
      <c r="C26" s="5"/>
      <c r="D26" s="5"/>
      <c r="E26" s="5"/>
      <c r="F26" s="5"/>
      <c r="G26" s="11"/>
      <c r="I26" s="3" t="s">
        <v>542</v>
      </c>
    </row>
    <row r="27" spans="1:9" x14ac:dyDescent="0.25">
      <c r="A27" s="10"/>
      <c r="B27" s="5"/>
      <c r="C27" s="63" t="s">
        <v>94</v>
      </c>
      <c r="D27" s="235">
        <v>30</v>
      </c>
      <c r="E27" s="5"/>
      <c r="F27" s="5"/>
      <c r="G27" s="11"/>
      <c r="I27" s="3" t="s">
        <v>545</v>
      </c>
    </row>
    <row r="28" spans="1:9" x14ac:dyDescent="0.25">
      <c r="A28" s="10"/>
      <c r="B28" s="5"/>
      <c r="C28" s="67" t="s">
        <v>95</v>
      </c>
      <c r="D28" s="68" t="s">
        <v>74</v>
      </c>
      <c r="E28" s="5"/>
      <c r="F28" s="5"/>
      <c r="G28" s="11"/>
    </row>
    <row r="29" spans="1:9" x14ac:dyDescent="0.25">
      <c r="A29" s="10"/>
      <c r="B29" s="5"/>
      <c r="C29" s="5"/>
      <c r="D29" s="5"/>
      <c r="E29" s="5"/>
      <c r="F29" s="5"/>
      <c r="G29" s="11"/>
    </row>
    <row r="30" spans="1:9" x14ac:dyDescent="0.25">
      <c r="A30" s="14" t="s">
        <v>3</v>
      </c>
      <c r="B30" s="5" t="s">
        <v>99</v>
      </c>
      <c r="C30" s="5"/>
      <c r="D30" s="5"/>
      <c r="E30" s="5"/>
      <c r="F30" s="5"/>
      <c r="G30" s="11"/>
    </row>
    <row r="31" spans="1:9" ht="15.75" thickBot="1" x14ac:dyDescent="0.3">
      <c r="A31" s="13">
        <f ca="1">INDEX('Point Grid'!$C$8:$I$27,MATCH($A$1,'Point Grid'!$A$8:$A$27,0),MATCH(A30,'Point Grid'!$C$7:$I$7,0))</f>
        <v>1</v>
      </c>
      <c r="B31" s="5" t="s">
        <v>98</v>
      </c>
      <c r="C31" s="5"/>
      <c r="D31" s="5"/>
      <c r="E31" s="5"/>
      <c r="F31" s="5"/>
      <c r="G31" s="11"/>
    </row>
    <row r="32" spans="1:9" ht="15.75" thickBot="1" x14ac:dyDescent="0.3">
      <c r="A32" s="4">
        <v>1</v>
      </c>
      <c r="B32" s="5"/>
      <c r="C32" s="5"/>
      <c r="D32" s="5"/>
      <c r="E32" s="5"/>
      <c r="F32" s="5"/>
      <c r="G32" s="11"/>
    </row>
    <row r="33" spans="1:7" x14ac:dyDescent="0.25">
      <c r="A33" s="10"/>
      <c r="B33" s="5"/>
      <c r="C33" s="5"/>
      <c r="D33" s="5"/>
      <c r="E33" s="5"/>
      <c r="F33" s="5"/>
      <c r="G33" s="11"/>
    </row>
    <row r="34" spans="1:7" x14ac:dyDescent="0.25">
      <c r="A34" s="14" t="s">
        <v>4</v>
      </c>
      <c r="B34" s="5" t="s">
        <v>96</v>
      </c>
      <c r="C34" s="5"/>
      <c r="D34" s="5"/>
      <c r="E34" s="5"/>
      <c r="F34" s="5"/>
      <c r="G34" s="11"/>
    </row>
    <row r="35" spans="1:7" ht="15.75" thickBot="1" x14ac:dyDescent="0.3">
      <c r="A35" s="13">
        <f ca="1">INDEX('Point Grid'!$C$8:$I$27,MATCH($A$1,'Point Grid'!$A$8:$A$27,0),MATCH(A34,'Point Grid'!$C$7:$I$7,0))</f>
        <v>1</v>
      </c>
      <c r="B35" s="5" t="s">
        <v>535</v>
      </c>
      <c r="C35" s="5"/>
      <c r="D35" s="5"/>
      <c r="E35" s="5"/>
      <c r="F35" s="5"/>
      <c r="G35" s="11"/>
    </row>
    <row r="36" spans="1:7" ht="15.75" thickBot="1" x14ac:dyDescent="0.3">
      <c r="A36" s="4">
        <v>1</v>
      </c>
      <c r="B36" s="5" t="s">
        <v>97</v>
      </c>
      <c r="C36" s="5"/>
      <c r="D36" s="5"/>
      <c r="E36" s="5"/>
      <c r="F36" s="5"/>
      <c r="G36" s="11"/>
    </row>
    <row r="37" spans="1:7" x14ac:dyDescent="0.25">
      <c r="A37" s="10"/>
      <c r="B37" s="5"/>
      <c r="C37" s="5"/>
      <c r="D37" s="5"/>
      <c r="E37" s="5"/>
      <c r="F37" s="5"/>
      <c r="G37" s="11"/>
    </row>
    <row r="38" spans="1:7" x14ac:dyDescent="0.25">
      <c r="A38" s="14" t="s">
        <v>5</v>
      </c>
      <c r="B38" s="5" t="s">
        <v>671</v>
      </c>
      <c r="C38" s="5"/>
      <c r="D38" s="5"/>
      <c r="E38" s="5"/>
      <c r="F38" s="5"/>
      <c r="G38" s="11"/>
    </row>
    <row r="39" spans="1:7" ht="15.75" thickBot="1" x14ac:dyDescent="0.3">
      <c r="A39" s="13">
        <f ca="1">INDEX('Point Grid'!$C$8:$I$27,MATCH($A$1,'Point Grid'!$A$8:$A$27,0),MATCH(A38,'Point Grid'!$C$7:$I$7,0))</f>
        <v>0.5</v>
      </c>
      <c r="B39" s="5"/>
      <c r="C39" s="5"/>
      <c r="D39" s="5"/>
      <c r="E39" s="5"/>
      <c r="F39" s="5"/>
      <c r="G39" s="11"/>
    </row>
    <row r="40" spans="1:7" ht="15.75" thickBot="1" x14ac:dyDescent="0.3">
      <c r="A40" s="4">
        <v>0.5</v>
      </c>
      <c r="B40" s="5"/>
      <c r="C40" s="5"/>
      <c r="D40" s="5"/>
      <c r="E40" s="5"/>
      <c r="F40" s="5"/>
      <c r="G40" s="11"/>
    </row>
    <row r="41" spans="1:7" x14ac:dyDescent="0.25">
      <c r="A41" s="10"/>
      <c r="B41" s="5"/>
      <c r="C41" s="5"/>
      <c r="D41" s="5"/>
      <c r="E41" s="5"/>
      <c r="F41" s="5"/>
      <c r="G41" s="11"/>
    </row>
    <row r="42" spans="1:7" x14ac:dyDescent="0.25">
      <c r="A42" s="14" t="s">
        <v>6</v>
      </c>
      <c r="B42" s="5" t="s">
        <v>669</v>
      </c>
      <c r="C42" s="5"/>
      <c r="D42" s="5"/>
      <c r="E42" s="5"/>
      <c r="F42" s="5"/>
      <c r="G42" s="11"/>
    </row>
    <row r="43" spans="1:7" ht="15.75" thickBot="1" x14ac:dyDescent="0.3">
      <c r="A43" s="13">
        <f ca="1">INDEX('Point Grid'!$C$8:$I$27,MATCH($A$1,'Point Grid'!$A$8:$A$27,0),MATCH(A42,'Point Grid'!$C$7:$I$7,0))</f>
        <v>1</v>
      </c>
      <c r="B43" s="5"/>
      <c r="C43" s="5"/>
      <c r="D43" s="5"/>
      <c r="E43" s="5"/>
      <c r="F43" s="5"/>
      <c r="G43" s="11"/>
    </row>
    <row r="44" spans="1:7" ht="15.75" thickBot="1" x14ac:dyDescent="0.3">
      <c r="A44" s="4">
        <v>1</v>
      </c>
      <c r="B44" s="16"/>
      <c r="C44" s="16"/>
      <c r="D44" s="16"/>
      <c r="E44" s="16"/>
      <c r="F44" s="16"/>
      <c r="G44" s="17"/>
    </row>
  </sheetData>
  <sheetProtection formatCells="0" formatColumns="0" formatRows="0"/>
  <mergeCells count="1">
    <mergeCell ref="F1:G1"/>
  </mergeCells>
  <conditionalFormatting sqref="B1">
    <cfRule type="cellIs" dxfId="50" priority="1" operator="equal">
      <formula>"Incomplete"</formula>
    </cfRule>
    <cfRule type="cellIs" dxfId="49" priority="2" operator="equal">
      <formula>"Flag for Review"</formula>
    </cfRule>
    <cfRule type="cellIs" dxfId="48" priority="3" operator="equal">
      <formula>"Finished"</formula>
    </cfRule>
  </conditionalFormatting>
  <dataValidations count="2">
    <dataValidation type="decimal" allowBlank="1" showInputMessage="1" showErrorMessage="1" sqref="A26 A32 A36 A40 A44" xr:uid="{6A0C24B5-3699-487B-AA51-D4864B33CB31}">
      <formula1>0</formula1>
      <formula2>A25</formula2>
    </dataValidation>
    <dataValidation type="list" allowBlank="1" showInputMessage="1" showErrorMessage="1" sqref="B1" xr:uid="{1B3C0B11-8266-419A-A07A-919E45E78D0E}">
      <formula1>"Finished, Flag for Review, Incomplete"</formula1>
    </dataValidation>
  </dataValidations>
  <hyperlinks>
    <hyperlink ref="F1" location="Navigator!A1" display="Navigator" xr:uid="{9085A111-8DEB-4EA4-9D38-9A86E49B8778}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C1A661-1F7B-448D-9B62-7F6B56FD0E2C}">
  <sheetPr codeName="Sheet8"/>
  <dimension ref="A1:Y80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6" style="3" bestFit="1" customWidth="1"/>
    <col min="3" max="3" width="6.42578125" style="3" bestFit="1" customWidth="1"/>
    <col min="4" max="4" width="6.28515625" style="3" bestFit="1" customWidth="1"/>
    <col min="5" max="5" width="5.5703125" style="3" bestFit="1" customWidth="1"/>
    <col min="6" max="6" width="6.42578125" style="3" bestFit="1" customWidth="1"/>
    <col min="7" max="7" width="6.28515625" style="3" bestFit="1" customWidth="1"/>
    <col min="8" max="8" width="5.5703125" style="3" bestFit="1" customWidth="1"/>
    <col min="9" max="9" width="6.42578125" style="3" bestFit="1" customWidth="1"/>
    <col min="10" max="10" width="6.28515625" style="3" bestFit="1" customWidth="1"/>
    <col min="11" max="11" width="5.5703125" style="3" bestFit="1" customWidth="1"/>
    <col min="12" max="12" width="4.42578125" style="3" customWidth="1"/>
    <col min="13" max="13" width="6.140625" style="3" customWidth="1"/>
    <col min="14" max="14" width="3.7109375" style="40" customWidth="1"/>
    <col min="15" max="15" width="14.7109375" style="3" customWidth="1"/>
    <col min="16" max="16" width="12" style="3" bestFit="1" customWidth="1"/>
    <col min="17" max="17" width="8.7109375" style="3" customWidth="1"/>
    <col min="18" max="19" width="9.140625" style="3"/>
    <col min="20" max="22" width="9.140625" style="3" customWidth="1"/>
    <col min="23" max="24" width="9.140625" style="3"/>
    <col min="25" max="25" width="9.140625" style="3" customWidth="1"/>
    <col min="26" max="16384" width="9.140625" style="3"/>
  </cols>
  <sheetData>
    <row r="1" spans="1:24" ht="15.75" x14ac:dyDescent="0.25">
      <c r="A1" s="8">
        <f ca="1">VALUE(MID(CELL("filename",A1),FIND("]",CELL("filename",A1))+1,LEN(CELL("filename",A1))-FIND("]",CELL("filename",A1))+1))</f>
        <v>6</v>
      </c>
      <c r="B1" s="57" t="s">
        <v>604</v>
      </c>
      <c r="C1" s="9"/>
      <c r="D1" s="9"/>
      <c r="E1" s="9"/>
      <c r="F1" s="9"/>
      <c r="G1" s="9"/>
      <c r="H1" s="9"/>
      <c r="I1" s="9"/>
      <c r="J1" s="9"/>
      <c r="K1" s="9"/>
      <c r="L1" s="418" t="s">
        <v>41</v>
      </c>
      <c r="M1" s="419"/>
      <c r="O1" s="58" t="s">
        <v>31</v>
      </c>
    </row>
    <row r="2" spans="1:24" x14ac:dyDescent="0.25">
      <c r="A2" s="10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11"/>
      <c r="N2" s="40" t="s">
        <v>605</v>
      </c>
      <c r="O2" s="3" t="s">
        <v>117</v>
      </c>
    </row>
    <row r="3" spans="1:24" x14ac:dyDescent="0.25">
      <c r="A3" s="12" t="s">
        <v>14</v>
      </c>
      <c r="B3" s="5" t="s">
        <v>106</v>
      </c>
      <c r="C3" s="5"/>
      <c r="D3" s="5"/>
      <c r="E3" s="5"/>
      <c r="F3" s="5"/>
      <c r="G3" s="5"/>
      <c r="H3" s="5"/>
      <c r="I3" s="5"/>
      <c r="J3" s="5"/>
      <c r="K3" s="5"/>
      <c r="L3" s="5"/>
      <c r="M3" s="11"/>
      <c r="O3" s="81"/>
      <c r="P3" s="82" t="s">
        <v>101</v>
      </c>
      <c r="Q3" s="83"/>
      <c r="R3" s="82" t="s">
        <v>105</v>
      </c>
      <c r="S3" s="83"/>
      <c r="T3" s="82" t="s">
        <v>10</v>
      </c>
      <c r="U3" s="84"/>
      <c r="X3"/>
    </row>
    <row r="4" spans="1:24" x14ac:dyDescent="0.25">
      <c r="A4" s="13">
        <f ca="1">INDEX('Point Grid'!B:B,MATCH('6'!A1,'Point Grid'!A:A,0))</f>
        <v>4.75</v>
      </c>
      <c r="B4" s="5" t="s">
        <v>107</v>
      </c>
      <c r="C4" s="5"/>
      <c r="D4" s="5"/>
      <c r="E4" s="5"/>
      <c r="F4" s="5"/>
      <c r="G4" s="5"/>
      <c r="H4" s="5"/>
      <c r="I4" s="5"/>
      <c r="J4" s="5"/>
      <c r="K4" s="5"/>
      <c r="L4" s="5"/>
      <c r="M4" s="11"/>
      <c r="O4" s="85" t="s">
        <v>100</v>
      </c>
      <c r="P4" s="86" t="s">
        <v>102</v>
      </c>
      <c r="Q4" s="87" t="s">
        <v>103</v>
      </c>
      <c r="R4" s="86" t="s">
        <v>102</v>
      </c>
      <c r="S4" s="87" t="s">
        <v>103</v>
      </c>
      <c r="T4" s="86" t="s">
        <v>102</v>
      </c>
      <c r="U4" s="88" t="s">
        <v>103</v>
      </c>
      <c r="X4"/>
    </row>
    <row r="5" spans="1:24" x14ac:dyDescent="0.25">
      <c r="A5" s="10"/>
      <c r="B5" s="5" t="s">
        <v>108</v>
      </c>
      <c r="C5" s="5"/>
      <c r="D5" s="5"/>
      <c r="E5" s="5"/>
      <c r="F5" s="5"/>
      <c r="G5" s="5"/>
      <c r="H5" s="5"/>
      <c r="I5" s="5"/>
      <c r="J5" s="5"/>
      <c r="K5" s="5"/>
      <c r="L5" s="5"/>
      <c r="M5" s="11"/>
      <c r="O5" s="89">
        <v>1</v>
      </c>
      <c r="P5" s="90">
        <f t="shared" ref="P5:Q8" si="0">C9/$E9</f>
        <v>2.4096385542168677E-3</v>
      </c>
      <c r="Q5" s="91">
        <f t="shared" si="0"/>
        <v>3.1325301204819279E-2</v>
      </c>
      <c r="R5" s="90">
        <f t="shared" ref="R5:S8" si="1">F9/$H9</f>
        <v>4.7619047619047616E-2</v>
      </c>
      <c r="S5" s="91">
        <f t="shared" si="1"/>
        <v>0.16071428571428573</v>
      </c>
      <c r="T5" s="90">
        <f t="shared" ref="T5:U8" si="2">I9/$K9</f>
        <v>1.5437392795883362E-2</v>
      </c>
      <c r="U5" s="92">
        <f t="shared" si="2"/>
        <v>6.86106346483705E-2</v>
      </c>
      <c r="X5"/>
    </row>
    <row r="6" spans="1:24" x14ac:dyDescent="0.25">
      <c r="A6" s="10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11"/>
      <c r="O6" s="93">
        <v>2</v>
      </c>
      <c r="P6" s="94">
        <f t="shared" si="0"/>
        <v>2.4489795918367346E-2</v>
      </c>
      <c r="Q6" s="91">
        <f t="shared" si="0"/>
        <v>7.3469387755102047E-2</v>
      </c>
      <c r="R6" s="94">
        <f t="shared" si="1"/>
        <v>4.3902439024390241E-2</v>
      </c>
      <c r="S6" s="91">
        <f t="shared" si="1"/>
        <v>7.3170731707317069E-2</v>
      </c>
      <c r="T6" s="94">
        <f t="shared" si="2"/>
        <v>3.3333333333333333E-2</v>
      </c>
      <c r="U6" s="92">
        <f t="shared" si="2"/>
        <v>7.3333333333333334E-2</v>
      </c>
      <c r="X6"/>
    </row>
    <row r="7" spans="1:24" x14ac:dyDescent="0.25">
      <c r="A7" s="10"/>
      <c r="B7" s="72"/>
      <c r="C7" s="73" t="s">
        <v>101</v>
      </c>
      <c r="D7" s="74"/>
      <c r="E7" s="75"/>
      <c r="F7" s="73" t="s">
        <v>105</v>
      </c>
      <c r="G7" s="74"/>
      <c r="H7" s="75"/>
      <c r="I7" s="73" t="s">
        <v>10</v>
      </c>
      <c r="J7" s="74"/>
      <c r="K7" s="75"/>
      <c r="L7" s="5"/>
      <c r="M7" s="11"/>
      <c r="O7" s="85">
        <v>3</v>
      </c>
      <c r="P7" s="94">
        <f t="shared" si="0"/>
        <v>1.2024048096192385E-2</v>
      </c>
      <c r="Q7" s="91">
        <f t="shared" si="0"/>
        <v>5.0100200400801605E-2</v>
      </c>
      <c r="R7" s="94">
        <f t="shared" si="1"/>
        <v>2.2988505747126436E-3</v>
      </c>
      <c r="S7" s="91">
        <f t="shared" si="1"/>
        <v>6.2068965517241378E-2</v>
      </c>
      <c r="T7" s="94">
        <f t="shared" si="2"/>
        <v>7.4946466809421844E-3</v>
      </c>
      <c r="U7" s="92">
        <f t="shared" si="2"/>
        <v>5.5674518201284794E-2</v>
      </c>
      <c r="X7"/>
    </row>
    <row r="8" spans="1:24" x14ac:dyDescent="0.25">
      <c r="A8" s="10"/>
      <c r="B8" s="49" t="s">
        <v>100</v>
      </c>
      <c r="C8" s="46" t="s">
        <v>102</v>
      </c>
      <c r="D8" s="70" t="s">
        <v>103</v>
      </c>
      <c r="E8" s="68" t="s">
        <v>104</v>
      </c>
      <c r="F8" s="46" t="s">
        <v>102</v>
      </c>
      <c r="G8" s="70" t="s">
        <v>103</v>
      </c>
      <c r="H8" s="68" t="s">
        <v>104</v>
      </c>
      <c r="I8" s="46" t="s">
        <v>102</v>
      </c>
      <c r="J8" s="70" t="s">
        <v>103</v>
      </c>
      <c r="K8" s="68" t="s">
        <v>104</v>
      </c>
      <c r="L8" s="5"/>
      <c r="M8" s="11"/>
      <c r="O8" s="95" t="s">
        <v>109</v>
      </c>
      <c r="P8" s="96">
        <f t="shared" si="0"/>
        <v>1.1216566005176877E-2</v>
      </c>
      <c r="Q8" s="97">
        <f t="shared" si="0"/>
        <v>4.8317515099223468E-2</v>
      </c>
      <c r="R8" s="96">
        <f t="shared" si="1"/>
        <v>2.2277227722772276E-2</v>
      </c>
      <c r="S8" s="97">
        <f t="shared" si="1"/>
        <v>8.5396039603960402E-2</v>
      </c>
      <c r="T8" s="96">
        <f t="shared" si="2"/>
        <v>1.57600406710727E-2</v>
      </c>
      <c r="U8" s="98">
        <f t="shared" si="2"/>
        <v>6.3548551093035074E-2</v>
      </c>
      <c r="X8"/>
    </row>
    <row r="9" spans="1:24" x14ac:dyDescent="0.25">
      <c r="A9" s="10"/>
      <c r="B9" s="64">
        <v>1</v>
      </c>
      <c r="C9" s="76">
        <v>1</v>
      </c>
      <c r="D9" s="104">
        <v>13</v>
      </c>
      <c r="E9" s="77">
        <v>415</v>
      </c>
      <c r="F9" s="76">
        <v>8</v>
      </c>
      <c r="G9" s="104">
        <v>27</v>
      </c>
      <c r="H9" s="77">
        <v>168</v>
      </c>
      <c r="I9" s="76">
        <f t="shared" ref="I9:K11" si="3">C9+F9</f>
        <v>9</v>
      </c>
      <c r="J9" s="104">
        <f t="shared" si="3"/>
        <v>40</v>
      </c>
      <c r="K9" s="77">
        <f t="shared" si="3"/>
        <v>583</v>
      </c>
      <c r="L9" s="5"/>
      <c r="M9" s="11"/>
    </row>
    <row r="10" spans="1:24" x14ac:dyDescent="0.25">
      <c r="A10" s="10"/>
      <c r="B10" s="48">
        <v>2</v>
      </c>
      <c r="C10" s="76">
        <v>6</v>
      </c>
      <c r="D10" s="104">
        <v>18</v>
      </c>
      <c r="E10" s="77">
        <v>245</v>
      </c>
      <c r="F10" s="76">
        <v>9</v>
      </c>
      <c r="G10" s="104">
        <v>15</v>
      </c>
      <c r="H10" s="77">
        <v>205</v>
      </c>
      <c r="I10" s="76">
        <f t="shared" si="3"/>
        <v>15</v>
      </c>
      <c r="J10" s="104">
        <f t="shared" si="3"/>
        <v>33</v>
      </c>
      <c r="K10" s="77">
        <f t="shared" si="3"/>
        <v>450</v>
      </c>
      <c r="L10" s="5"/>
      <c r="M10" s="11"/>
      <c r="O10" s="3" t="s">
        <v>118</v>
      </c>
    </row>
    <row r="11" spans="1:24" x14ac:dyDescent="0.25">
      <c r="A11" s="10"/>
      <c r="B11" s="49">
        <v>3</v>
      </c>
      <c r="C11" s="76">
        <v>6</v>
      </c>
      <c r="D11" s="104">
        <v>25</v>
      </c>
      <c r="E11" s="77">
        <v>499</v>
      </c>
      <c r="F11" s="76">
        <v>1</v>
      </c>
      <c r="G11" s="104">
        <v>27</v>
      </c>
      <c r="H11" s="77">
        <v>435</v>
      </c>
      <c r="I11" s="76">
        <f t="shared" si="3"/>
        <v>7</v>
      </c>
      <c r="J11" s="104">
        <f t="shared" si="3"/>
        <v>52</v>
      </c>
      <c r="K11" s="77">
        <f t="shared" si="3"/>
        <v>934</v>
      </c>
      <c r="L11" s="5"/>
      <c r="M11" s="11"/>
      <c r="S11" s="3" t="s">
        <v>119</v>
      </c>
    </row>
    <row r="12" spans="1:24" x14ac:dyDescent="0.25">
      <c r="A12" s="10"/>
      <c r="B12" s="54" t="s">
        <v>109</v>
      </c>
      <c r="C12" s="78">
        <f>SUM(C9:C11)</f>
        <v>13</v>
      </c>
      <c r="D12" s="79">
        <f t="shared" ref="D12:K12" si="4">SUM(D9:D11)</f>
        <v>56</v>
      </c>
      <c r="E12" s="80">
        <f t="shared" si="4"/>
        <v>1159</v>
      </c>
      <c r="F12" s="78">
        <f t="shared" si="4"/>
        <v>18</v>
      </c>
      <c r="G12" s="79">
        <f t="shared" si="4"/>
        <v>69</v>
      </c>
      <c r="H12" s="80">
        <f t="shared" si="4"/>
        <v>808</v>
      </c>
      <c r="I12" s="78">
        <f t="shared" si="4"/>
        <v>31</v>
      </c>
      <c r="J12" s="79">
        <f t="shared" si="4"/>
        <v>125</v>
      </c>
      <c r="K12" s="80">
        <f t="shared" si="4"/>
        <v>1967</v>
      </c>
      <c r="L12" s="5"/>
      <c r="M12" s="11"/>
      <c r="S12" s="3" t="s">
        <v>120</v>
      </c>
    </row>
    <row r="13" spans="1:24" x14ac:dyDescent="0.25">
      <c r="A13" s="10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11"/>
      <c r="S13" s="3" t="s">
        <v>121</v>
      </c>
    </row>
    <row r="14" spans="1:24" ht="18" x14ac:dyDescent="0.35">
      <c r="A14" s="10"/>
      <c r="B14" s="5" t="s">
        <v>110</v>
      </c>
      <c r="C14" s="5"/>
      <c r="D14" s="5"/>
      <c r="E14" s="5"/>
      <c r="F14" s="5"/>
      <c r="G14" s="5"/>
      <c r="H14" s="5"/>
      <c r="I14" s="5"/>
      <c r="J14" s="5"/>
      <c r="K14" s="5"/>
      <c r="L14" s="5"/>
      <c r="M14" s="11"/>
      <c r="S14" s="3" t="s">
        <v>125</v>
      </c>
    </row>
    <row r="15" spans="1:24" x14ac:dyDescent="0.25">
      <c r="A15" s="10"/>
      <c r="B15" s="5" t="s">
        <v>111</v>
      </c>
      <c r="C15" s="5"/>
      <c r="D15" s="5"/>
      <c r="E15" s="5"/>
      <c r="F15" s="5"/>
      <c r="G15" s="5"/>
      <c r="H15" s="5"/>
      <c r="I15" s="5"/>
      <c r="J15" s="5"/>
      <c r="K15" s="5"/>
      <c r="L15" s="5"/>
      <c r="M15" s="11"/>
      <c r="O15" s="3" t="s">
        <v>123</v>
      </c>
      <c r="P15" s="99">
        <v>3</v>
      </c>
    </row>
    <row r="16" spans="1:24" x14ac:dyDescent="0.25">
      <c r="A16" s="10"/>
      <c r="B16" s="5" t="s">
        <v>848</v>
      </c>
      <c r="C16" s="5"/>
      <c r="D16" s="5"/>
      <c r="E16" s="5"/>
      <c r="F16" s="5"/>
      <c r="G16" s="5"/>
      <c r="H16" s="5"/>
      <c r="I16" s="5"/>
      <c r="J16" s="5"/>
      <c r="K16" s="5"/>
      <c r="L16" s="5"/>
      <c r="M16" s="11"/>
      <c r="O16" s="3" t="s">
        <v>124</v>
      </c>
      <c r="P16" s="99">
        <v>2</v>
      </c>
    </row>
    <row r="17" spans="1:25" ht="18.75" x14ac:dyDescent="0.35">
      <c r="A17" s="10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11"/>
      <c r="O17" s="3" t="s">
        <v>127</v>
      </c>
      <c r="Q17" s="100" t="s">
        <v>126</v>
      </c>
      <c r="R17" s="100"/>
    </row>
    <row r="18" spans="1:25" x14ac:dyDescent="0.25">
      <c r="A18" s="14" t="s">
        <v>2</v>
      </c>
      <c r="B18" s="5" t="s">
        <v>112</v>
      </c>
      <c r="C18" s="5"/>
      <c r="D18" s="5"/>
      <c r="E18" s="5"/>
      <c r="F18" s="5"/>
      <c r="G18" s="5"/>
      <c r="H18" s="5"/>
      <c r="I18" s="5"/>
      <c r="J18" s="5"/>
      <c r="K18" s="5"/>
      <c r="L18" s="5"/>
      <c r="M18" s="11"/>
      <c r="P18" s="40" t="s">
        <v>100</v>
      </c>
      <c r="Q18" s="40">
        <v>1</v>
      </c>
      <c r="R18" s="40">
        <v>2</v>
      </c>
      <c r="U18"/>
      <c r="V18"/>
    </row>
    <row r="19" spans="1:25" ht="15.75" thickBot="1" x14ac:dyDescent="0.3">
      <c r="A19" s="13">
        <f ca="1">INDEX('Point Grid'!$C$8:$I$27,MATCH($A$1,'Point Grid'!$A$8:$A$27,0),MATCH(A18,'Point Grid'!$C$7:$I$7,0))</f>
        <v>0.75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11"/>
      <c r="P19" s="40">
        <v>1</v>
      </c>
      <c r="Q19" s="102">
        <f>(Q5-U5)^2</f>
        <v>1.3901960899967991E-3</v>
      </c>
      <c r="R19" s="102">
        <f>(S5-U5)^2</f>
        <v>8.4830825396718674E-3</v>
      </c>
      <c r="U19"/>
      <c r="V19"/>
    </row>
    <row r="20" spans="1:25" ht="15.75" thickBot="1" x14ac:dyDescent="0.3">
      <c r="A20" s="4">
        <v>0.75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11"/>
      <c r="P20" s="40">
        <v>2</v>
      </c>
      <c r="Q20" s="102">
        <f>(Q6-U6)^2</f>
        <v>1.8510805682819047E-8</v>
      </c>
      <c r="R20" s="102">
        <f>(S6-U6)^2</f>
        <v>2.6439288783133286E-8</v>
      </c>
      <c r="U20"/>
      <c r="V20"/>
    </row>
    <row r="21" spans="1:25" x14ac:dyDescent="0.25">
      <c r="A21" s="10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11"/>
      <c r="P21" s="40">
        <v>3</v>
      </c>
      <c r="Q21" s="102">
        <f>(Q7-U7)^2</f>
        <v>3.1073018940783734E-5</v>
      </c>
      <c r="R21" s="102">
        <f>(S7-U7)^2</f>
        <v>4.0888956476544369E-5</v>
      </c>
      <c r="U21"/>
      <c r="V21"/>
    </row>
    <row r="22" spans="1:25" x14ac:dyDescent="0.25">
      <c r="A22" s="14" t="s">
        <v>3</v>
      </c>
      <c r="B22" s="5" t="s">
        <v>113</v>
      </c>
      <c r="C22" s="5"/>
      <c r="D22" s="5"/>
      <c r="E22" s="5"/>
      <c r="F22" s="5"/>
      <c r="G22" s="5"/>
      <c r="H22" s="5"/>
      <c r="I22" s="5"/>
      <c r="J22" s="5"/>
      <c r="K22" s="5"/>
      <c r="L22" s="5"/>
      <c r="M22" s="11"/>
      <c r="U22"/>
      <c r="V22"/>
    </row>
    <row r="23" spans="1:25" ht="15.75" thickBot="1" x14ac:dyDescent="0.3">
      <c r="A23" s="13">
        <f ca="1">INDEX('Point Grid'!$C$8:$I$27,MATCH($A$1,'Point Grid'!$A$8:$A$27,0),MATCH(A22,'Point Grid'!$C$7:$I$7,0))</f>
        <v>1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11"/>
      <c r="O23" s="3" t="s">
        <v>122</v>
      </c>
      <c r="P23" s="401">
        <f>(SUMPRODUCT(E9:E11,Q19:Q21)+SUMPRODUCT(H9:H11,R19:R21))/(P15*(P16-1))</f>
        <v>0.67846377724462859</v>
      </c>
      <c r="U23"/>
      <c r="V23"/>
    </row>
    <row r="24" spans="1:25" ht="15.75" thickBot="1" x14ac:dyDescent="0.3">
      <c r="A24" s="4">
        <v>1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11"/>
    </row>
    <row r="25" spans="1:25" x14ac:dyDescent="0.25">
      <c r="A25" s="10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11"/>
      <c r="N25" s="40" t="s">
        <v>618</v>
      </c>
      <c r="O25" s="3" t="s">
        <v>128</v>
      </c>
    </row>
    <row r="26" spans="1:25" x14ac:dyDescent="0.25">
      <c r="A26" s="14" t="s">
        <v>4</v>
      </c>
      <c r="B26" s="5" t="s">
        <v>114</v>
      </c>
      <c r="C26" s="5"/>
      <c r="D26" s="5"/>
      <c r="E26" s="5"/>
      <c r="F26" s="5"/>
      <c r="G26" s="5"/>
      <c r="H26" s="5"/>
      <c r="I26" s="5"/>
      <c r="J26" s="5"/>
      <c r="K26" s="5"/>
      <c r="L26" s="5"/>
      <c r="M26" s="11"/>
      <c r="O26" s="3" t="s">
        <v>129</v>
      </c>
    </row>
    <row r="27" spans="1:25" ht="15.75" thickBot="1" x14ac:dyDescent="0.3">
      <c r="A27" s="13">
        <f ca="1">INDEX('Point Grid'!$C$8:$I$27,MATCH($A$1,'Point Grid'!$A$8:$A$27,0),MATCH(A26,'Point Grid'!$C$7:$I$7,0))</f>
        <v>0.5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11"/>
    </row>
    <row r="28" spans="1:25" ht="15.75" thickBot="1" x14ac:dyDescent="0.3">
      <c r="A28" s="4">
        <v>0.5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11"/>
    </row>
    <row r="29" spans="1:25" x14ac:dyDescent="0.25">
      <c r="A29" s="10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11"/>
    </row>
    <row r="30" spans="1:25" x14ac:dyDescent="0.25">
      <c r="A30" s="10"/>
      <c r="B30" s="5" t="s">
        <v>139</v>
      </c>
      <c r="C30" s="5"/>
      <c r="D30" s="5"/>
      <c r="E30" s="5"/>
      <c r="F30" s="5"/>
      <c r="G30" s="5"/>
      <c r="H30" s="5"/>
      <c r="I30" s="5"/>
      <c r="J30" s="5"/>
      <c r="K30" s="5"/>
      <c r="L30" s="5"/>
      <c r="M30" s="11"/>
    </row>
    <row r="31" spans="1:25" ht="18.75" x14ac:dyDescent="0.35">
      <c r="A31" s="10"/>
      <c r="B31" s="63" t="s">
        <v>140</v>
      </c>
      <c r="C31" s="105">
        <v>0.10282227448621183</v>
      </c>
      <c r="D31" s="5"/>
      <c r="E31" s="5"/>
      <c r="F31" s="5"/>
      <c r="G31" s="5"/>
      <c r="H31" s="5"/>
      <c r="I31" s="5"/>
      <c r="J31" s="5"/>
      <c r="K31" s="5"/>
      <c r="L31" s="5"/>
      <c r="M31" s="11"/>
      <c r="O31" s="40" t="s">
        <v>100</v>
      </c>
      <c r="P31" s="40" t="s">
        <v>138</v>
      </c>
      <c r="R31" s="3" t="s">
        <v>130</v>
      </c>
      <c r="S31" s="40">
        <f>(SUMPRODUCT(K9:K11,P32:P34)-(P15-1)*P23)/(K12-1/K12*SUMSQ(K9:K11))</f>
        <v>-9.945791404327854E-4</v>
      </c>
      <c r="T31" s="103" t="s">
        <v>131</v>
      </c>
    </row>
    <row r="32" spans="1:25" x14ac:dyDescent="0.25">
      <c r="A32" s="10"/>
      <c r="B32" s="67" t="s">
        <v>141</v>
      </c>
      <c r="C32" s="106">
        <v>0</v>
      </c>
      <c r="D32" s="5"/>
      <c r="E32" s="5"/>
      <c r="F32" s="5"/>
      <c r="G32" s="5"/>
      <c r="H32" s="5"/>
      <c r="I32" s="5"/>
      <c r="J32" s="5"/>
      <c r="K32" s="5"/>
      <c r="L32" s="5"/>
      <c r="M32" s="11"/>
      <c r="N32" s="3"/>
      <c r="O32" s="40">
        <v>1</v>
      </c>
      <c r="P32" s="102">
        <f>(U5-$U$8)^2</f>
        <v>2.5624689921197342E-5</v>
      </c>
      <c r="R32" s="3" t="s">
        <v>130</v>
      </c>
      <c r="S32" s="401">
        <f>MAX(0,S31)</f>
        <v>0</v>
      </c>
      <c r="V32"/>
      <c r="W32"/>
      <c r="X32"/>
      <c r="Y32"/>
    </row>
    <row r="33" spans="1:25" x14ac:dyDescent="0.25">
      <c r="A33" s="10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11"/>
      <c r="N33" s="3"/>
      <c r="O33" s="40">
        <v>2</v>
      </c>
      <c r="P33" s="102">
        <f>(U6-$U$8)^2</f>
        <v>9.5741963490056215E-5</v>
      </c>
      <c r="V33"/>
      <c r="W33"/>
      <c r="X33"/>
      <c r="Y33"/>
    </row>
    <row r="34" spans="1:25" x14ac:dyDescent="0.25">
      <c r="A34" s="14" t="s">
        <v>5</v>
      </c>
      <c r="B34" s="5" t="s">
        <v>142</v>
      </c>
      <c r="C34" s="5"/>
      <c r="D34" s="5"/>
      <c r="E34" s="5"/>
      <c r="F34" s="5"/>
      <c r="G34" s="5"/>
      <c r="H34" s="5"/>
      <c r="I34" s="5"/>
      <c r="J34" s="5"/>
      <c r="K34" s="5"/>
      <c r="L34" s="5"/>
      <c r="M34" s="11"/>
      <c r="O34" s="40">
        <v>3</v>
      </c>
      <c r="P34" s="102">
        <f>(U7-$U$8)^2</f>
        <v>6.2000393980365289E-5</v>
      </c>
      <c r="V34"/>
      <c r="W34"/>
      <c r="X34"/>
      <c r="Y34"/>
    </row>
    <row r="35" spans="1:25" ht="15.75" thickBot="1" x14ac:dyDescent="0.3">
      <c r="A35" s="13">
        <f ca="1">INDEX('Point Grid'!$C$8:$I$27,MATCH($A$1,'Point Grid'!$A$8:$A$27,0),MATCH(A34,'Point Grid'!$C$7:$I$7,0))</f>
        <v>0.5</v>
      </c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11"/>
    </row>
    <row r="36" spans="1:25" ht="15.75" thickBot="1" x14ac:dyDescent="0.3">
      <c r="A36" s="4">
        <v>0.5</v>
      </c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11"/>
      <c r="N36" s="40" t="s">
        <v>658</v>
      </c>
      <c r="O36" s="3" t="s">
        <v>132</v>
      </c>
    </row>
    <row r="37" spans="1:25" x14ac:dyDescent="0.25">
      <c r="A37" s="10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11"/>
    </row>
    <row r="38" spans="1:25" x14ac:dyDescent="0.25">
      <c r="A38" s="14" t="s">
        <v>6</v>
      </c>
      <c r="B38" s="5" t="s">
        <v>115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11"/>
    </row>
    <row r="39" spans="1:25" ht="15.75" thickBot="1" x14ac:dyDescent="0.3">
      <c r="A39" s="13">
        <f ca="1">INDEX('Point Grid'!$C$8:$I$27,MATCH($A$1,'Point Grid'!$A$8:$A$27,0),MATCH(A38,'Point Grid'!$C$7:$I$7,0))</f>
        <v>1.25</v>
      </c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11"/>
    </row>
    <row r="40" spans="1:25" ht="18.75" thickBot="1" x14ac:dyDescent="0.4">
      <c r="A40" s="4">
        <v>1.25</v>
      </c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11"/>
      <c r="O40" s="40" t="s">
        <v>100</v>
      </c>
      <c r="P40" s="40" t="s">
        <v>134</v>
      </c>
      <c r="Q40" s="40" t="s">
        <v>135</v>
      </c>
    </row>
    <row r="41" spans="1:25" x14ac:dyDescent="0.25">
      <c r="A41" s="10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11"/>
      <c r="O41" s="40">
        <v>1</v>
      </c>
      <c r="P41" s="101">
        <f t="shared" ref="P41:Q43" si="5">T5-T$8</f>
        <v>-3.2264787518933823E-4</v>
      </c>
      <c r="Q41" s="101">
        <f t="shared" si="5"/>
        <v>5.0620835553354254E-3</v>
      </c>
    </row>
    <row r="42" spans="1:25" x14ac:dyDescent="0.25">
      <c r="A42" s="14" t="s">
        <v>7</v>
      </c>
      <c r="B42" s="5" t="s">
        <v>116</v>
      </c>
      <c r="C42" s="5"/>
      <c r="D42" s="5"/>
      <c r="E42" s="5"/>
      <c r="F42" s="5"/>
      <c r="G42" s="5"/>
      <c r="H42" s="5"/>
      <c r="I42" s="5"/>
      <c r="J42" s="5"/>
      <c r="K42" s="5"/>
      <c r="L42" s="5"/>
      <c r="M42" s="11"/>
      <c r="O42" s="40">
        <v>2</v>
      </c>
      <c r="P42" s="101">
        <f t="shared" si="5"/>
        <v>1.7573292662260633E-2</v>
      </c>
      <c r="Q42" s="101">
        <f t="shared" si="5"/>
        <v>9.7847822402982593E-3</v>
      </c>
    </row>
    <row r="43" spans="1:25" ht="15.75" thickBot="1" x14ac:dyDescent="0.3">
      <c r="A43" s="13">
        <f ca="1">INDEX('Point Grid'!$C$8:$I$27,MATCH($A$1,'Point Grid'!$A$8:$A$27,0),MATCH(A42,'Point Grid'!$C$7:$I$7,0))</f>
        <v>0.75</v>
      </c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11"/>
      <c r="O43" s="40">
        <v>3</v>
      </c>
      <c r="P43" s="101">
        <f t="shared" si="5"/>
        <v>-8.2653939901305151E-3</v>
      </c>
      <c r="Q43" s="101">
        <f t="shared" si="5"/>
        <v>-7.8740328917502808E-3</v>
      </c>
    </row>
    <row r="44" spans="1:25" ht="15.75" thickBot="1" x14ac:dyDescent="0.3">
      <c r="A44" s="4">
        <v>0.75</v>
      </c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7"/>
    </row>
    <row r="45" spans="1:25" ht="18" x14ac:dyDescent="0.35">
      <c r="O45" s="3" t="s">
        <v>133</v>
      </c>
      <c r="P45" s="401">
        <f>SUMPRODUCT(P41:P43,Q41:Q43,K9:K11)/K12</f>
        <v>6.9757120162806615E-5</v>
      </c>
    </row>
    <row r="47" spans="1:25" x14ac:dyDescent="0.25">
      <c r="N47" s="40" t="s">
        <v>635</v>
      </c>
      <c r="O47" s="3" t="s">
        <v>136</v>
      </c>
    </row>
    <row r="51" spans="14:18" x14ac:dyDescent="0.25">
      <c r="O51" s="3" t="s">
        <v>137</v>
      </c>
      <c r="Q51" s="401">
        <f>P23/K11+S32</f>
        <v>7.26406613752279E-4</v>
      </c>
    </row>
    <row r="52" spans="14:18" x14ac:dyDescent="0.25">
      <c r="O52" s="3" t="s">
        <v>143</v>
      </c>
      <c r="Q52" s="401">
        <f>C31/K11+C32</f>
        <v>1.1008808831500195E-4</v>
      </c>
    </row>
    <row r="54" spans="14:18" x14ac:dyDescent="0.25">
      <c r="N54" s="40" t="s">
        <v>670</v>
      </c>
      <c r="O54" s="3" t="s">
        <v>144</v>
      </c>
    </row>
    <row r="58" spans="14:18" x14ac:dyDescent="0.25">
      <c r="O58" s="3" t="s">
        <v>145</v>
      </c>
      <c r="Q58" s="3" t="s">
        <v>146</v>
      </c>
    </row>
    <row r="59" spans="14:18" x14ac:dyDescent="0.25">
      <c r="O59" s="107">
        <f>P45</f>
        <v>6.9757120162806615E-5</v>
      </c>
      <c r="Q59" s="107">
        <f>Q52</f>
        <v>1.1008808831500195E-4</v>
      </c>
      <c r="R59" s="107">
        <f>P45</f>
        <v>6.9757120162806615E-5</v>
      </c>
    </row>
    <row r="60" spans="14:18" x14ac:dyDescent="0.25">
      <c r="O60" s="108">
        <f>S32</f>
        <v>0</v>
      </c>
      <c r="Q60" s="107">
        <f>P45</f>
        <v>6.9757120162806615E-5</v>
      </c>
      <c r="R60" s="107">
        <f>Q51</f>
        <v>7.26406613752279E-4</v>
      </c>
    </row>
    <row r="62" spans="14:18" ht="18" x14ac:dyDescent="0.35">
      <c r="O62" s="109" t="s">
        <v>147</v>
      </c>
    </row>
    <row r="64" spans="14:18" x14ac:dyDescent="0.25">
      <c r="O64" s="3" t="s">
        <v>149</v>
      </c>
    </row>
    <row r="65" spans="14:17" x14ac:dyDescent="0.25">
      <c r="O65" s="3" t="s">
        <v>150</v>
      </c>
    </row>
    <row r="67" spans="14:17" x14ac:dyDescent="0.25">
      <c r="O67" s="3" t="s">
        <v>148</v>
      </c>
    </row>
    <row r="68" spans="14:17" x14ac:dyDescent="0.25">
      <c r="O68" s="3">
        <f t="array" ref="O68:P69">MINVERSE(Q59:R60)</f>
        <v>9672.1822807972585</v>
      </c>
      <c r="P68" s="3">
        <v>-928.82356633970915</v>
      </c>
    </row>
    <row r="69" spans="14:17" x14ac:dyDescent="0.25">
      <c r="O69" s="3">
        <v>-928.82356633970903</v>
      </c>
      <c r="P69" s="3">
        <v>1465.8347500816171</v>
      </c>
    </row>
    <row r="71" spans="14:17" x14ac:dyDescent="0.25">
      <c r="O71" s="3" t="s">
        <v>151</v>
      </c>
    </row>
    <row r="72" spans="14:17" x14ac:dyDescent="0.25">
      <c r="P72" s="401">
        <f t="array" ref="P72">SUMPRODUCT(O68:P68,TRANSPOSE(O59:O60))</f>
        <v>0.67470358159814336</v>
      </c>
    </row>
    <row r="73" spans="14:17" x14ac:dyDescent="0.25">
      <c r="P73" s="401">
        <f t="array" ref="P73">SUMPRODUCT(O69:P69,TRANSPOSE(O59:O60))</f>
        <v>-6.4792057127205663E-2</v>
      </c>
    </row>
    <row r="75" spans="14:17" x14ac:dyDescent="0.25">
      <c r="N75" s="40" t="s">
        <v>672</v>
      </c>
      <c r="O75" s="3" t="s">
        <v>152</v>
      </c>
    </row>
    <row r="78" spans="14:17" ht="18" x14ac:dyDescent="0.35">
      <c r="O78" s="3" t="s">
        <v>153</v>
      </c>
      <c r="P78" s="3">
        <f>U8+P72*(T7-T8)+P73*(U7-U8)</f>
        <v>5.8482034953518024E-2</v>
      </c>
      <c r="Q78" s="3" t="s">
        <v>154</v>
      </c>
    </row>
    <row r="80" spans="14:17" x14ac:dyDescent="0.25">
      <c r="O80" s="402">
        <f>P78*K11</f>
        <v>54.622220646585831</v>
      </c>
      <c r="P80" s="3" t="s">
        <v>155</v>
      </c>
    </row>
  </sheetData>
  <sheetProtection formatCells="0" formatColumns="0" formatRows="0"/>
  <mergeCells count="1">
    <mergeCell ref="L1:M1"/>
  </mergeCells>
  <conditionalFormatting sqref="B1">
    <cfRule type="cellIs" dxfId="47" priority="1" operator="equal">
      <formula>"Incomplete"</formula>
    </cfRule>
    <cfRule type="cellIs" dxfId="46" priority="2" operator="equal">
      <formula>"Flag for Review"</formula>
    </cfRule>
    <cfRule type="cellIs" dxfId="45" priority="3" operator="equal">
      <formula>"Finished"</formula>
    </cfRule>
  </conditionalFormatting>
  <dataValidations count="2">
    <dataValidation type="list" allowBlank="1" showInputMessage="1" showErrorMessage="1" sqref="B1" xr:uid="{DF09FE35-F9D5-4691-857C-3143E64ECF98}">
      <formula1>"Finished, Flag for Review, Incomplete"</formula1>
    </dataValidation>
    <dataValidation type="decimal" allowBlank="1" showInputMessage="1" showErrorMessage="1" sqref="A20 A24 A28 A36 A40 A44" xr:uid="{1C3E0054-4080-4C34-9B54-61EC0D5F1230}">
      <formula1>0</formula1>
      <formula2>A19</formula2>
    </dataValidation>
  </dataValidations>
  <hyperlinks>
    <hyperlink ref="L1" location="Navigator!A1" display="Navigator" xr:uid="{0FCED72D-66AF-4526-B393-BC8884772889}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24</vt:i4>
      </vt:variant>
    </vt:vector>
  </HeadingPairs>
  <TitlesOfParts>
    <vt:vector size="24" baseType="lpstr">
      <vt:lpstr>Instructions</vt:lpstr>
      <vt:lpstr>Point Grid</vt:lpstr>
      <vt:lpstr>Navigator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</dc:creator>
  <cp:lastModifiedBy>Jonathan Constable</cp:lastModifiedBy>
  <dcterms:created xsi:type="dcterms:W3CDTF">2020-12-22T11:57:29Z</dcterms:created>
  <dcterms:modified xsi:type="dcterms:W3CDTF">2025-09-18T10:51:00Z</dcterms:modified>
</cp:coreProperties>
</file>